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 A A\0งานเทศบาลตำบลเวียงชัย\03งานปี68\ประมาณการ\เทศบัญญัติ\ร่างงบประมาณเสนอประชุมเทศบัญญัติปี68\ราคากลาง\"/>
    </mc:Choice>
  </mc:AlternateContent>
  <xr:revisionPtr revIDLastSave="0" documentId="13_ncr:1_{C2E26863-20B2-405B-93D2-630A8E88432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สรุปราคากลาง" sheetId="6" r:id="rId1"/>
    <sheet name="ค่างานต้นทุนต่อหน่วย" sheetId="10" r:id="rId2"/>
    <sheet name="ข้อมูลราคาวัสดุ" sheetId="11" r:id="rId3"/>
    <sheet name="ข้อมูลคอนกรีต" sheetId="12" r:id="rId4"/>
    <sheet name="ไม้แบบ" sheetId="13" r:id="rId5"/>
  </sheets>
  <externalReferences>
    <externalReference r:id="rId6"/>
  </externalReferences>
  <definedNames>
    <definedName name="_xlnm.Print_Area" localSheetId="1">ค่างานต้นทุนต่อหน่วย!$A$1:$M$87</definedName>
    <definedName name="_xlnm.Print_Area" localSheetId="0">สรุปราคากลาง!$A$1:$K$87</definedName>
  </definedNames>
  <calcPr calcId="181029"/>
</workbook>
</file>

<file path=xl/calcChain.xml><?xml version="1.0" encoding="utf-8"?>
<calcChain xmlns="http://schemas.openxmlformats.org/spreadsheetml/2006/main">
  <c r="K60" i="6" l="1"/>
  <c r="F33" i="10"/>
  <c r="C4" i="10"/>
  <c r="C5" i="10"/>
  <c r="F51" i="6"/>
  <c r="J40" i="10"/>
  <c r="J18" i="6"/>
  <c r="K18" i="6" s="1"/>
  <c r="J19" i="6"/>
  <c r="K19" i="6" s="1"/>
  <c r="J20" i="6"/>
  <c r="K20" i="6" s="1"/>
  <c r="J21" i="6"/>
  <c r="K21" i="6" s="1"/>
  <c r="J22" i="6"/>
  <c r="K22" i="6" s="1"/>
  <c r="J23" i="6"/>
  <c r="K23" i="6" s="1"/>
  <c r="J24" i="6"/>
  <c r="K24" i="6" s="1"/>
  <c r="J25" i="6"/>
  <c r="K25" i="6" s="1"/>
  <c r="J26" i="6"/>
  <c r="K26" i="6" s="1"/>
  <c r="J27" i="6"/>
  <c r="K27" i="6" s="1"/>
  <c r="J28" i="6"/>
  <c r="K28" i="6" s="1"/>
  <c r="J29" i="6"/>
  <c r="K29" i="6" s="1"/>
  <c r="J30" i="6"/>
  <c r="K30" i="6" s="1"/>
  <c r="J31" i="6"/>
  <c r="K31" i="6" s="1"/>
  <c r="J32" i="6"/>
  <c r="K32" i="6" s="1"/>
  <c r="J37" i="6"/>
  <c r="K37" i="6" s="1"/>
  <c r="J38" i="6"/>
  <c r="K38" i="6" s="1"/>
  <c r="J40" i="6"/>
  <c r="K40" i="6" s="1"/>
  <c r="J42" i="6"/>
  <c r="K42" i="6" s="1"/>
  <c r="J43" i="6"/>
  <c r="K43" i="6" s="1"/>
  <c r="J44" i="6"/>
  <c r="K44" i="6" s="1"/>
  <c r="J45" i="6"/>
  <c r="K45" i="6" s="1"/>
  <c r="J46" i="6"/>
  <c r="K46" i="6" s="1"/>
  <c r="J47" i="6"/>
  <c r="K47" i="6" s="1"/>
  <c r="J48" i="6"/>
  <c r="K48" i="6" s="1"/>
  <c r="J49" i="6"/>
  <c r="K49" i="6" s="1"/>
  <c r="J50" i="6"/>
  <c r="K50" i="6" s="1"/>
  <c r="J52" i="6"/>
  <c r="K52" i="6" s="1"/>
  <c r="J54" i="6"/>
  <c r="K54" i="6" s="1"/>
  <c r="J55" i="6"/>
  <c r="K55" i="6" s="1"/>
  <c r="H50" i="6"/>
  <c r="H51" i="6" l="1"/>
  <c r="J51" i="6"/>
  <c r="K51" i="6" s="1"/>
  <c r="K85" i="10"/>
  <c r="K84" i="10"/>
  <c r="K86" i="10" s="1"/>
  <c r="K87" i="10" s="1"/>
  <c r="K83" i="10"/>
  <c r="F76" i="10"/>
  <c r="H172" i="11" l="1"/>
  <c r="H171" i="11"/>
  <c r="H170" i="11"/>
  <c r="H169" i="11"/>
  <c r="H152" i="11"/>
  <c r="H153" i="11" s="1"/>
  <c r="D154" i="11" s="1"/>
  <c r="H154" i="11" s="1"/>
  <c r="H157" i="11" s="1"/>
  <c r="H158" i="11" s="1"/>
  <c r="F147" i="11"/>
  <c r="D147" i="11"/>
  <c r="D145" i="11"/>
  <c r="K145" i="11" s="1"/>
  <c r="D144" i="11"/>
  <c r="K144" i="11" s="1"/>
  <c r="H143" i="11"/>
  <c r="D143" i="11"/>
  <c r="F138" i="11"/>
  <c r="D138" i="11"/>
  <c r="K136" i="11"/>
  <c r="D135" i="11"/>
  <c r="D134" i="11"/>
  <c r="K134" i="11" s="1"/>
  <c r="D133" i="11"/>
  <c r="K133" i="11" s="1"/>
  <c r="H132" i="11"/>
  <c r="D132" i="11"/>
  <c r="F123" i="11"/>
  <c r="D123" i="11"/>
  <c r="D121" i="11"/>
  <c r="K121" i="11" s="1"/>
  <c r="K120" i="11"/>
  <c r="D119" i="11"/>
  <c r="K119" i="11" s="1"/>
  <c r="D118" i="11"/>
  <c r="K118" i="11" s="1"/>
  <c r="D117" i="11"/>
  <c r="K117" i="11" s="1"/>
  <c r="D116" i="11"/>
  <c r="K116" i="11" s="1"/>
  <c r="H115" i="11"/>
  <c r="D115" i="11"/>
  <c r="X108" i="11"/>
  <c r="K108" i="11"/>
  <c r="X107" i="11"/>
  <c r="K107" i="11"/>
  <c r="X106" i="11"/>
  <c r="U106" i="11"/>
  <c r="K106" i="11"/>
  <c r="H106" i="11"/>
  <c r="K105" i="11"/>
  <c r="K104" i="11"/>
  <c r="F104" i="11"/>
  <c r="K103" i="11"/>
  <c r="S101" i="11"/>
  <c r="K101" i="11"/>
  <c r="F101" i="11"/>
  <c r="S100" i="11"/>
  <c r="K100" i="11"/>
  <c r="D101" i="11" s="1"/>
  <c r="F100" i="11"/>
  <c r="T96" i="11"/>
  <c r="G96" i="11"/>
  <c r="X95" i="11"/>
  <c r="K95" i="11"/>
  <c r="X94" i="11"/>
  <c r="X99" i="11" s="1"/>
  <c r="K94" i="11"/>
  <c r="F99" i="11" s="1"/>
  <c r="H85" i="11"/>
  <c r="H82" i="11"/>
  <c r="H83" i="11" s="1"/>
  <c r="D84" i="11" s="1"/>
  <c r="H84" i="11" s="1"/>
  <c r="H86" i="11" s="1"/>
  <c r="H87" i="11" s="1"/>
  <c r="H71" i="11"/>
  <c r="H72" i="11" s="1"/>
  <c r="D73" i="11" s="1"/>
  <c r="H73" i="11" s="1"/>
  <c r="H76" i="11" s="1"/>
  <c r="H77" i="11" s="1"/>
  <c r="H66" i="11"/>
  <c r="C62" i="11"/>
  <c r="C60" i="11"/>
  <c r="C59" i="11"/>
  <c r="C58" i="11"/>
  <c r="C57" i="11"/>
  <c r="J13" i="11"/>
  <c r="J42" i="10"/>
  <c r="J53" i="6" l="1"/>
  <c r="K53" i="6" s="1"/>
  <c r="H53" i="6"/>
  <c r="J57" i="6"/>
  <c r="K57" i="6" s="1"/>
  <c r="J17" i="6"/>
  <c r="K17" i="6" s="1"/>
  <c r="H17" i="6"/>
  <c r="J56" i="6"/>
  <c r="K56" i="6" s="1"/>
  <c r="H56" i="6"/>
  <c r="K115" i="11"/>
  <c r="K143" i="11"/>
  <c r="K146" i="11" s="1"/>
  <c r="H174" i="11"/>
  <c r="K99" i="11"/>
  <c r="H107" i="11" s="1"/>
  <c r="K132" i="11"/>
  <c r="K137" i="11" s="1"/>
  <c r="K138" i="11"/>
  <c r="D100" i="11"/>
  <c r="F110" i="11"/>
  <c r="K123" i="11"/>
  <c r="K147" i="11"/>
  <c r="K109" i="11"/>
  <c r="D110" i="11" s="1"/>
  <c r="K110" i="11" s="1"/>
  <c r="K122" i="11"/>
  <c r="U107" i="11"/>
  <c r="P105" i="11"/>
  <c r="X105" i="11" s="1"/>
  <c r="U108" i="11"/>
  <c r="P104" i="11"/>
  <c r="X104" i="11" s="1"/>
  <c r="Q100" i="11"/>
  <c r="X100" i="11" s="1"/>
  <c r="S110" i="11"/>
  <c r="H103" i="11"/>
  <c r="S99" i="11"/>
  <c r="C105" i="11" l="1"/>
  <c r="H108" i="11"/>
  <c r="C104" i="11"/>
  <c r="U103" i="11"/>
  <c r="X103" i="11" s="1"/>
  <c r="Q101" i="11"/>
  <c r="X101" i="11" s="1"/>
  <c r="X109" i="11" s="1"/>
  <c r="Q110" i="11" s="1"/>
  <c r="X110" i="11" s="1"/>
  <c r="J24" i="11" l="1"/>
  <c r="H65" i="10" s="1"/>
  <c r="L65" i="10" s="1"/>
  <c r="L67" i="10" s="1"/>
  <c r="I33" i="10" l="1"/>
  <c r="I35" i="10" s="1"/>
  <c r="I36" i="10" s="1"/>
  <c r="G39" i="6" s="1"/>
  <c r="E7" i="11"/>
  <c r="J39" i="6" l="1"/>
  <c r="K39" i="6" s="1"/>
  <c r="H39" i="6"/>
  <c r="F8" i="12"/>
  <c r="F17" i="12" s="1"/>
  <c r="H17" i="12" s="1"/>
  <c r="J51" i="11"/>
  <c r="J50" i="11"/>
  <c r="J49" i="11"/>
  <c r="J48" i="11"/>
  <c r="J47" i="11"/>
  <c r="J46" i="11"/>
  <c r="J45" i="11"/>
  <c r="J44" i="11"/>
  <c r="J43" i="11"/>
  <c r="J42" i="11"/>
  <c r="J41" i="11"/>
  <c r="J40" i="11"/>
  <c r="J39" i="11"/>
  <c r="J38" i="11"/>
  <c r="J37" i="11"/>
  <c r="J36" i="11"/>
  <c r="J35" i="11"/>
  <c r="J34" i="11"/>
  <c r="J33" i="11"/>
  <c r="J32" i="11"/>
  <c r="J31" i="11"/>
  <c r="J30" i="11"/>
  <c r="J29" i="11"/>
  <c r="F7" i="12" s="1"/>
  <c r="J28" i="11"/>
  <c r="J27" i="11"/>
  <c r="J26" i="11"/>
  <c r="J25" i="11"/>
  <c r="J23" i="11"/>
  <c r="J22" i="11"/>
  <c r="D45" i="10" s="1"/>
  <c r="J45" i="10" s="1"/>
  <c r="J51" i="10" s="1"/>
  <c r="J21" i="11"/>
  <c r="F6" i="12" s="1"/>
  <c r="H6" i="12" s="1"/>
  <c r="J20" i="11"/>
  <c r="J19" i="11"/>
  <c r="J18" i="11"/>
  <c r="J17" i="11"/>
  <c r="J16" i="11"/>
  <c r="J15" i="11"/>
  <c r="J14" i="11"/>
  <c r="J12" i="11"/>
  <c r="J11" i="11"/>
  <c r="J10" i="11"/>
  <c r="F16" i="12" l="1"/>
  <c r="H16" i="12" s="1"/>
  <c r="J16" i="12" s="1"/>
  <c r="H7" i="12"/>
  <c r="L7" i="12" s="1"/>
  <c r="L6" i="12"/>
  <c r="M6" i="12"/>
  <c r="I6" i="12"/>
  <c r="J6" i="12"/>
  <c r="K6" i="12"/>
  <c r="K17" i="12"/>
  <c r="L17" i="12"/>
  <c r="M17" i="12"/>
  <c r="I17" i="12"/>
  <c r="J17" i="12"/>
  <c r="H8" i="12"/>
  <c r="F15" i="12"/>
  <c r="H15" i="12" s="1"/>
  <c r="I19" i="13"/>
  <c r="I18" i="13"/>
  <c r="I17" i="13"/>
  <c r="I16" i="13"/>
  <c r="I7" i="13"/>
  <c r="I6" i="13"/>
  <c r="I5" i="13"/>
  <c r="I4" i="13"/>
  <c r="I8" i="13" l="1"/>
  <c r="E9" i="13" s="1"/>
  <c r="I9" i="13" s="1"/>
  <c r="I12" i="13" s="1"/>
  <c r="I20" i="13"/>
  <c r="E21" i="13" s="1"/>
  <c r="I21" i="13" s="1"/>
  <c r="I24" i="13" s="1"/>
  <c r="K7" i="12"/>
  <c r="M16" i="12"/>
  <c r="L16" i="12"/>
  <c r="K16" i="12"/>
  <c r="I16" i="12"/>
  <c r="M7" i="12"/>
  <c r="M10" i="12" s="1"/>
  <c r="I7" i="12"/>
  <c r="J7" i="12"/>
  <c r="M8" i="12"/>
  <c r="I8" i="12"/>
  <c r="J8" i="12"/>
  <c r="K8" i="12"/>
  <c r="L8" i="12"/>
  <c r="L10" i="12"/>
  <c r="M15" i="12"/>
  <c r="I15" i="12"/>
  <c r="J15" i="12"/>
  <c r="J19" i="12" s="1"/>
  <c r="K15" i="12"/>
  <c r="L15" i="12"/>
  <c r="I19" i="12" l="1"/>
  <c r="J10" i="12"/>
  <c r="L19" i="12"/>
  <c r="M19" i="12"/>
  <c r="K10" i="12"/>
  <c r="K19" i="12"/>
  <c r="I10" i="12"/>
  <c r="F27" i="10" l="1"/>
  <c r="I27" i="10" s="1"/>
  <c r="J50" i="10"/>
  <c r="L4" i="11"/>
  <c r="H17" i="10"/>
  <c r="H18" i="10" s="1"/>
  <c r="D19" i="10" s="1"/>
  <c r="H19" i="10" s="1"/>
  <c r="H22" i="10" s="1"/>
  <c r="H23" i="10" s="1"/>
  <c r="H12" i="10"/>
  <c r="D68" i="6" l="1"/>
  <c r="I29" i="10" l="1"/>
  <c r="I30" i="10" s="1"/>
  <c r="J46" i="10" l="1"/>
  <c r="J52" i="10" l="1"/>
  <c r="G41" i="6" s="1"/>
  <c r="J41" i="6" l="1"/>
  <c r="K41" i="6" s="1"/>
  <c r="H41" i="6"/>
  <c r="H60" i="10"/>
  <c r="H58" i="10"/>
  <c r="H59" i="10"/>
  <c r="H57" i="10"/>
  <c r="C3" i="10"/>
  <c r="H62" i="10" l="1"/>
  <c r="C8" i="10" l="1"/>
  <c r="C7" i="10"/>
  <c r="C6" i="10"/>
  <c r="E3" i="11"/>
  <c r="E2" i="11"/>
  <c r="C61" i="11" l="1"/>
  <c r="J58" i="6" l="1"/>
  <c r="K58" i="6" s="1"/>
  <c r="H58" i="6"/>
  <c r="H60" i="6" s="1"/>
  <c r="H61" i="6" s="1"/>
  <c r="H66" i="6" l="1"/>
  <c r="J67" i="6"/>
  <c r="D69" i="6" s="1"/>
  <c r="E67" i="6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Windows8.1</author>
    <author>D</author>
    <author>T.Tharatep</author>
  </authors>
  <commentList>
    <comment ref="H16" authorId="0" shapeId="0" xr:uid="{00000000-0006-0000-0100-000001000000}">
      <text>
        <r>
          <rPr>
            <sz val="9"/>
            <color indexed="81"/>
            <rFont val="Tahoma"/>
            <family val="2"/>
          </rPr>
          <t xml:space="preserve">จากหจก.ศิลามาตรศรี ต.พลับพลาไชย อ.อู่ทอง จ.สุพรรณบุรี
</t>
        </r>
      </text>
    </comment>
    <comment ref="D17" authorId="1" shapeId="0" xr:uid="{00000000-0006-0000-0100-000002000000}">
      <text>
        <r>
          <rPr>
            <sz val="8"/>
            <color indexed="81"/>
            <rFont val="Tahoma"/>
            <family val="2"/>
          </rPr>
          <t xml:space="preserve">ระยะทางจากแหล่งถึงกึงกลางหน้างาน
=47 km.
</t>
        </r>
      </text>
    </comment>
    <comment ref="F17" authorId="0" shapeId="0" xr:uid="{00000000-0006-0000-0100-000003000000}">
      <text>
        <r>
          <rPr>
            <sz val="9"/>
            <color indexed="81"/>
            <rFont val="Tahoma"/>
            <family val="2"/>
          </rPr>
          <t>ค่าขนส่งรถสิบล้อ</t>
        </r>
      </text>
    </comment>
    <comment ref="F27" authorId="1" shapeId="0" xr:uid="{00000000-0006-0000-0100-000004000000}">
      <text>
        <r>
          <rPr>
            <sz val="8"/>
            <color indexed="81"/>
            <rFont val="Tahoma"/>
            <family val="2"/>
          </rPr>
          <t xml:space="preserve">เลือกใช้ยางอิมัลชั่นแอสฟัลต์ CSS-1
จากกทม. + ค่าขนส่ง สิบล้อ ลากพ่วง ระยะ 87 กม.
</t>
        </r>
      </text>
    </comment>
    <comment ref="F33" authorId="1" shapeId="0" xr:uid="{00000000-0006-0000-0100-000005000000}">
      <text>
        <r>
          <rPr>
            <sz val="8"/>
            <color indexed="81"/>
            <rFont val="Tahoma"/>
            <family val="2"/>
          </rPr>
          <t xml:space="preserve">เลือกใช้ยางอิมัลชั่นแอสฟัลต์ CSS-1
จากกทม. + ค่าขนส่ง สิบล้อ ลากพ่วง ระยะ 87 กม.
</t>
        </r>
      </text>
    </comment>
    <comment ref="H41" authorId="1" shapeId="0" xr:uid="{00000000-0006-0000-0100-000006000000}">
      <text>
        <r>
          <rPr>
            <sz val="8"/>
            <color indexed="81"/>
            <rFont val="Tahoma"/>
            <family val="2"/>
          </rPr>
          <t xml:space="preserve">ค่าขนส่งสิบล้อ+ลากพ่วงที่ระยะ 87 กม. น้ำมัน 25.50 บาท
</t>
        </r>
      </text>
    </comment>
    <comment ref="D45" authorId="1" shapeId="0" xr:uid="{00000000-0006-0000-0100-000007000000}">
      <text>
        <r>
          <rPr>
            <sz val="8"/>
            <color indexed="81"/>
            <rFont val="Tahoma"/>
            <family val="2"/>
          </rPr>
          <t xml:space="preserve">ราคายางAC กทม.
</t>
        </r>
      </text>
    </comment>
    <comment ref="F45" authorId="1" shapeId="0" xr:uid="{00000000-0006-0000-0100-000008000000}">
      <text>
        <r>
          <rPr>
            <sz val="8"/>
            <color indexed="81"/>
            <rFont val="Tahoma"/>
            <family val="2"/>
          </rPr>
          <t xml:space="preserve">ค่าขนส่งรถสิบล้อ+ลากพ่วง น้ำมัน 25.50 บาท ระยะ 87 กม.ระยะจากกทม.ถึงกึ่งกลางหน้างาน
</t>
        </r>
      </text>
    </comment>
    <comment ref="H45" authorId="1" shapeId="0" xr:uid="{00000000-0006-0000-0100-000009000000}">
      <text>
        <r>
          <rPr>
            <sz val="8"/>
            <color indexed="81"/>
            <rFont val="Tahoma"/>
            <family val="2"/>
          </rPr>
          <t xml:space="preserve">ตารางที่2 ปริมาณAC เป็นเปอร์เซ็นต์โดยน้ำหนักวัสดุ
เลือกวัสดุ หินปูน ชั้นผิวทาง
=5.2/100
</t>
        </r>
      </text>
    </comment>
    <comment ref="D46" authorId="1" shapeId="0" xr:uid="{00000000-0006-0000-0100-00000A000000}">
      <text>
        <r>
          <rPr>
            <sz val="8"/>
            <color indexed="81"/>
            <rFont val="Tahoma"/>
            <family val="2"/>
          </rPr>
          <t>ราคาหินผสมแอสฟัลท์
ต.พลับพลาชัย อ.อู่ทอง
(แปลงหน่วยลบ.ม.เป็นตัน / 1.5)</t>
        </r>
      </text>
    </comment>
    <comment ref="F46" authorId="1" shapeId="0" xr:uid="{00000000-0006-0000-0100-00000B000000}">
      <text>
        <r>
          <rPr>
            <sz val="8"/>
            <color indexed="81"/>
            <rFont val="Tahoma"/>
            <family val="2"/>
          </rPr>
          <t xml:space="preserve">ค่าขนส่งรถสิบล้อ น้ำมัน 25.50 บาท ระยะ 47 กม.
หน่วย บาท/ตัน
</t>
        </r>
      </text>
    </comment>
    <comment ref="F48" authorId="1" shapeId="0" xr:uid="{00000000-0006-0000-0100-00000C000000}">
      <text>
        <r>
          <rPr>
            <sz val="8"/>
            <color indexed="81"/>
            <rFont val="Tahoma"/>
            <family val="2"/>
          </rPr>
          <t xml:space="preserve">ระยะทางโครงการ/4
เลือก 1 กม.(น้อยสุด)
</t>
        </r>
      </text>
    </comment>
    <comment ref="E80" authorId="2" shapeId="0" xr:uid="{74F3B09C-3A7A-4D24-BCC5-55A52E49AEF6}">
      <text>
        <r>
          <rPr>
            <b/>
            <sz val="9"/>
            <color indexed="81"/>
            <rFont val="Tahoma"/>
            <family val="2"/>
          </rPr>
          <t>T.Tharatep:</t>
        </r>
        <r>
          <rPr>
            <sz val="9"/>
            <color indexed="81"/>
            <rFont val="Tahoma"/>
            <family val="2"/>
          </rPr>
          <t xml:space="preserve">
ความหนาทรายรองพื้น(ไม่มีกรอก 0)</t>
        </r>
      </text>
    </comment>
    <comment ref="E81" authorId="2" shapeId="0" xr:uid="{99B7A4D5-F9E2-4C77-B6CF-1B91E8789A83}">
      <text>
        <r>
          <rPr>
            <b/>
            <sz val="9"/>
            <color indexed="81"/>
            <rFont val="Tahoma"/>
            <family val="2"/>
          </rPr>
          <t>T.Tharatep:</t>
        </r>
        <r>
          <rPr>
            <sz val="9"/>
            <color indexed="81"/>
            <rFont val="Tahoma"/>
            <family val="2"/>
          </rPr>
          <t xml:space="preserve">
ความหนาคอนกรีตหยาบ(ไม่มีกรอก 0)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Windows8.1</author>
    <author>D</author>
  </authors>
  <commentList>
    <comment ref="H70" authorId="0" shapeId="0" xr:uid="{00000000-0006-0000-0200-000001000000}">
      <text>
        <r>
          <rPr>
            <sz val="9"/>
            <color indexed="81"/>
            <rFont val="Tahoma"/>
            <family val="2"/>
          </rPr>
          <t xml:space="preserve">จากหจก.ศิลามาตรศรี ต.พลับพลาไชย อ.อู่ทอง จ.สุพรรณบุรี
</t>
        </r>
      </text>
    </comment>
    <comment ref="D71" authorId="1" shapeId="0" xr:uid="{00000000-0006-0000-0200-000002000000}">
      <text>
        <r>
          <rPr>
            <sz val="8"/>
            <color indexed="81"/>
            <rFont val="Tahoma"/>
            <family val="2"/>
          </rPr>
          <t xml:space="preserve">ระยะทางจากแหล่งถึงกึงกลางหน้างาน
=47 km.
</t>
        </r>
      </text>
    </comment>
    <comment ref="F71" authorId="0" shapeId="0" xr:uid="{00000000-0006-0000-0200-000003000000}">
      <text>
        <r>
          <rPr>
            <sz val="9"/>
            <color indexed="81"/>
            <rFont val="Tahoma"/>
            <family val="2"/>
          </rPr>
          <t>ค่าขนส่งรถสิบล้อ</t>
        </r>
      </text>
    </comment>
    <comment ref="H81" authorId="0" shapeId="0" xr:uid="{00000000-0006-0000-0200-000004000000}">
      <text>
        <r>
          <rPr>
            <sz val="9"/>
            <color indexed="81"/>
            <rFont val="Tahoma"/>
            <family val="2"/>
          </rPr>
          <t xml:space="preserve">ทรายหยาบ จากแหล่ง หมู่ 8 ต.ทุ่งบัว
</t>
        </r>
      </text>
    </comment>
    <comment ref="F82" authorId="0" shapeId="0" xr:uid="{00000000-0006-0000-0200-000005000000}">
      <text>
        <r>
          <rPr>
            <sz val="9"/>
            <color indexed="81"/>
            <rFont val="Tahoma"/>
            <family val="2"/>
          </rPr>
          <t xml:space="preserve">เปิดตารางค่าขนส่งรถสิบล้อ
</t>
        </r>
      </text>
    </comment>
    <comment ref="D103" authorId="0" shapeId="0" xr:uid="{00000000-0006-0000-0200-000006000000}">
      <text>
        <r>
          <rPr>
            <sz val="9"/>
            <color indexed="81"/>
            <rFont val="Tahoma"/>
            <family val="2"/>
          </rPr>
          <t xml:space="preserve">ระยะทางขนส่ง L/4
</t>
        </r>
      </text>
    </comment>
    <comment ref="F103" authorId="0" shapeId="0" xr:uid="{00000000-0006-0000-0200-000007000000}">
      <text>
        <r>
          <rPr>
            <sz val="9"/>
            <color indexed="81"/>
            <rFont val="Tahoma"/>
            <family val="2"/>
          </rPr>
          <t xml:space="preserve">จากตารางค่าดำเนินการ 
</t>
        </r>
      </text>
    </comment>
    <comment ref="Q103" authorId="0" shapeId="0" xr:uid="{00000000-0006-0000-0200-000008000000}">
      <text>
        <r>
          <rPr>
            <sz val="9"/>
            <color indexed="81"/>
            <rFont val="Tahoma"/>
            <family val="2"/>
          </rPr>
          <t xml:space="preserve">ระยะทางขนส่ง L/4
</t>
        </r>
      </text>
    </comment>
    <comment ref="S103" authorId="0" shapeId="0" xr:uid="{00000000-0006-0000-0200-000009000000}">
      <text>
        <r>
          <rPr>
            <sz val="9"/>
            <color indexed="81"/>
            <rFont val="Tahoma"/>
            <family val="2"/>
          </rPr>
          <t xml:space="preserve">จากตารางค่าดำเนินการ 
</t>
        </r>
      </text>
    </comment>
    <comment ref="D115" authorId="1" shapeId="0" xr:uid="{00000000-0006-0000-0200-00000A000000}">
      <text>
        <r>
          <rPr>
            <sz val="8"/>
            <color indexed="81"/>
            <rFont val="Tahoma"/>
            <family val="2"/>
          </rPr>
          <t xml:space="preserve">RB 15 ยาว 0.50
@ 0.50 ม.
</t>
        </r>
      </text>
    </comment>
    <comment ref="H115" authorId="1" shapeId="0" xr:uid="{00000000-0006-0000-0200-00000B000000}">
      <text>
        <r>
          <rPr>
            <sz val="8"/>
            <color indexed="81"/>
            <rFont val="Tahoma"/>
            <family val="2"/>
          </rPr>
          <t xml:space="preserve">ค่าวัสดุเหล็ก RB15
ราคาจาก กทม. รวมค่าขนส่ง ค่าขนขึ้นลง
</t>
        </r>
      </text>
    </comment>
    <comment ref="H116" authorId="1" shapeId="0" xr:uid="{00000000-0006-0000-0200-00000C000000}">
      <text>
        <r>
          <rPr>
            <sz val="8"/>
            <color indexed="81"/>
            <rFont val="Tahoma"/>
            <family val="2"/>
          </rPr>
          <t xml:space="preserve">คำแนะนำในหลักเกณฑ์ 
</t>
        </r>
      </text>
    </comment>
    <comment ref="H117" authorId="1" shapeId="0" xr:uid="{00000000-0006-0000-0200-00000D000000}">
      <text>
        <r>
          <rPr>
            <sz val="8"/>
            <color indexed="81"/>
            <rFont val="Tahoma"/>
            <family val="2"/>
          </rPr>
          <t xml:space="preserve">คำแนะนำในหลักเกณฑ์ 
</t>
        </r>
      </text>
    </comment>
    <comment ref="H118" authorId="1" shapeId="0" xr:uid="{00000000-0006-0000-0200-00000E000000}">
      <text>
        <r>
          <rPr>
            <sz val="8"/>
            <color indexed="81"/>
            <rFont val="Tahoma"/>
            <family val="2"/>
          </rPr>
          <t xml:space="preserve">คำแนะนำในหลักเกณฑ์ 
</t>
        </r>
      </text>
    </comment>
    <comment ref="H119" authorId="1" shapeId="0" xr:uid="{00000000-0006-0000-0200-00000F000000}">
      <text>
        <r>
          <rPr>
            <sz val="8"/>
            <color indexed="81"/>
            <rFont val="Tahoma"/>
            <family val="2"/>
          </rPr>
          <t>จากดำเนินการ+ค่าเสื่อมราคา
(ค่าหยอดยางรอยต่อคอนกรีต)</t>
        </r>
      </text>
    </comment>
    <comment ref="H121" authorId="1" shapeId="0" xr:uid="{00000000-0006-0000-0200-000010000000}">
      <text>
        <r>
          <rPr>
            <sz val="8"/>
            <color indexed="81"/>
            <rFont val="Tahoma"/>
            <family val="2"/>
          </rPr>
          <t xml:space="preserve">งานไม้แบบอย่างง่าย
</t>
        </r>
      </text>
    </comment>
    <comment ref="D132" authorId="1" shapeId="0" xr:uid="{00000000-0006-0000-0200-000011000000}">
      <text>
        <r>
          <rPr>
            <sz val="8"/>
            <color indexed="81"/>
            <rFont val="Tahoma"/>
            <family val="2"/>
          </rPr>
          <t xml:space="preserve">RB 15 ยาว 0.50
@ 0.50 ม.
</t>
        </r>
      </text>
    </comment>
    <comment ref="H132" authorId="1" shapeId="0" xr:uid="{00000000-0006-0000-0200-000012000000}">
      <text>
        <r>
          <rPr>
            <sz val="8"/>
            <color indexed="81"/>
            <rFont val="Tahoma"/>
            <family val="2"/>
          </rPr>
          <t xml:space="preserve">ค่าวัสดุเหล็ก RB15
ราคาจาก กทม. รวมค่าขนส่ง ค่าขนขึ้นลง
</t>
        </r>
      </text>
    </comment>
    <comment ref="H133" authorId="1" shapeId="0" xr:uid="{00000000-0006-0000-0200-000013000000}">
      <text>
        <r>
          <rPr>
            <sz val="8"/>
            <color indexed="81"/>
            <rFont val="Tahoma"/>
            <family val="2"/>
          </rPr>
          <t>จากดำเนินการ+ค่าเสื่อมราคา
(ค่าตัดรอยต่อคอนกรีตและหยอดยาง)</t>
        </r>
      </text>
    </comment>
    <comment ref="H134" authorId="1" shapeId="0" xr:uid="{00000000-0006-0000-0200-000014000000}">
      <text>
        <r>
          <rPr>
            <sz val="8"/>
            <color indexed="81"/>
            <rFont val="Tahoma"/>
            <family val="2"/>
          </rPr>
          <t xml:space="preserve">คำแนะนำในหลักเกณฑ์ 
</t>
        </r>
      </text>
    </comment>
    <comment ref="H135" authorId="1" shapeId="0" xr:uid="{00000000-0006-0000-0200-000015000000}">
      <text>
        <r>
          <rPr>
            <sz val="8"/>
            <color indexed="81"/>
            <rFont val="Tahoma"/>
            <family val="2"/>
          </rPr>
          <t xml:space="preserve">คำแนะนำในหลักเกณฑ์ 
</t>
        </r>
      </text>
    </comment>
    <comment ref="D143" authorId="0" shapeId="0" xr:uid="{00000000-0006-0000-0200-000016000000}">
      <text>
        <r>
          <rPr>
            <sz val="9"/>
            <color indexed="81"/>
            <rFont val="Tahoma"/>
            <family val="2"/>
          </rPr>
          <t xml:space="preserve">DB 16 ยาว 0.50 
@ 0.50 ม.
</t>
        </r>
      </text>
    </comment>
    <comment ref="H143" authorId="1" shapeId="0" xr:uid="{00000000-0006-0000-0200-000017000000}">
      <text>
        <r>
          <rPr>
            <sz val="10"/>
            <color indexed="81"/>
            <rFont val="Tahoma"/>
            <family val="2"/>
          </rPr>
          <t>ราคาเหล็กเสริมจากพาณิชย์จ.นครปฐม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144" authorId="1" shapeId="0" xr:uid="{00000000-0006-0000-0200-000018000000}">
      <text>
        <r>
          <rPr>
            <sz val="8"/>
            <color indexed="81"/>
            <rFont val="Tahoma"/>
            <family val="2"/>
          </rPr>
          <t>จากดำเนินการ+ค่าเสื่อมราคา
(ค่าตัดรอยต่อคอนกรีตและหยอดยาง)</t>
        </r>
      </text>
    </comment>
    <comment ref="H145" authorId="1" shapeId="0" xr:uid="{00000000-0006-0000-0200-000019000000}">
      <text>
        <r>
          <rPr>
            <sz val="8"/>
            <color indexed="81"/>
            <rFont val="Tahoma"/>
            <family val="2"/>
          </rPr>
          <t xml:space="preserve">คำแนะนำในหลักเกณฑ์ 
</t>
        </r>
      </text>
    </comment>
    <comment ref="H151" authorId="0" shapeId="0" xr:uid="{00000000-0006-0000-0200-00001A000000}">
      <text>
        <r>
          <rPr>
            <sz val="9"/>
            <color indexed="81"/>
            <rFont val="Tahoma"/>
            <family val="2"/>
          </rPr>
          <t xml:space="preserve">จากหจก.ศิลามาตรศรี ต.พลับพลาไชย อ.อู่ทอง จ.สุพรรณบุรี
</t>
        </r>
      </text>
    </comment>
    <comment ref="D152" authorId="1" shapeId="0" xr:uid="{00000000-0006-0000-0200-00001B000000}">
      <text>
        <r>
          <rPr>
            <sz val="8"/>
            <color indexed="81"/>
            <rFont val="Tahoma"/>
            <family val="2"/>
          </rPr>
          <t xml:space="preserve">ระยะทางจากแหล่งถึงกึงกลางหน้างาน
=47 km.
</t>
        </r>
      </text>
    </comment>
    <comment ref="F152" authorId="0" shapeId="0" xr:uid="{00000000-0006-0000-0200-00001C000000}">
      <text>
        <r>
          <rPr>
            <sz val="9"/>
            <color indexed="81"/>
            <rFont val="Tahoma"/>
            <family val="2"/>
          </rPr>
          <t>ค่าขนส่งรถสิบล้อ</t>
        </r>
      </text>
    </comment>
  </commentList>
</comments>
</file>

<file path=xl/sharedStrings.xml><?xml version="1.0" encoding="utf-8"?>
<sst xmlns="http://schemas.openxmlformats.org/spreadsheetml/2006/main" count="1077" uniqueCount="355">
  <si>
    <t>สถานที่</t>
  </si>
  <si>
    <t>ลำดับที่</t>
  </si>
  <si>
    <t>หน่วย</t>
  </si>
  <si>
    <t>รวม</t>
  </si>
  <si>
    <t>หมายเหตุ</t>
  </si>
  <si>
    <t>ชื่อโครงการ</t>
  </si>
  <si>
    <t>ลบ.ม.</t>
  </si>
  <si>
    <t>กก.</t>
  </si>
  <si>
    <t>ตร.ม.</t>
  </si>
  <si>
    <t>ประมาณการเมื่อ</t>
  </si>
  <si>
    <t>(บาท)</t>
  </si>
  <si>
    <t>ลำดับ</t>
  </si>
  <si>
    <t>ราคาต่อหน่วย</t>
  </si>
  <si>
    <t>ราคาทุน</t>
  </si>
  <si>
    <t>ราคากลาง</t>
  </si>
  <si>
    <t>(  บาท  )</t>
  </si>
  <si>
    <t>TOTAL</t>
  </si>
  <si>
    <t>=</t>
  </si>
  <si>
    <t>แบบสรุปราคากลางงานก่อสร้างทาง สะพาน และท่อเหลี่ยม</t>
  </si>
  <si>
    <t>หน่วยงานรับผิดชอบ</t>
  </si>
  <si>
    <t>บาท / ตร.ม.</t>
  </si>
  <si>
    <t>ซม.</t>
  </si>
  <si>
    <t>x</t>
  </si>
  <si>
    <t>กม.</t>
  </si>
  <si>
    <t>บาท/ลบ.ม.</t>
  </si>
  <si>
    <t>@</t>
  </si>
  <si>
    <t xml:space="preserve">ค่าขนส่ง </t>
  </si>
  <si>
    <t>ค่าใช้จ่ายรวม</t>
  </si>
  <si>
    <t>ค่าดำเนินการ + ค่าเสื่อมราคา (บดทับ )</t>
  </si>
  <si>
    <t xml:space="preserve">งานพื้นทางหินคลุก (Crushed Rock Soil Aggregate  Type Base)  </t>
  </si>
  <si>
    <t xml:space="preserve">ส่วนยุบตัว  </t>
  </si>
  <si>
    <t>ค่าดำเนินการ + ค่าเสื่อมราคา (ผสม)</t>
  </si>
  <si>
    <t>บาท</t>
  </si>
  <si>
    <t>/</t>
  </si>
  <si>
    <t>บาท/ตร.ม.</t>
  </si>
  <si>
    <t>หนา</t>
  </si>
  <si>
    <t>ตัน</t>
  </si>
  <si>
    <t>บาท/ตัน</t>
  </si>
  <si>
    <t>ค่างานต้นทุน</t>
  </si>
  <si>
    <t>งานชั้นผิวทางแอสฟัลต์คอนกรีต  (Asphalt Concrete  Wearing  Course)</t>
  </si>
  <si>
    <t>+</t>
  </si>
  <si>
    <t>ลวดผูกเหล็ก</t>
  </si>
  <si>
    <t>ชุด</t>
  </si>
  <si>
    <t>ม.</t>
  </si>
  <si>
    <t>งานตีเส้นจราจร  (Marking)</t>
  </si>
  <si>
    <t>งานตีเส้น ThermoPlastic Paint ระดับ 1 (Yellow &amp; White)</t>
  </si>
  <si>
    <t>ค่าสี</t>
  </si>
  <si>
    <t>กก / ตร.ม.</t>
  </si>
  <si>
    <t>ค่าลูกแก้ว</t>
  </si>
  <si>
    <t>ค่า Primer</t>
  </si>
  <si>
    <t>ค่าทดสอบความหนา , Factor การสะท้อนแสง , การสะท้อนแสง</t>
  </si>
  <si>
    <t>ต้น</t>
  </si>
  <si>
    <t>รายละเอียดการคำนวณค่างานต้นทุนต่อหน่วย  งานก่อสร้างทาง สะพาน และท่อเหลี่ยม</t>
  </si>
  <si>
    <t>สถานที่ก่อสร้าง</t>
  </si>
  <si>
    <t>ชื่อโครงการก่อสร้าง</t>
  </si>
  <si>
    <t>หน่วยงานเจ้าของโครงการ</t>
  </si>
  <si>
    <t>1/2</t>
  </si>
  <si>
    <t>2/2</t>
  </si>
  <si>
    <t>อยู่ในท้องที่จังหวัด</t>
  </si>
  <si>
    <t>เขตฝนตก</t>
  </si>
  <si>
    <t>ราคาน้ำมันโซล่า</t>
  </si>
  <si>
    <t>บาท /ลิตร</t>
  </si>
  <si>
    <t>เงินล่วงหน้าจ่าย</t>
  </si>
  <si>
    <t>%</t>
  </si>
  <si>
    <t>ดอกเบี้ยเงินกู้</t>
  </si>
  <si>
    <t>เงินประกันผลงานหัก</t>
  </si>
  <si>
    <t>ค่าภาษีมูลค่าเพิ่ม (VAT)</t>
  </si>
  <si>
    <t>คำนวณราคากลางเมื่อวันที่</t>
  </si>
  <si>
    <t>ชนิดของวัสดุ</t>
  </si>
  <si>
    <t xml:space="preserve">ค่าวัสดุ </t>
  </si>
  <si>
    <t xml:space="preserve">ระยะขนส่ง </t>
  </si>
  <si>
    <t xml:space="preserve">ค่าขนขึ้นลง </t>
  </si>
  <si>
    <t xml:space="preserve">รวม </t>
  </si>
  <si>
    <t>ขนส่งด้วยรถบรรทุก</t>
  </si>
  <si>
    <t>(กม.)</t>
  </si>
  <si>
    <t>เหล็ก  RB  ø  6  มม.</t>
  </si>
  <si>
    <t>บ./ตัน</t>
  </si>
  <si>
    <t>รถบรรทุก 10 ล้อ</t>
  </si>
  <si>
    <t>เหล็ก  RB  ø  9  มม.</t>
  </si>
  <si>
    <t>เหล็ก  RB  ø  12  มม.</t>
  </si>
  <si>
    <t>เหล็ก  RB  ø  15  มม.</t>
  </si>
  <si>
    <t>เหล็ก  RB  ø  19  มม.</t>
  </si>
  <si>
    <t>เหล็ก  DB  ø  12  มม.</t>
  </si>
  <si>
    <t>เหล็ก  DB  ø  16  มม.</t>
  </si>
  <si>
    <t>เหล็ก  DB  ø  20  มม.</t>
  </si>
  <si>
    <t>เหล็ก  DB  ø  25  มม.</t>
  </si>
  <si>
    <t>บ./ตร.ม.</t>
  </si>
  <si>
    <t>บ./กก.</t>
  </si>
  <si>
    <t>รถบรรทุก 10 ล้อ + ลากพ่วง</t>
  </si>
  <si>
    <t>หิน  Single  Size</t>
  </si>
  <si>
    <t>บ./ลบ.ม.</t>
  </si>
  <si>
    <t>หินผสมแอสฟัลท์คอนกรีต</t>
  </si>
  <si>
    <t>วัสดุลูกรัง</t>
  </si>
  <si>
    <t>วัสดุคัดเลือก  " ก "</t>
  </si>
  <si>
    <t>ทรายถมคันทาง</t>
  </si>
  <si>
    <t>ดินถมคันทาง</t>
  </si>
  <si>
    <t>ท่อกลมขนาด  ø  0.30 ม. ชั้น 3</t>
  </si>
  <si>
    <t>ท่อน</t>
  </si>
  <si>
    <t>ท่อกลมขนาด  ø  0.40 ม. ชั้น 3</t>
  </si>
  <si>
    <t>ท่อกลมขนาด  ø  0.60 ม. ชั้น 3</t>
  </si>
  <si>
    <t>ท่อกลมขนาด  ø  0.80 ม. ชั้น 3</t>
  </si>
  <si>
    <t>ท่อกลมขนาด  ø  1.00 ม. ชั้น 3</t>
  </si>
  <si>
    <t xml:space="preserve">ไม้กระบาก   1" x 8" </t>
  </si>
  <si>
    <t>ลบ.ฟ.</t>
  </si>
  <si>
    <t xml:space="preserve">ไม้อัดยาง  หนา     4  มม.      </t>
  </si>
  <si>
    <t>แผ่น</t>
  </si>
  <si>
    <t xml:space="preserve">ไม้คร่าว   1 1"/2 x 3"      </t>
  </si>
  <si>
    <t>ไม้ค้ำยัน  ø  3" x 3.00  ม.</t>
  </si>
  <si>
    <t>ไม้ค้ำยัน  ø  4" x 3.00  ม.</t>
  </si>
  <si>
    <t>แผ่นเหล็ก   4  มม. x  5  ซม.</t>
  </si>
  <si>
    <t>แผ่นเหล็ก   6  มม. x  5  ซม.</t>
  </si>
  <si>
    <t>ตะปู</t>
  </si>
  <si>
    <t>กรณีทรายและหินมีหน่วยเป็นปริมาตร</t>
  </si>
  <si>
    <t>ส่วนผสมคอนกรีต</t>
  </si>
  <si>
    <t>400:524:728</t>
  </si>
  <si>
    <t>350:572:736</t>
  </si>
  <si>
    <t>320:596:764</t>
  </si>
  <si>
    <t>240:520:870</t>
  </si>
  <si>
    <t>ไม้แบบ</t>
  </si>
  <si>
    <t>ค่าแรง</t>
  </si>
  <si>
    <t>น้ำมันทาผิวไม้</t>
  </si>
  <si>
    <t>งานผิวทาง</t>
  </si>
  <si>
    <t>งานดินถมคันทาง</t>
  </si>
  <si>
    <t>แผ่นที่</t>
  </si>
  <si>
    <t>แบบสรุปข้อมูลวัสดุ และค่าดำเนินการ  งานก่อสร้างทาง  สะพาน  และท่อเหลี่ยม</t>
  </si>
  <si>
    <t>ค่าตัด / ดัด</t>
  </si>
  <si>
    <t>การอ้างอิงราคา หรือ แหล่งวัสดุ</t>
  </si>
  <si>
    <t>จาก พาณิชย์จ.นครปฐม</t>
  </si>
  <si>
    <t>ท่อพีวีซี ชั้น 8.5 ยาว 4 เมตร</t>
  </si>
  <si>
    <t>คอนกรีตผสมเสร็จ 240 ksc</t>
  </si>
  <si>
    <t>คอนกรีตผสมเสร็จ 180 ksc</t>
  </si>
  <si>
    <t>ขนาดหรือเนื้อที่</t>
  </si>
  <si>
    <t>เฉลี่ยราคา</t>
  </si>
  <si>
    <t>งานลาดแอสฟัลต์ไพร์มโค๊ต (Prime Coat)</t>
  </si>
  <si>
    <t>งานลาดแอสฟัลต์แทคโค๊ต (Tack Coat)</t>
  </si>
  <si>
    <t>งานรื้อผิวลาดยางเดิม</t>
  </si>
  <si>
    <t>จาก พาณิชย์จ.กรุงเทพฯ</t>
  </si>
  <si>
    <t>ค่าดำเนินการ (ค่าแรงและค่าเสื่อมราคาเครื่องมือฯ) =</t>
  </si>
  <si>
    <t xml:space="preserve"> บาท/ตร.ม.</t>
  </si>
  <si>
    <t>(หินผสม + ค่าขนส่ง) x 0.74</t>
  </si>
  <si>
    <t xml:space="preserve">ค่าขนส่งแอสฟัลติกคอนกรีตในสายทาง ระยะทาง  </t>
  </si>
  <si>
    <t>ค่าติดตั้งเครื่องผสม = 250,000/……..</t>
  </si>
  <si>
    <t>*ราคาน้ำมันดีเซล บาท/ลิตร</t>
  </si>
  <si>
    <t>ผลรวมค่างานต้นทุนงานก่อสร้างทาง</t>
  </si>
  <si>
    <t>ผลรวมค่างานต้นทุนงานก่อสร้างสะพานและท่อเหลี่ยม</t>
  </si>
  <si>
    <t>ผลรวมค่าใช้จ่ายพิเศษตามข้อกำหนดและค่าใช้จ่ายอื่นๆ</t>
  </si>
  <si>
    <t>ค่า FACTOR   F งานก่อสร้างทาง</t>
  </si>
  <si>
    <t>ค่า FACTOR   F งานก่อสร้างสะพานและท่อเหลี่ยม</t>
  </si>
  <si>
    <t>ปริมาณงาน Asphalt Concrete ทั้งโครงการ</t>
  </si>
  <si>
    <t>ค่าขนส่งอุปกรณ์ 80 ตัน ระยะทางขนส่ง (ไม่เกิน 300 กม.)</t>
  </si>
  <si>
    <t>กรณีที่ปริมาณงาน ASPHALT CONCRETE ทั้งโครงการ น้อยกว่า 10,000 ตัน ให้ใช้ปริมาณ ASPHALT CONCRETE
= 10,000 ตันในการคานวณค่าติดดตัง้ เครื่องผสม)</t>
  </si>
  <si>
    <t>= 10,000 ตันในการคำนวณค่าติดดตั้งเครื่องผสม</t>
  </si>
  <si>
    <t>ค่าดำเนินการ + ค่าเสื่อม (ค่าผสมวัสดุแอสฟัลติกคอนกรีต)</t>
  </si>
  <si>
    <t>(ปกติใช้ L/4)</t>
  </si>
  <si>
    <t>ค่าดำเนินการ + ค่าเสื่อมราคา (งานปูลาดและบดทับผิว AC หนา 5 ซม.บนผิวไพร์มโค๊ต) x (ตัวแปร) x (พื้นที่ปูลาดตามความหนา)</t>
  </si>
  <si>
    <t>งานรื้อชั้นทางเดิมและก่อสร้างใหม่  (SCARIFICATION &amp; RECONSTRUCTION OF EXISTING BASE) ลูกรังหนา  10  ซม.</t>
  </si>
  <si>
    <t>ค่าดำเนินการ + ค่าเสื่อมราคา (งานขุดรื้อคันทางเดิมและบดทับ)</t>
  </si>
  <si>
    <t>ค่ายาง CSS-1 (จากตารางที่ 1) 1.0 X</t>
  </si>
  <si>
    <t>ค่าดำเนินการ + ค่าเสื่อมราคา (งานราดยางไพรม์โค้ต)</t>
  </si>
  <si>
    <t>งานดิน</t>
  </si>
  <si>
    <t>งานรื้อโครงสร้างถนนเดิม</t>
  </si>
  <si>
    <t>งานรื้อผิวคอนกรีตเดิม</t>
  </si>
  <si>
    <t>งานถางป่าและขุดตอ</t>
  </si>
  <si>
    <t>งานทรายถมคันทาง</t>
  </si>
  <si>
    <t>งานวัสดุคัดเลือกประเภท ก</t>
  </si>
  <si>
    <t>งานรองพื้นทางและพื้นทาง</t>
  </si>
  <si>
    <t>งานรองพื้นทางวัสดุมวลรวม</t>
  </si>
  <si>
    <t>งานพื้นทางหินคลุก</t>
  </si>
  <si>
    <t>งานรื้อชั้นทางเดิมและก่อสร้างใหม่</t>
  </si>
  <si>
    <t>งานปรับระดับแอสฟัลต์คอนกรีต</t>
  </si>
  <si>
    <t>งานชั้นผิวทางแอสฟัลต์คอนกรีต</t>
  </si>
  <si>
    <t>งาน PARA ASPHALT CONCRETE</t>
  </si>
  <si>
    <t>งานไหล่ทางวัสดุมวลรวม</t>
  </si>
  <si>
    <t>งานรองผิวทางแอสฟัลต์คอนกรีต</t>
  </si>
  <si>
    <t>งานโครงสร้าง</t>
  </si>
  <si>
    <t>งานท่อเหลี่ยมคอนกรีตเสริมเหล็กก่อสร้างใหม่</t>
  </si>
  <si>
    <t xml:space="preserve">งานท่อกลมคสล.ขนาด Ø  0.60 ม.  </t>
  </si>
  <si>
    <t xml:space="preserve">งานท่อกลมคสล.ขนาด Ø  0.40 ม.  </t>
  </si>
  <si>
    <t>งานเบ็ดเตล็ด</t>
  </si>
  <si>
    <t>รางระบายน้ำคอนกรีตเสริมเหล็ก</t>
  </si>
  <si>
    <t xml:space="preserve">งานตีเส้นจราจร THERMOPLASTIC  PANT </t>
  </si>
  <si>
    <t>(สีเหลืองและสีขาว)</t>
  </si>
  <si>
    <t>รายการ</t>
  </si>
  <si>
    <t>ปริมาณ</t>
  </si>
  <si>
    <t>งาน</t>
  </si>
  <si>
    <t>Factor</t>
  </si>
  <si>
    <t>F</t>
  </si>
  <si>
    <t xml:space="preserve">ราคาต่อหน่วย </t>
  </si>
  <si>
    <t>x FF</t>
  </si>
  <si>
    <t>หนา 10 ซม. ชั้นพื้นทางหินคลุก/กรวดโม่</t>
  </si>
  <si>
    <t>หนา 10 ซม. ชั้นรองพื้นทางวัสดุมวลรวม</t>
  </si>
  <si>
    <t xml:space="preserve">งานปรับปรุงชั้นทางเดิมในที่ ขุดลึกเฉลี่ย </t>
  </si>
  <si>
    <t>15 ซม. ชั้นพื้นทางหินคลุก/กรวดโม่</t>
  </si>
  <si>
    <t>20 ซม. ชั้นพื้นทางหินคลุก/กรวดโม่</t>
  </si>
  <si>
    <t>ยาง CSS- 1</t>
  </si>
  <si>
    <t>ยาง  AC 60/70</t>
  </si>
  <si>
    <t>เหล็กฉาก  L 50 x 50 x 4  มม.</t>
  </si>
  <si>
    <t>แผ่นพื้นสำเร็จรูป ยาว 3 เมตร</t>
  </si>
  <si>
    <t>ข้อมูลงานคอนกรีต</t>
  </si>
  <si>
    <t>ข้อมูลงานคอนกรีต Class ต่างๆ ตามมาตรฐานกรมทางหลวงชนบท</t>
  </si>
  <si>
    <t>กรณีทรายและหินมีหน่วยเป็นน้ำหนัก(สภาพอิ่มตัวผิวแห้ง)</t>
  </si>
  <si>
    <t>Class  of  Concrete</t>
  </si>
  <si>
    <t>ค4</t>
  </si>
  <si>
    <t>ค3</t>
  </si>
  <si>
    <t>ค2</t>
  </si>
  <si>
    <t>ค1</t>
  </si>
  <si>
    <t>Lean 1 : 3 : 5</t>
  </si>
  <si>
    <t>400:734:1019</t>
  </si>
  <si>
    <t>350:800:1030</t>
  </si>
  <si>
    <t>320:835:1070</t>
  </si>
  <si>
    <t>290:868:1015</t>
  </si>
  <si>
    <t>240:728:1218</t>
  </si>
  <si>
    <t>ปูนซีเมนต์ซีเมนต์</t>
  </si>
  <si>
    <t>ทราย</t>
  </si>
  <si>
    <t>หิน</t>
  </si>
  <si>
    <t>ค่าแรงผสม - เท</t>
  </si>
  <si>
    <t>ในส่วนของข้อมูลงานคอนกรีตนี้ ผู้มีหน้าที่คำนวณราคากลางสามารถปรับใช้ตามตารางข้อมูลงานคอนกรีต Class ต่างๆ ตามมาตรฐานของกรมทางหลวงหรือกรมทางหลวง</t>
  </si>
  <si>
    <t>ชนบท ได้ตามข้อมูล/ข้อเท็จจริงสำหรับโครงการ/งานก่อสร้างนั้น ส่วนกรณีที่เป็นกำลังคอนกรีตอื่นนอกเหนือจากมาตรฐานของกรมทางหลวงหรือกรมทางหลวงชนบทตาม</t>
  </si>
  <si>
    <t>ตารางดังกล่าวให้ผู้ออกแบบโครงการ/งานก่อสร้างนั้น กำหนดสัดส่วนหรืออัตราส่วนผสมขึ้นใหม่ตามหลักการทางวิศวกรรม โดยต้องระบุปริมาณปูนซีเมนต์และหรือวัสดุที่ให้ใช้</t>
  </si>
  <si>
    <t>ขั้นต่ำในขั้นตอนการก่อสร้างไว้ด้วย และให้ผู้มีหน้าที่ในการคำนวณราคากลางใช้ปริมาณปูนซีเมนต์และหรือวัสดุขั้นต่ำนั้นในการกำหนดข้อมูลเพื่อคำนวณราคากลาง</t>
  </si>
  <si>
    <t>ที่มา : ตารางและข้อมูลงาน Class ต่างๆ ตามมาตรฐานทางหลวงชนบท  อ้างอิงหรือศึกษาได้จากหลักเกณฑ์การคำนวณราคากลางงานก่อสร้างทาง  สะพาน  และท่อเหลี่ยม</t>
  </si>
  <si>
    <t>(หน้า 22 - 23) ทั้งนี้  ตามหลักเกณฑ์การคำนวณราคากลางงานก่อสร้างของทางราชการ  มติ ครม. เมื่อ  วันที่  13  มีนาคม  2555</t>
  </si>
  <si>
    <t>คิดจากพื้นที่</t>
  </si>
  <si>
    <t>ไม้กระบากหรือไม้ยางหรือเทียบเท่า</t>
  </si>
  <si>
    <t>ลบ.ฟ. @</t>
  </si>
  <si>
    <t>ไม้คร่าว</t>
  </si>
  <si>
    <t>ต้น @</t>
  </si>
  <si>
    <t xml:space="preserve">ไม้ค้ำยันแบบ </t>
  </si>
  <si>
    <t xml:space="preserve">ตะปู   </t>
  </si>
  <si>
    <t>กก. @</t>
  </si>
  <si>
    <t>เนื่องจากใช้งานได้ 4 ครั้ง คิดจาก</t>
  </si>
  <si>
    <t>เนื่องจากใช้งานได้ 5 ครั้ง คิดจาก</t>
  </si>
  <si>
    <r>
      <t xml:space="preserve">ไม้แบบสำหรับงานทั่วไป </t>
    </r>
    <r>
      <rPr>
        <sz val="14"/>
        <rFont val="TH SarabunPSK"/>
        <family val="2"/>
      </rPr>
      <t>=  ไม้แบบ (1) พื้นที่ 1 ตารางเมตร</t>
    </r>
  </si>
  <si>
    <r>
      <t xml:space="preserve">ไม้แบบสำหรับงานอย่างง่าย </t>
    </r>
    <r>
      <rPr>
        <sz val="14"/>
        <rFont val="TH SarabunPSK"/>
        <family val="2"/>
      </rPr>
      <t>=  ไม้แบบ (2) พื้นที่ 1 ตารางเมตร</t>
    </r>
  </si>
  <si>
    <t>หินย่อยผสมคอนกรีต</t>
  </si>
  <si>
    <t>ค่าวัสดุจากปากโม่(รวมค่าตัก)</t>
  </si>
  <si>
    <t>290:620:725</t>
  </si>
  <si>
    <t xml:space="preserve">งานลาดแอสฟัลต์แทคโค้ต  (TACK COAT) </t>
  </si>
  <si>
    <t xml:space="preserve">งานลาดแอสฟัลต์ไพร์มโค้ต  (Prime  Coat) </t>
  </si>
  <si>
    <t>ซุก</t>
  </si>
  <si>
    <t>เชียงราย</t>
  </si>
  <si>
    <t>จาก พาณิชย์จ.เชียงราย</t>
  </si>
  <si>
    <t>จาก แหล่ง อ.เวียงชัย จ.เชียงราย</t>
  </si>
  <si>
    <t>จาก แหล่ง อ.เมือง จ.เชียงราย</t>
  </si>
  <si>
    <t>ค่าดำเนินการ + ค่าเสื่อมราคา (งานราดยางแทคโค้ต)</t>
  </si>
  <si>
    <t>งานลาดแอสฟัลต์แทคโค้ต(Tack  Coat) ยาง CRS - 2</t>
  </si>
  <si>
    <t>ค่ายาง  0.30  ลิตร</t>
  </si>
  <si>
    <t>บาท/ลิตร</t>
  </si>
  <si>
    <t xml:space="preserve">ค่าดำเนินการ +  ค่าเสื่อมราคา </t>
  </si>
  <si>
    <t>ค่างานต้นทุนรวม</t>
  </si>
  <si>
    <t>ค่ายาง CRS 2  0.3 X</t>
  </si>
  <si>
    <t>บาท / ลิตร</t>
  </si>
  <si>
    <t>ราคาหินผสมแอสฟัลติกคอนกรีต</t>
  </si>
  <si>
    <t>(ยางAC + ค่าขนส่ง) x 0.055</t>
  </si>
  <si>
    <t>ผิวทางปอร์ตแลนด์ซีเมนต์คอนกรีต หนา</t>
  </si>
  <si>
    <t>0.15 เมตร (ใช้ตะแกรงเหล็ก)กว้าง 1.00 เมตร</t>
  </si>
  <si>
    <t>งานทรายรองใต้ผิวทางคอนกรีต</t>
  </si>
  <si>
    <t>รอยต่อเผื่อหดตามขวาง(Contraction Joint)</t>
  </si>
  <si>
    <t>เมตร</t>
  </si>
  <si>
    <t>เทศบาลตำบลเวียงชัย อ.เวียงชัย จ.เชียงราย</t>
  </si>
  <si>
    <t xml:space="preserve">        ( นายฐิติพงศ์  ประมูลวงค์ )  นายช่างโยธาชำนาญงาน</t>
  </si>
  <si>
    <t>รอยต่อเผื่อขยายตามขวาง (Expansion Joint)</t>
  </si>
  <si>
    <t>รอยต่อตามยาว (Longitudinal Joint)</t>
  </si>
  <si>
    <t>1/4</t>
  </si>
  <si>
    <t>งานทรายรองใต้ผิวทางคอนกรีต  (Sand  Cushion  Under  Concrete  Pavement)</t>
  </si>
  <si>
    <t>ค่าวัสดุจากแหล่ง (ทรายคอนกรีต)</t>
  </si>
  <si>
    <t>ค่าดำเนินการ + ค่าเสื่อมราคา (บดทับ  75 % ) (งานดินคันทาง:บดทับ)</t>
  </si>
  <si>
    <t>2/4</t>
  </si>
  <si>
    <t>ผิวทางปอร์ตแลนด์ซีเมนต์คอนกรีต  (Portland  Cement  Concrete  Pavement)</t>
  </si>
  <si>
    <t>ขนาดกว้าง</t>
  </si>
  <si>
    <t>ยาว</t>
  </si>
  <si>
    <t xml:space="preserve">  =</t>
  </si>
  <si>
    <t>ปริมาณงานทั้งโครงการ</t>
  </si>
  <si>
    <t xml:space="preserve">ค่าติดตั้งเครื่องผสม  =  </t>
  </si>
  <si>
    <t>กรณีที่ปริมาณงานทั้งโครงการน้อยกว่า 5,000 ลบ.ม. ให้ใช้ปริมาณงาน 5,000 ลบ.ม.</t>
  </si>
  <si>
    <t>ค่าคอนกรีต + ค่าติดตั้งเครื่องผสม</t>
  </si>
  <si>
    <t xml:space="preserve"> ตร.ม.</t>
  </si>
  <si>
    <t>ปริมาตรคอนกรีต</t>
  </si>
  <si>
    <t>ค่าขนส่งคอนกรีต................กม. (ปกติคิดให้ L/4) (งานผิวทางคอนกรีต : ค่าขนส่งคอนกรีต)</t>
  </si>
  <si>
    <t>ค่าตะแกรงเหล็ก</t>
  </si>
  <si>
    <t>ค่าวางตะแกรงเหล็ก</t>
  </si>
  <si>
    <t>ค่าแบบเหล็ก (ค่าแบบข้างติดตามยาว 2 ข้าง)</t>
  </si>
  <si>
    <t>ค่าปูผิวคอนกรีต  (ค่าปูผิวคอนกรีต)</t>
  </si>
  <si>
    <t>ค่าบ่ม (ค่าบ่มผิวทางคอนกรีต)</t>
  </si>
  <si>
    <t>รอยต่อเผื่อขยายตามขวาง  Expantion  Joint)</t>
  </si>
  <si>
    <t>คิดจากความยาว</t>
  </si>
  <si>
    <t xml:space="preserve"> ม.</t>
  </si>
  <si>
    <t>ค่าเหล็ก Dowel Bar</t>
  </si>
  <si>
    <t>Metalcap+ทาสี+จาระบี</t>
  </si>
  <si>
    <t>JOINT FILLER</t>
  </si>
  <si>
    <t>JOINT SEALER</t>
  </si>
  <si>
    <t>ลิตร</t>
  </si>
  <si>
    <t xml:space="preserve">ค่าหยอดยาง </t>
  </si>
  <si>
    <t>แผ่นพลาสติก</t>
  </si>
  <si>
    <t>บาท/เมตร</t>
  </si>
  <si>
    <t>3/4</t>
  </si>
  <si>
    <t>รอยต่อเผื่อหดตามขวาง  (Contraction  Joint)</t>
  </si>
  <si>
    <t>ค่าตัด Joint และหยอดยาง</t>
  </si>
  <si>
    <t>ทาสี + จาระบี</t>
  </si>
  <si>
    <t>รอยต่อตามยาว  (Longitudinal  Joint)</t>
  </si>
  <si>
    <t xml:space="preserve">คิดจากความยาว  </t>
  </si>
  <si>
    <t>ค่าเหล็ก Tie Bar</t>
  </si>
  <si>
    <t xml:space="preserve">งานไหล่ทางหินคลุก (Crushed Rock Soil Aggregate  Shoulder)  </t>
  </si>
  <si>
    <t>4/4</t>
  </si>
  <si>
    <t>ป้ายโครงการเหล็ก</t>
  </si>
  <si>
    <t>ป้าย</t>
  </si>
  <si>
    <t>ลงชื่อ…………….........…………………..ตรวจสอบ</t>
  </si>
  <si>
    <t xml:space="preserve">      (  นายยุทธนา  ไชยยะ )  หัวหน้าฝ่ายแบบแผนและก่อสร้าง</t>
  </si>
  <si>
    <t xml:space="preserve">            ( นายเนตร  ยาวิชัย  )  </t>
  </si>
  <si>
    <t xml:space="preserve">             ( นายธนกฤต  ปัญญาพฤกษ์  )</t>
  </si>
  <si>
    <t xml:space="preserve">งานป้ายจราจร แบบ บ 1 </t>
  </si>
  <si>
    <t>เทศบาลตำบลเวียงชัย อำเภอเวียงชัย จังหวัดเชียงราย</t>
  </si>
  <si>
    <t>0.50 x หินฝุ่น    +   0.25 x หิน3/4   +   0.10 x หิน 1/2   +   0.15xหิน3/8</t>
  </si>
  <si>
    <t>0.50 x 405  +   0.25 x 595   +   0.10 x 595   +  0.15 x 504</t>
  </si>
  <si>
    <t xml:space="preserve"> 202.5 + 148.75 + 59.5 + 75.6</t>
  </si>
  <si>
    <t xml:space="preserve">งานรื้อผิวคอนกรีตเดิม </t>
  </si>
  <si>
    <t>คิดจากความหนาของผิวทางคอนกรีต</t>
  </si>
  <si>
    <t>ซม</t>
  </si>
  <si>
    <t>ลบ.ม./ตร.ม.</t>
  </si>
  <si>
    <t>ส่วนขยาย</t>
  </si>
  <si>
    <t>ค่าทุบคอนกรีตเดิม</t>
  </si>
  <si>
    <t>400         บาท/ลบ.ม.</t>
  </si>
  <si>
    <t>ค่าทุบคอนกรีต</t>
  </si>
  <si>
    <t>ค่าดำเนินการ + ค่าเสื่อมดันและตัก (หินผุ)</t>
  </si>
  <si>
    <t>ขนทิ้ง   1     กม</t>
  </si>
  <si>
    <t>Wire Mesh  ø 4 -6 มม. @ 0.23m.#</t>
  </si>
  <si>
    <t>ปูนซีเมนต์ไฮดรอลิก</t>
  </si>
  <si>
    <t>หินคลุกเกรด A</t>
  </si>
  <si>
    <t xml:space="preserve">ทรายผสมคอนกรีต </t>
  </si>
  <si>
    <t>-</t>
  </si>
  <si>
    <t xml:space="preserve">               นายกเทศมนตรีตำบลเวียงชัย</t>
  </si>
  <si>
    <t xml:space="preserve">        ( นายพฤทธิ์ธนกฤต  แดงฟู )   วิศวกรโยธาปฎิบัติการ</t>
  </si>
  <si>
    <t>ปรับปรุงถนนแอสฟัลต์คอนกรีต ถนนปงเย็น หมู่ที่19 ตำบลเวียงชัย อำเภอเวียงชัย</t>
  </si>
  <si>
    <t>ถนนปงเย็น หมู่ที่19 ตำบลเวียงชัย อำเภอเวียงชัย</t>
  </si>
  <si>
    <t xml:space="preserve">แบบเลขที่ ตามแบบมาตรฐาน แบบเลขที่  ทถ – 7 - 201  </t>
  </si>
  <si>
    <t>ยาง CRS- 2</t>
  </si>
  <si>
    <t xml:space="preserve">ตั้งแต่ทางหลวง 1232 ถึงทางหลวง 1173 ขนาดกว้าง 6.00 เมตร ยาว 288.00 เมตร </t>
  </si>
  <si>
    <t xml:space="preserve">            มกราคม  2568</t>
  </si>
  <si>
    <t>ราคากลางก่อสร้าง</t>
  </si>
  <si>
    <t>งานก่อสร้างไหล่ถนน ค.ส.ล.   กว้าง 1.00 เมตร</t>
  </si>
  <si>
    <t xml:space="preserve">1.1)งานปรับเกลี่ยแต่งคันทางเดิม </t>
  </si>
  <si>
    <t xml:space="preserve">1.2) งานทรายรองใต้ผิวทางคอนกรีต </t>
  </si>
  <si>
    <t>1.3) ผิวทางปอร์ตแลนด์ซีเมนต์คอนกรีต หนา 0.15 ม.</t>
  </si>
  <si>
    <t>ลงชื่อ…………….........…………………..กรรมการ</t>
  </si>
  <si>
    <t>ลงชื่อ…………….........…………………..ประธานกรรมการ</t>
  </si>
  <si>
    <t xml:space="preserve">     ( นางสาวศิริขวัญ  ดวงทิพย์) นักวิชาการพัสดุชำนาญการ</t>
  </si>
  <si>
    <t xml:space="preserve">              ( นางบุหลัน  ประมูล   )</t>
  </si>
  <si>
    <t xml:space="preserve">              ผู้อำนวยการกองคลัง</t>
  </si>
  <si>
    <t xml:space="preserve">     (นางบุหลัน  ประมูล) ผู้อำนวยการกองคลัง</t>
  </si>
  <si>
    <t xml:space="preserve">            (นายเลิศพงศ์  อภิจิรานุวัฒน์) ปลัดเทศบาลตำบลเวียงชัย</t>
  </si>
  <si>
    <t>ลงชื่อ................................................................</t>
  </si>
  <si>
    <t>ลงชื่อ...................................................................</t>
  </si>
  <si>
    <t>ลงชื่อ.………………...............…..…………อนุมัติ</t>
  </si>
  <si>
    <t xml:space="preserve">      รองนายกเทศมนตรีตำบลเวียงชัย</t>
  </si>
  <si>
    <t xml:space="preserve"> หนาเฉลี่ย 0.05 เมตร พื้นที่ก่อสร้างไม่น้อยกว่า  1728.00 ตารางเมตร ตามแบบมาตรฐานงานทางสำหรับองค์กรปกครองส่วนท้องถิ่น  แบบเลขที่  ทถ – 7 - 201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</si>
</sst>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(* #,##0.00_);_(* \(#,##0.00\);_(* &quot;-&quot;??_);_(@_)"/>
    <numFmt numFmtId="187" formatCode="_-* #,##0.00_-;\-* #,##0.00_-;_-* &quot;-&quot;??_-;_-@_-"/>
    <numFmt numFmtId="188" formatCode="##."/>
    <numFmt numFmtId="189" formatCode="0.0"/>
    <numFmt numFmtId="190" formatCode="#,##0.0000"/>
    <numFmt numFmtId="191" formatCode="0.000"/>
    <numFmt numFmtId="192" formatCode="_-* #,##0.000_-;\-* #,##0.000_-;_-* &quot;-&quot;??_-;_-@_-"/>
  </numFmts>
  <fonts count="37" x14ac:knownFonts="1">
    <font>
      <sz val="14"/>
      <name val="Cordia New"/>
      <charset val="222"/>
    </font>
    <font>
      <sz val="14"/>
      <name val="Cordia New"/>
      <family val="2"/>
    </font>
    <font>
      <sz val="14"/>
      <name val="Cordia New"/>
      <family val="2"/>
    </font>
    <font>
      <sz val="14"/>
      <name val="AngsanaUPC"/>
      <family val="1"/>
      <charset val="222"/>
    </font>
    <font>
      <sz val="15"/>
      <name val="AngsanaUPC"/>
      <family val="1"/>
      <charset val="222"/>
    </font>
    <font>
      <sz val="10"/>
      <name val="Arial"/>
      <family val="2"/>
    </font>
    <font>
      <sz val="8"/>
      <color indexed="81"/>
      <name val="Tahoma"/>
      <family val="2"/>
    </font>
    <font>
      <sz val="14"/>
      <name val="TH SarabunPSK"/>
      <family val="2"/>
    </font>
    <font>
      <b/>
      <sz val="14"/>
      <name val="TH SarabunPSK"/>
      <family val="2"/>
    </font>
    <font>
      <sz val="13"/>
      <name val="TH SarabunPSK"/>
      <family val="2"/>
    </font>
    <font>
      <sz val="16"/>
      <name val="TH SarabunPSK"/>
      <family val="2"/>
    </font>
    <font>
      <sz val="9"/>
      <color indexed="81"/>
      <name val="Tahoma"/>
      <family val="2"/>
    </font>
    <font>
      <sz val="14"/>
      <color theme="1"/>
      <name val="TH SarabunPSK"/>
      <family val="2"/>
      <charset val="222"/>
    </font>
    <font>
      <b/>
      <sz val="13"/>
      <color theme="1"/>
      <name val="TH SarabunPSK"/>
      <family val="2"/>
    </font>
    <font>
      <sz val="13"/>
      <color theme="1"/>
      <name val="TH SarabunPSK"/>
      <family val="2"/>
    </font>
    <font>
      <b/>
      <sz val="13"/>
      <name val="TH SarabunPSK"/>
      <family val="2"/>
    </font>
    <font>
      <sz val="15"/>
      <name val="Angsana New"/>
      <family val="1"/>
    </font>
    <font>
      <sz val="16"/>
      <name val="Angsana New"/>
      <family val="1"/>
    </font>
    <font>
      <sz val="10"/>
      <color indexed="81"/>
      <name val="Tahoma"/>
      <family val="2"/>
    </font>
    <font>
      <b/>
      <sz val="14"/>
      <name val="AngsanaUPC"/>
      <family val="1"/>
    </font>
    <font>
      <sz val="14"/>
      <name val="AngsanaUPC"/>
      <family val="1"/>
    </font>
    <font>
      <sz val="14"/>
      <color rgb="FFFF0000"/>
      <name val="AngsanaUPC"/>
      <family val="1"/>
    </font>
    <font>
      <b/>
      <sz val="16"/>
      <name val="AngsanaUPC"/>
      <family val="1"/>
    </font>
    <font>
      <b/>
      <u/>
      <sz val="14"/>
      <name val="AngsanaUPC"/>
      <family val="1"/>
    </font>
    <font>
      <sz val="16"/>
      <name val="AngsanaUPC"/>
      <family val="1"/>
    </font>
    <font>
      <b/>
      <u/>
      <sz val="14"/>
      <color rgb="FFFF0000"/>
      <name val="AngsanaUPC"/>
      <family val="1"/>
    </font>
    <font>
      <b/>
      <sz val="14"/>
      <color rgb="FFFF0000"/>
      <name val="AngsanaUPC"/>
      <family val="1"/>
    </font>
    <font>
      <sz val="14"/>
      <color rgb="FFFF0000"/>
      <name val="Angsana New"/>
      <family val="1"/>
    </font>
    <font>
      <sz val="13"/>
      <name val="Cordia New"/>
      <family val="2"/>
    </font>
    <font>
      <sz val="13"/>
      <color theme="0"/>
      <name val="Cordia New"/>
      <family val="2"/>
    </font>
    <font>
      <b/>
      <sz val="13"/>
      <color indexed="12"/>
      <name val="Cordia New"/>
      <family val="2"/>
    </font>
    <font>
      <b/>
      <sz val="9"/>
      <color indexed="81"/>
      <name val="Tahoma"/>
      <family val="2"/>
    </font>
    <font>
      <sz val="13"/>
      <color rgb="FFFF0000"/>
      <name val="Cordia New"/>
      <family val="2"/>
    </font>
    <font>
      <b/>
      <sz val="13"/>
      <color rgb="FFFF0000"/>
      <name val="Cordia New"/>
      <family val="2"/>
    </font>
    <font>
      <sz val="14"/>
      <color theme="4"/>
      <name val="AngsanaUPC"/>
      <family val="1"/>
    </font>
    <font>
      <b/>
      <sz val="14"/>
      <color rgb="FF92D050"/>
      <name val="AngsanaUPC"/>
      <family val="1"/>
    </font>
    <font>
      <sz val="12"/>
      <name val="AngsanaUPC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4">
    <xf numFmtId="0" fontId="0" fillId="0" borderId="0"/>
    <xf numFmtId="187" fontId="1" fillId="0" borderId="0" applyFont="0" applyFill="0" applyBorder="0" applyAlignment="0" applyProtection="0"/>
    <xf numFmtId="188" fontId="5" fillId="0" borderId="0" applyFont="0" applyFill="0" applyBorder="0" applyAlignment="0" applyProtection="0"/>
    <xf numFmtId="188" fontId="2" fillId="0" borderId="0" applyFont="0" applyFill="0" applyBorder="0" applyAlignment="0" applyProtection="0"/>
    <xf numFmtId="0" fontId="5" fillId="0" borderId="0"/>
    <xf numFmtId="0" fontId="2" fillId="0" borderId="0"/>
    <xf numFmtId="0" fontId="3" fillId="0" borderId="0"/>
    <xf numFmtId="0" fontId="4" fillId="0" borderId="0"/>
    <xf numFmtId="0" fontId="5" fillId="0" borderId="0"/>
    <xf numFmtId="0" fontId="12" fillId="0" borderId="0"/>
    <xf numFmtId="0" fontId="16" fillId="0" borderId="0"/>
    <xf numFmtId="0" fontId="3" fillId="0" borderId="0"/>
    <xf numFmtId="187" fontId="17" fillId="0" borderId="0" applyFont="0" applyFill="0" applyBorder="0" applyAlignment="0" applyProtection="0"/>
    <xf numFmtId="0" fontId="5" fillId="0" borderId="0"/>
  </cellStyleXfs>
  <cellXfs count="376">
    <xf numFmtId="0" fontId="0" fillId="0" borderId="0" xfId="0"/>
    <xf numFmtId="0" fontId="7" fillId="0" borderId="0" xfId="0" applyFont="1"/>
    <xf numFmtId="4" fontId="7" fillId="0" borderId="0" xfId="0" applyNumberFormat="1" applyFont="1"/>
    <xf numFmtId="0" fontId="7" fillId="0" borderId="0" xfId="0" applyFont="1" applyAlignment="1">
      <alignment horizontal="center"/>
    </xf>
    <xf numFmtId="2" fontId="7" fillId="0" borderId="0" xfId="0" applyNumberFormat="1" applyFont="1"/>
    <xf numFmtId="187" fontId="7" fillId="0" borderId="0" xfId="1" applyFont="1"/>
    <xf numFmtId="0" fontId="9" fillId="0" borderId="0" xfId="8" applyFont="1" applyProtection="1">
      <protection hidden="1"/>
    </xf>
    <xf numFmtId="0" fontId="14" fillId="0" borderId="0" xfId="9" applyFont="1" applyProtection="1">
      <protection hidden="1"/>
    </xf>
    <xf numFmtId="0" fontId="9" fillId="0" borderId="0" xfId="8" applyFont="1" applyAlignment="1" applyProtection="1">
      <alignment horizontal="center"/>
      <protection hidden="1"/>
    </xf>
    <xf numFmtId="0" fontId="13" fillId="0" borderId="1" xfId="9" applyFont="1" applyBorder="1" applyAlignment="1" applyProtection="1">
      <alignment horizontal="center"/>
      <protection hidden="1"/>
    </xf>
    <xf numFmtId="0" fontId="13" fillId="0" borderId="11" xfId="9" applyFont="1" applyBorder="1" applyAlignment="1" applyProtection="1">
      <alignment horizontal="center"/>
      <protection hidden="1"/>
    </xf>
    <xf numFmtId="0" fontId="9" fillId="0" borderId="20" xfId="8" applyFont="1" applyBorder="1" applyAlignment="1" applyProtection="1">
      <alignment horizontal="center"/>
      <protection hidden="1"/>
    </xf>
    <xf numFmtId="0" fontId="9" fillId="0" borderId="21" xfId="8" applyFont="1" applyBorder="1" applyProtection="1">
      <protection hidden="1"/>
    </xf>
    <xf numFmtId="187" fontId="9" fillId="0" borderId="21" xfId="2" applyNumberFormat="1" applyFont="1" applyBorder="1" applyAlignment="1" applyProtection="1">
      <alignment horizontal="right"/>
      <protection hidden="1"/>
    </xf>
    <xf numFmtId="0" fontId="9" fillId="0" borderId="21" xfId="8" applyFont="1" applyBorder="1" applyAlignment="1" applyProtection="1">
      <alignment horizontal="center"/>
      <protection hidden="1"/>
    </xf>
    <xf numFmtId="187" fontId="9" fillId="0" borderId="21" xfId="2" applyNumberFormat="1" applyFont="1" applyBorder="1" applyAlignment="1" applyProtection="1">
      <alignment horizontal="left"/>
      <protection hidden="1"/>
    </xf>
    <xf numFmtId="4" fontId="9" fillId="0" borderId="21" xfId="8" applyNumberFormat="1" applyFont="1" applyBorder="1" applyAlignment="1" applyProtection="1">
      <alignment horizontal="center"/>
      <protection hidden="1"/>
    </xf>
    <xf numFmtId="187" fontId="9" fillId="0" borderId="22" xfId="2" applyNumberFormat="1" applyFont="1" applyBorder="1" applyAlignment="1" applyProtection="1">
      <protection hidden="1"/>
    </xf>
    <xf numFmtId="4" fontId="9" fillId="0" borderId="20" xfId="8" applyNumberFormat="1" applyFont="1" applyBorder="1" applyAlignment="1" applyProtection="1">
      <alignment horizontal="center"/>
      <protection hidden="1"/>
    </xf>
    <xf numFmtId="4" fontId="9" fillId="0" borderId="23" xfId="8" applyNumberFormat="1" applyFont="1" applyBorder="1" applyAlignment="1" applyProtection="1">
      <alignment horizontal="center"/>
      <protection hidden="1"/>
    </xf>
    <xf numFmtId="0" fontId="9" fillId="0" borderId="24" xfId="8" applyFont="1" applyBorder="1" applyAlignment="1" applyProtection="1">
      <alignment horizontal="center"/>
      <protection hidden="1"/>
    </xf>
    <xf numFmtId="0" fontId="9" fillId="0" borderId="19" xfId="8" applyFont="1" applyBorder="1" applyProtection="1">
      <protection hidden="1"/>
    </xf>
    <xf numFmtId="187" fontId="9" fillId="0" borderId="19" xfId="2" applyNumberFormat="1" applyFont="1" applyBorder="1" applyAlignment="1" applyProtection="1">
      <alignment horizontal="right"/>
      <protection hidden="1"/>
    </xf>
    <xf numFmtId="0" fontId="9" fillId="0" borderId="19" xfId="8" applyFont="1" applyBorder="1" applyAlignment="1" applyProtection="1">
      <alignment horizontal="center"/>
      <protection hidden="1"/>
    </xf>
    <xf numFmtId="187" fontId="9" fillId="0" borderId="19" xfId="2" applyNumberFormat="1" applyFont="1" applyBorder="1" applyAlignment="1" applyProtection="1">
      <alignment horizontal="left"/>
      <protection hidden="1"/>
    </xf>
    <xf numFmtId="4" fontId="9" fillId="0" borderId="19" xfId="8" applyNumberFormat="1" applyFont="1" applyBorder="1" applyAlignment="1" applyProtection="1">
      <alignment horizontal="center"/>
      <protection hidden="1"/>
    </xf>
    <xf numFmtId="4" fontId="9" fillId="0" borderId="24" xfId="8" applyNumberFormat="1" applyFont="1" applyBorder="1" applyAlignment="1" applyProtection="1">
      <alignment horizontal="center"/>
      <protection hidden="1"/>
    </xf>
    <xf numFmtId="4" fontId="9" fillId="0" borderId="25" xfId="8" applyNumberFormat="1" applyFont="1" applyBorder="1" applyAlignment="1" applyProtection="1">
      <alignment horizontal="center"/>
      <protection hidden="1"/>
    </xf>
    <xf numFmtId="0" fontId="9" fillId="0" borderId="6" xfId="8" applyFont="1" applyBorder="1" applyAlignment="1" applyProtection="1">
      <alignment horizontal="center"/>
      <protection hidden="1"/>
    </xf>
    <xf numFmtId="0" fontId="9" fillId="0" borderId="7" xfId="8" applyFont="1" applyBorder="1" applyProtection="1">
      <protection hidden="1"/>
    </xf>
    <xf numFmtId="0" fontId="9" fillId="0" borderId="5" xfId="8" applyFont="1" applyBorder="1" applyProtection="1">
      <protection hidden="1"/>
    </xf>
    <xf numFmtId="187" fontId="9" fillId="0" borderId="26" xfId="1" applyFont="1" applyFill="1" applyBorder="1" applyAlignment="1" applyProtection="1">
      <alignment horizontal="center"/>
      <protection hidden="1"/>
    </xf>
    <xf numFmtId="187" fontId="9" fillId="0" borderId="27" xfId="1" applyFont="1" applyFill="1" applyBorder="1" applyAlignment="1" applyProtection="1">
      <alignment horizontal="center"/>
      <protection hidden="1"/>
    </xf>
    <xf numFmtId="4" fontId="15" fillId="0" borderId="17" xfId="8" applyNumberFormat="1" applyFont="1" applyBorder="1" applyAlignment="1" applyProtection="1">
      <alignment horizontal="center"/>
      <protection hidden="1"/>
    </xf>
    <xf numFmtId="4" fontId="15" fillId="0" borderId="11" xfId="8" applyNumberFormat="1" applyFont="1" applyBorder="1" applyAlignment="1" applyProtection="1">
      <alignment horizontal="center"/>
      <protection hidden="1"/>
    </xf>
    <xf numFmtId="187" fontId="9" fillId="0" borderId="21" xfId="2" applyNumberFormat="1" applyFont="1" applyBorder="1" applyAlignment="1" applyProtection="1">
      <alignment horizontal="center"/>
      <protection hidden="1"/>
    </xf>
    <xf numFmtId="187" fontId="9" fillId="0" borderId="19" xfId="2" applyNumberFormat="1" applyFont="1" applyBorder="1" applyAlignment="1" applyProtection="1">
      <alignment horizontal="center"/>
      <protection hidden="1"/>
    </xf>
    <xf numFmtId="0" fontId="9" fillId="0" borderId="0" xfId="10" applyFont="1" applyProtection="1">
      <protection hidden="1"/>
    </xf>
    <xf numFmtId="0" fontId="15" fillId="0" borderId="0" xfId="8" applyFont="1" applyAlignment="1" applyProtection="1">
      <alignment horizontal="left"/>
      <protection hidden="1"/>
    </xf>
    <xf numFmtId="0" fontId="15" fillId="0" borderId="0" xfId="8" applyFont="1" applyProtection="1">
      <protection hidden="1"/>
    </xf>
    <xf numFmtId="0" fontId="1" fillId="0" borderId="0" xfId="0" applyFont="1"/>
    <xf numFmtId="0" fontId="8" fillId="0" borderId="0" xfId="11" applyFont="1" applyAlignment="1">
      <alignment horizontal="left" vertical="center"/>
    </xf>
    <xf numFmtId="0" fontId="7" fillId="0" borderId="0" xfId="11" applyFont="1" applyAlignment="1">
      <alignment vertical="center"/>
    </xf>
    <xf numFmtId="187" fontId="7" fillId="0" borderId="0" xfId="12" applyFont="1" applyAlignment="1">
      <alignment horizontal="center" vertical="center"/>
    </xf>
    <xf numFmtId="187" fontId="7" fillId="0" borderId="0" xfId="12" applyFont="1" applyAlignment="1">
      <alignment vertical="center"/>
    </xf>
    <xf numFmtId="187" fontId="7" fillId="0" borderId="0" xfId="12" applyFont="1" applyFill="1" applyAlignment="1">
      <alignment vertical="center"/>
    </xf>
    <xf numFmtId="187" fontId="7" fillId="0" borderId="0" xfId="12" applyFont="1" applyBorder="1" applyAlignment="1">
      <alignment horizontal="center" vertical="center"/>
    </xf>
    <xf numFmtId="187" fontId="7" fillId="0" borderId="0" xfId="12" applyFont="1" applyBorder="1" applyAlignment="1">
      <alignment horizontal="right" vertical="center"/>
    </xf>
    <xf numFmtId="0" fontId="7" fillId="0" borderId="0" xfId="11" applyFont="1" applyAlignment="1">
      <alignment horizontal="left" vertical="center"/>
    </xf>
    <xf numFmtId="187" fontId="7" fillId="0" borderId="0" xfId="12" applyFont="1" applyAlignment="1">
      <alignment horizontal="left" vertical="center"/>
    </xf>
    <xf numFmtId="187" fontId="8" fillId="0" borderId="0" xfId="12" applyFont="1" applyBorder="1" applyAlignment="1">
      <alignment horizontal="center" vertical="center"/>
    </xf>
    <xf numFmtId="187" fontId="8" fillId="0" borderId="0" xfId="12" applyFont="1" applyBorder="1" applyAlignment="1">
      <alignment horizontal="right" vertical="center"/>
    </xf>
    <xf numFmtId="187" fontId="7" fillId="0" borderId="0" xfId="12" applyFont="1" applyAlignment="1">
      <alignment horizontal="right" vertical="center"/>
    </xf>
    <xf numFmtId="187" fontId="7" fillId="0" borderId="0" xfId="12" applyFont="1" applyFill="1" applyAlignment="1">
      <alignment horizontal="center" vertical="center"/>
    </xf>
    <xf numFmtId="187" fontId="7" fillId="0" borderId="0" xfId="12" applyFont="1" applyFill="1" applyAlignment="1" applyProtection="1">
      <alignment horizontal="center" vertical="center"/>
    </xf>
    <xf numFmtId="0" fontId="13" fillId="0" borderId="0" xfId="9" applyFont="1" applyAlignment="1" applyProtection="1">
      <alignment horizontal="center"/>
      <protection hidden="1"/>
    </xf>
    <xf numFmtId="0" fontId="0" fillId="0" borderId="16" xfId="0" applyBorder="1"/>
    <xf numFmtId="0" fontId="10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10" fillId="0" borderId="0" xfId="0" applyFont="1"/>
    <xf numFmtId="4" fontId="10" fillId="0" borderId="0" xfId="0" applyNumberFormat="1" applyFont="1"/>
    <xf numFmtId="0" fontId="10" fillId="0" borderId="0" xfId="0" applyFont="1" applyAlignment="1">
      <alignment horizontal="center"/>
    </xf>
    <xf numFmtId="187" fontId="10" fillId="0" borderId="0" xfId="1" applyFont="1"/>
    <xf numFmtId="187" fontId="10" fillId="0" borderId="0" xfId="1" applyFont="1" applyBorder="1"/>
    <xf numFmtId="0" fontId="20" fillId="0" borderId="0" xfId="0" applyFont="1"/>
    <xf numFmtId="0" fontId="20" fillId="0" borderId="0" xfId="0" applyFont="1" applyAlignment="1">
      <alignment horizontal="center"/>
    </xf>
    <xf numFmtId="2" fontId="20" fillId="0" borderId="0" xfId="0" applyNumberFormat="1" applyFont="1"/>
    <xf numFmtId="2" fontId="20" fillId="0" borderId="0" xfId="0" applyNumberFormat="1" applyFont="1" applyAlignment="1">
      <alignment horizontal="center"/>
    </xf>
    <xf numFmtId="2" fontId="20" fillId="0" borderId="13" xfId="0" applyNumberFormat="1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20" fillId="0" borderId="13" xfId="0" applyFont="1" applyBorder="1" applyAlignment="1">
      <alignment horizontal="center"/>
    </xf>
    <xf numFmtId="2" fontId="20" fillId="0" borderId="1" xfId="0" applyNumberFormat="1" applyFont="1" applyBorder="1" applyAlignment="1">
      <alignment horizontal="center"/>
    </xf>
    <xf numFmtId="2" fontId="20" fillId="0" borderId="7" xfId="0" applyNumberFormat="1" applyFont="1" applyBorder="1" applyAlignment="1">
      <alignment horizontal="center"/>
    </xf>
    <xf numFmtId="0" fontId="20" fillId="0" borderId="3" xfId="0" applyFont="1" applyBorder="1" applyAlignment="1">
      <alignment horizontal="center"/>
    </xf>
    <xf numFmtId="0" fontId="20" fillId="0" borderId="7" xfId="0" applyFont="1" applyBorder="1" applyAlignment="1">
      <alignment horizontal="center"/>
    </xf>
    <xf numFmtId="2" fontId="20" fillId="0" borderId="2" xfId="0" applyNumberFormat="1" applyFont="1" applyBorder="1" applyAlignment="1">
      <alignment horizontal="center"/>
    </xf>
    <xf numFmtId="0" fontId="20" fillId="0" borderId="13" xfId="0" applyFont="1" applyBorder="1" applyAlignment="1">
      <alignment horizontal="left"/>
    </xf>
    <xf numFmtId="0" fontId="20" fillId="0" borderId="14" xfId="0" applyFont="1" applyBorder="1" applyAlignment="1">
      <alignment horizontal="center"/>
    </xf>
    <xf numFmtId="0" fontId="20" fillId="0" borderId="14" xfId="0" applyFont="1" applyBorder="1" applyAlignment="1">
      <alignment horizontal="right"/>
    </xf>
    <xf numFmtId="0" fontId="20" fillId="0" borderId="3" xfId="0" applyFont="1" applyBorder="1" applyAlignment="1">
      <alignment horizontal="right"/>
    </xf>
    <xf numFmtId="0" fontId="20" fillId="0" borderId="13" xfId="0" applyFont="1" applyBorder="1" applyAlignment="1">
      <alignment horizontal="right"/>
    </xf>
    <xf numFmtId="0" fontId="20" fillId="0" borderId="0" xfId="0" applyFont="1" applyAlignment="1">
      <alignment horizontal="left"/>
    </xf>
    <xf numFmtId="2" fontId="20" fillId="0" borderId="0" xfId="0" applyNumberFormat="1" applyFont="1" applyAlignment="1">
      <alignment horizontal="right"/>
    </xf>
    <xf numFmtId="0" fontId="20" fillId="0" borderId="16" xfId="0" applyFont="1" applyBorder="1" applyAlignment="1">
      <alignment horizontal="center"/>
    </xf>
    <xf numFmtId="0" fontId="20" fillId="0" borderId="0" xfId="0" applyFont="1" applyAlignment="1">
      <alignment horizontal="right"/>
    </xf>
    <xf numFmtId="2" fontId="20" fillId="0" borderId="3" xfId="0" applyNumberFormat="1" applyFont="1" applyBorder="1" applyAlignment="1">
      <alignment horizontal="right"/>
    </xf>
    <xf numFmtId="0" fontId="20" fillId="0" borderId="16" xfId="0" applyFont="1" applyBorder="1"/>
    <xf numFmtId="0" fontId="20" fillId="0" borderId="2" xfId="0" applyFont="1" applyBorder="1" applyAlignment="1">
      <alignment horizontal="center"/>
    </xf>
    <xf numFmtId="0" fontId="20" fillId="0" borderId="6" xfId="0" applyFont="1" applyBorder="1" applyAlignment="1">
      <alignment horizontal="left"/>
    </xf>
    <xf numFmtId="0" fontId="20" fillId="0" borderId="7" xfId="0" applyFont="1" applyBorder="1" applyAlignment="1">
      <alignment horizontal="left"/>
    </xf>
    <xf numFmtId="0" fontId="20" fillId="0" borderId="6" xfId="0" applyFont="1" applyBorder="1" applyAlignment="1">
      <alignment horizontal="center"/>
    </xf>
    <xf numFmtId="2" fontId="20" fillId="0" borderId="6" xfId="0" applyNumberFormat="1" applyFont="1" applyBorder="1" applyAlignment="1">
      <alignment horizontal="right"/>
    </xf>
    <xf numFmtId="0" fontId="20" fillId="0" borderId="6" xfId="0" applyFont="1" applyBorder="1" applyAlignment="1">
      <alignment horizontal="right"/>
    </xf>
    <xf numFmtId="2" fontId="20" fillId="0" borderId="2" xfId="0" applyNumberFormat="1" applyFont="1" applyBorder="1" applyAlignment="1">
      <alignment horizontal="right"/>
    </xf>
    <xf numFmtId="0" fontId="20" fillId="0" borderId="14" xfId="0" applyFont="1" applyBorder="1" applyAlignment="1">
      <alignment horizontal="left"/>
    </xf>
    <xf numFmtId="2" fontId="21" fillId="0" borderId="14" xfId="0" applyNumberFormat="1" applyFont="1" applyBorder="1" applyAlignment="1">
      <alignment horizontal="right"/>
    </xf>
    <xf numFmtId="0" fontId="20" fillId="0" borderId="16" xfId="0" applyFont="1" applyBorder="1" applyAlignment="1">
      <alignment horizontal="left"/>
    </xf>
    <xf numFmtId="2" fontId="20" fillId="0" borderId="16" xfId="0" applyNumberFormat="1" applyFont="1" applyBorder="1" applyAlignment="1">
      <alignment horizontal="right"/>
    </xf>
    <xf numFmtId="0" fontId="20" fillId="0" borderId="16" xfId="0" applyFont="1" applyBorder="1" applyAlignment="1">
      <alignment horizontal="right"/>
    </xf>
    <xf numFmtId="2" fontId="20" fillId="0" borderId="7" xfId="0" applyNumberFormat="1" applyFont="1" applyBorder="1" applyAlignment="1">
      <alignment horizontal="right"/>
    </xf>
    <xf numFmtId="0" fontId="20" fillId="0" borderId="7" xfId="0" applyFont="1" applyBorder="1" applyAlignment="1">
      <alignment horizontal="right"/>
    </xf>
    <xf numFmtId="0" fontId="20" fillId="0" borderId="2" xfId="0" applyFont="1" applyBorder="1" applyAlignment="1">
      <alignment horizontal="right"/>
    </xf>
    <xf numFmtId="49" fontId="20" fillId="0" borderId="0" xfId="0" applyNumberFormat="1" applyFont="1" applyAlignment="1">
      <alignment horizontal="right"/>
    </xf>
    <xf numFmtId="0" fontId="19" fillId="0" borderId="0" xfId="6" applyFont="1" applyAlignment="1">
      <alignment horizontal="left" vertical="center"/>
    </xf>
    <xf numFmtId="0" fontId="20" fillId="0" borderId="0" xfId="6" applyFont="1" applyAlignment="1">
      <alignment horizontal="center" vertical="center"/>
    </xf>
    <xf numFmtId="0" fontId="20" fillId="0" borderId="0" xfId="6" applyFont="1" applyAlignment="1">
      <alignment horizontal="left" vertical="center"/>
    </xf>
    <xf numFmtId="0" fontId="20" fillId="0" borderId="0" xfId="0" quotePrefix="1" applyFont="1" applyAlignment="1">
      <alignment horizontal="center"/>
    </xf>
    <xf numFmtId="0" fontId="23" fillId="0" borderId="0" xfId="4" applyFont="1"/>
    <xf numFmtId="0" fontId="20" fillId="0" borderId="0" xfId="4" applyFont="1"/>
    <xf numFmtId="0" fontId="20" fillId="0" borderId="0" xfId="4" applyFont="1" applyAlignment="1">
      <alignment horizontal="center"/>
    </xf>
    <xf numFmtId="0" fontId="20" fillId="0" borderId="7" xfId="4" applyFont="1" applyBorder="1"/>
    <xf numFmtId="0" fontId="24" fillId="0" borderId="0" xfId="4" applyFont="1"/>
    <xf numFmtId="2" fontId="20" fillId="0" borderId="8" xfId="4" applyNumberFormat="1" applyFont="1" applyBorder="1"/>
    <xf numFmtId="0" fontId="20" fillId="0" borderId="0" xfId="4" applyFont="1" applyAlignment="1">
      <alignment horizontal="right"/>
    </xf>
    <xf numFmtId="2" fontId="20" fillId="0" borderId="0" xfId="4" applyNumberFormat="1" applyFont="1"/>
    <xf numFmtId="2" fontId="20" fillId="0" borderId="0" xfId="4" applyNumberFormat="1" applyFont="1" applyAlignment="1">
      <alignment horizontal="right"/>
    </xf>
    <xf numFmtId="43" fontId="20" fillId="0" borderId="0" xfId="4" applyNumberFormat="1" applyFont="1"/>
    <xf numFmtId="2" fontId="20" fillId="0" borderId="10" xfId="4" applyNumberFormat="1" applyFont="1" applyBorder="1" applyAlignment="1">
      <alignment horizontal="center"/>
    </xf>
    <xf numFmtId="0" fontId="20" fillId="0" borderId="10" xfId="4" applyFont="1" applyBorder="1"/>
    <xf numFmtId="2" fontId="20" fillId="0" borderId="12" xfId="4" applyNumberFormat="1" applyFont="1" applyBorder="1" applyAlignment="1">
      <alignment horizontal="right"/>
    </xf>
    <xf numFmtId="2" fontId="20" fillId="0" borderId="12" xfId="0" applyNumberFormat="1" applyFont="1" applyBorder="1" applyAlignment="1">
      <alignment horizontal="right"/>
    </xf>
    <xf numFmtId="43" fontId="20" fillId="0" borderId="7" xfId="1" applyNumberFormat="1" applyFont="1" applyBorder="1" applyAlignment="1">
      <alignment horizontal="right"/>
    </xf>
    <xf numFmtId="2" fontId="20" fillId="0" borderId="8" xfId="4" applyNumberFormat="1" applyFont="1" applyBorder="1" applyAlignment="1">
      <alignment horizontal="right"/>
    </xf>
    <xf numFmtId="0" fontId="19" fillId="0" borderId="0" xfId="4" applyFont="1"/>
    <xf numFmtId="2" fontId="20" fillId="0" borderId="10" xfId="4" applyNumberFormat="1" applyFont="1" applyBorder="1"/>
    <xf numFmtId="2" fontId="20" fillId="0" borderId="12" xfId="0" applyNumberFormat="1" applyFont="1" applyBorder="1"/>
    <xf numFmtId="0" fontId="20" fillId="0" borderId="12" xfId="0" applyFont="1" applyBorder="1"/>
    <xf numFmtId="4" fontId="20" fillId="0" borderId="12" xfId="4" applyNumberFormat="1" applyFont="1" applyBorder="1"/>
    <xf numFmtId="0" fontId="23" fillId="0" borderId="0" xfId="4" applyFont="1" applyAlignment="1">
      <alignment horizontal="center"/>
    </xf>
    <xf numFmtId="0" fontId="19" fillId="0" borderId="0" xfId="4" applyFont="1" applyAlignment="1">
      <alignment horizontal="center"/>
    </xf>
    <xf numFmtId="2" fontId="19" fillId="0" borderId="10" xfId="4" applyNumberFormat="1" applyFont="1" applyBorder="1" applyAlignment="1">
      <alignment horizontal="center"/>
    </xf>
    <xf numFmtId="0" fontId="20" fillId="0" borderId="10" xfId="4" applyFont="1" applyBorder="1" applyAlignment="1">
      <alignment horizontal="center"/>
    </xf>
    <xf numFmtId="0" fontId="20" fillId="0" borderId="0" xfId="4" applyFont="1" applyAlignment="1">
      <alignment horizontal="left"/>
    </xf>
    <xf numFmtId="2" fontId="20" fillId="0" borderId="0" xfId="4" applyNumberFormat="1" applyFont="1" applyAlignment="1">
      <alignment horizontal="left"/>
    </xf>
    <xf numFmtId="2" fontId="20" fillId="0" borderId="28" xfId="4" applyNumberFormat="1" applyFont="1" applyBorder="1" applyAlignment="1">
      <alignment horizontal="right"/>
    </xf>
    <xf numFmtId="4" fontId="20" fillId="0" borderId="0" xfId="4" applyNumberFormat="1" applyFont="1"/>
    <xf numFmtId="4" fontId="20" fillId="0" borderId="0" xfId="4" applyNumberFormat="1" applyFont="1" applyAlignment="1">
      <alignment horizontal="center"/>
    </xf>
    <xf numFmtId="2" fontId="20" fillId="0" borderId="12" xfId="1" applyNumberFormat="1" applyFont="1" applyFill="1" applyBorder="1" applyAlignment="1">
      <alignment horizontal="right"/>
    </xf>
    <xf numFmtId="43" fontId="20" fillId="0" borderId="0" xfId="2" applyNumberFormat="1" applyFont="1" applyBorder="1" applyAlignment="1">
      <alignment horizontal="center"/>
    </xf>
    <xf numFmtId="2" fontId="20" fillId="0" borderId="0" xfId="1" applyNumberFormat="1" applyFont="1" applyFill="1" applyBorder="1" applyAlignment="1">
      <alignment horizontal="right"/>
    </xf>
    <xf numFmtId="4" fontId="20" fillId="0" borderId="10" xfId="4" applyNumberFormat="1" applyFont="1" applyBorder="1"/>
    <xf numFmtId="43" fontId="20" fillId="0" borderId="7" xfId="1" applyNumberFormat="1" applyFont="1" applyBorder="1" applyAlignment="1"/>
    <xf numFmtId="2" fontId="20" fillId="0" borderId="10" xfId="0" applyNumberFormat="1" applyFont="1" applyBorder="1" applyAlignment="1">
      <alignment horizontal="center"/>
    </xf>
    <xf numFmtId="2" fontId="20" fillId="0" borderId="0" xfId="4" applyNumberFormat="1" applyFont="1" applyAlignment="1">
      <alignment horizontal="center"/>
    </xf>
    <xf numFmtId="4" fontId="20" fillId="0" borderId="19" xfId="4" applyNumberFormat="1" applyFont="1" applyBorder="1" applyAlignment="1">
      <alignment horizontal="center"/>
    </xf>
    <xf numFmtId="43" fontId="20" fillId="0" borderId="19" xfId="4" applyNumberFormat="1" applyFont="1" applyBorder="1" applyAlignment="1">
      <alignment horizontal="center"/>
    </xf>
    <xf numFmtId="43" fontId="20" fillId="0" borderId="12" xfId="1" applyNumberFormat="1" applyFont="1" applyFill="1" applyBorder="1" applyAlignment="1">
      <alignment horizontal="right"/>
    </xf>
    <xf numFmtId="43" fontId="20" fillId="0" borderId="0" xfId="1" applyNumberFormat="1" applyFont="1" applyBorder="1"/>
    <xf numFmtId="43" fontId="20" fillId="0" borderId="10" xfId="1" applyNumberFormat="1" applyFont="1" applyFill="1" applyBorder="1" applyAlignment="1">
      <alignment horizontal="center"/>
    </xf>
    <xf numFmtId="43" fontId="20" fillId="0" borderId="10" xfId="1" applyNumberFormat="1" applyFont="1" applyFill="1" applyBorder="1" applyAlignment="1"/>
    <xf numFmtId="4" fontId="20" fillId="0" borderId="29" xfId="4" applyNumberFormat="1" applyFont="1" applyBorder="1"/>
    <xf numFmtId="43" fontId="20" fillId="0" borderId="12" xfId="1" applyNumberFormat="1" applyFont="1" applyBorder="1"/>
    <xf numFmtId="2" fontId="20" fillId="0" borderId="7" xfId="4" applyNumberFormat="1" applyFont="1" applyBorder="1" applyAlignment="1">
      <alignment horizontal="right"/>
    </xf>
    <xf numFmtId="43" fontId="20" fillId="0" borderId="10" xfId="4" applyNumberFormat="1" applyFont="1" applyBorder="1" applyAlignment="1">
      <alignment horizontal="center"/>
    </xf>
    <xf numFmtId="43" fontId="20" fillId="0" borderId="0" xfId="1" applyNumberFormat="1" applyFont="1" applyBorder="1" applyAlignment="1">
      <alignment horizontal="center"/>
    </xf>
    <xf numFmtId="2" fontId="20" fillId="0" borderId="19" xfId="4" applyNumberFormat="1" applyFont="1" applyBorder="1" applyAlignment="1">
      <alignment horizontal="center"/>
    </xf>
    <xf numFmtId="4" fontId="20" fillId="0" borderId="10" xfId="4" applyNumberFormat="1" applyFont="1" applyBorder="1" applyAlignment="1">
      <alignment horizontal="center"/>
    </xf>
    <xf numFmtId="4" fontId="20" fillId="0" borderId="7" xfId="2" applyNumberFormat="1" applyFont="1" applyBorder="1"/>
    <xf numFmtId="191" fontId="20" fillId="0" borderId="19" xfId="4" applyNumberFormat="1" applyFont="1" applyBorder="1" applyAlignment="1">
      <alignment horizontal="center"/>
    </xf>
    <xf numFmtId="4" fontId="20" fillId="0" borderId="12" xfId="2" applyNumberFormat="1" applyFont="1" applyBorder="1"/>
    <xf numFmtId="4" fontId="20" fillId="0" borderId="29" xfId="2" applyNumberFormat="1" applyFont="1" applyBorder="1"/>
    <xf numFmtId="4" fontId="20" fillId="0" borderId="8" xfId="4" applyNumberFormat="1" applyFont="1" applyBorder="1"/>
    <xf numFmtId="43" fontId="23" fillId="0" borderId="0" xfId="4" applyNumberFormat="1" applyFont="1"/>
    <xf numFmtId="2" fontId="23" fillId="0" borderId="0" xfId="4" applyNumberFormat="1" applyFont="1" applyAlignment="1">
      <alignment horizontal="center"/>
    </xf>
    <xf numFmtId="0" fontId="20" fillId="0" borderId="19" xfId="4" applyFont="1" applyBorder="1" applyAlignment="1">
      <alignment horizontal="center"/>
    </xf>
    <xf numFmtId="2" fontId="20" fillId="0" borderId="8" xfId="1" applyNumberFormat="1" applyFont="1" applyBorder="1" applyAlignment="1">
      <alignment horizontal="right"/>
    </xf>
    <xf numFmtId="0" fontId="24" fillId="0" borderId="0" xfId="0" applyFont="1"/>
    <xf numFmtId="4" fontId="24" fillId="0" borderId="0" xfId="0" applyNumberFormat="1" applyFont="1"/>
    <xf numFmtId="187" fontId="24" fillId="0" borderId="0" xfId="1" applyFont="1" applyAlignment="1">
      <alignment horizontal="right"/>
    </xf>
    <xf numFmtId="49" fontId="24" fillId="0" borderId="0" xfId="0" applyNumberFormat="1" applyFont="1" applyAlignment="1">
      <alignment horizontal="right"/>
    </xf>
    <xf numFmtId="0" fontId="20" fillId="0" borderId="0" xfId="0" applyFont="1" applyAlignment="1">
      <alignment vertical="center"/>
    </xf>
    <xf numFmtId="0" fontId="20" fillId="0" borderId="0" xfId="6" applyFont="1" applyAlignment="1">
      <alignment vertical="center"/>
    </xf>
    <xf numFmtId="187" fontId="20" fillId="0" borderId="0" xfId="1" applyFont="1" applyAlignment="1">
      <alignment vertical="center"/>
    </xf>
    <xf numFmtId="15" fontId="20" fillId="0" borderId="0" xfId="6" applyNumberFormat="1" applyFont="1" applyAlignment="1">
      <alignment vertical="center"/>
    </xf>
    <xf numFmtId="4" fontId="20" fillId="0" borderId="0" xfId="0" applyNumberFormat="1" applyFont="1" applyAlignment="1">
      <alignment vertical="center"/>
    </xf>
    <xf numFmtId="187" fontId="20" fillId="0" borderId="0" xfId="1" applyFont="1" applyBorder="1" applyAlignment="1">
      <alignment vertical="center"/>
    </xf>
    <xf numFmtId="0" fontId="20" fillId="0" borderId="2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4" fontId="20" fillId="0" borderId="4" xfId="0" applyNumberFormat="1" applyFont="1" applyBorder="1" applyAlignment="1">
      <alignment horizontal="right" vertical="center"/>
    </xf>
    <xf numFmtId="4" fontId="20" fillId="0" borderId="3" xfId="0" applyNumberFormat="1" applyFont="1" applyBorder="1" applyAlignment="1">
      <alignment horizontal="right" vertical="center"/>
    </xf>
    <xf numFmtId="4" fontId="20" fillId="0" borderId="1" xfId="0" applyNumberFormat="1" applyFont="1" applyBorder="1" applyAlignment="1">
      <alignment horizontal="right" vertical="center"/>
    </xf>
    <xf numFmtId="0" fontId="20" fillId="0" borderId="3" xfId="0" applyFont="1" applyBorder="1" applyAlignment="1">
      <alignment horizontal="right" vertical="center"/>
    </xf>
    <xf numFmtId="187" fontId="20" fillId="0" borderId="3" xfId="1" applyFont="1" applyBorder="1" applyAlignment="1">
      <alignment horizontal="right" vertical="center"/>
    </xf>
    <xf numFmtId="2" fontId="20" fillId="0" borderId="3" xfId="0" applyNumberFormat="1" applyFont="1" applyBorder="1" applyAlignment="1">
      <alignment horizontal="center"/>
    </xf>
    <xf numFmtId="190" fontId="20" fillId="0" borderId="3" xfId="0" applyNumberFormat="1" applyFont="1" applyBorder="1" applyAlignment="1">
      <alignment horizontal="right" vertical="center"/>
    </xf>
    <xf numFmtId="2" fontId="20" fillId="0" borderId="0" xfId="0" applyNumberFormat="1" applyFont="1" applyAlignment="1">
      <alignment horizontal="left"/>
    </xf>
    <xf numFmtId="2" fontId="20" fillId="0" borderId="4" xfId="0" applyNumberFormat="1" applyFont="1" applyBorder="1" applyAlignment="1">
      <alignment horizontal="left"/>
    </xf>
    <xf numFmtId="4" fontId="20" fillId="0" borderId="5" xfId="0" applyNumberFormat="1" applyFont="1" applyBorder="1" applyAlignment="1">
      <alignment horizontal="right" vertical="center"/>
    </xf>
    <xf numFmtId="4" fontId="20" fillId="0" borderId="2" xfId="0" applyNumberFormat="1" applyFont="1" applyBorder="1" applyAlignment="1">
      <alignment horizontal="right" vertical="center"/>
    </xf>
    <xf numFmtId="187" fontId="20" fillId="0" borderId="2" xfId="1" applyFont="1" applyBorder="1" applyAlignment="1">
      <alignment horizontal="right" vertical="center"/>
    </xf>
    <xf numFmtId="2" fontId="20" fillId="0" borderId="16" xfId="0" applyNumberFormat="1" applyFont="1" applyBorder="1"/>
    <xf numFmtId="2" fontId="20" fillId="0" borderId="4" xfId="0" applyNumberFormat="1" applyFont="1" applyBorder="1"/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left" vertical="center"/>
    </xf>
    <xf numFmtId="4" fontId="20" fillId="0" borderId="0" xfId="0" applyNumberFormat="1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187" fontId="20" fillId="0" borderId="0" xfId="1" applyFont="1" applyAlignment="1">
      <alignment horizontal="right"/>
    </xf>
    <xf numFmtId="4" fontId="20" fillId="2" borderId="2" xfId="0" applyNumberFormat="1" applyFont="1" applyFill="1" applyBorder="1" applyAlignment="1">
      <alignment horizontal="right" vertical="center"/>
    </xf>
    <xf numFmtId="4" fontId="20" fillId="0" borderId="0" xfId="0" applyNumberFormat="1" applyFont="1"/>
    <xf numFmtId="187" fontId="20" fillId="0" borderId="0" xfId="1" applyFont="1"/>
    <xf numFmtId="187" fontId="20" fillId="0" borderId="0" xfId="0" applyNumberFormat="1" applyFont="1"/>
    <xf numFmtId="0" fontId="20" fillId="0" borderId="0" xfId="7" applyFont="1"/>
    <xf numFmtId="2" fontId="20" fillId="0" borderId="0" xfId="0" applyNumberFormat="1" applyFont="1" applyAlignment="1">
      <alignment horizontal="center" vertical="top"/>
    </xf>
    <xf numFmtId="4" fontId="20" fillId="0" borderId="0" xfId="0" applyNumberFormat="1" applyFont="1" applyAlignment="1">
      <alignment horizontal="center"/>
    </xf>
    <xf numFmtId="0" fontId="20" fillId="0" borderId="0" xfId="0" applyFont="1" applyAlignment="1">
      <alignment horizontal="left" indent="2"/>
    </xf>
    <xf numFmtId="187" fontId="20" fillId="0" borderId="0" xfId="1" applyFont="1" applyAlignment="1">
      <alignment horizontal="left" indent="2"/>
    </xf>
    <xf numFmtId="0" fontId="20" fillId="0" borderId="0" xfId="0" applyFont="1" applyProtection="1">
      <protection locked="0"/>
    </xf>
    <xf numFmtId="0" fontId="24" fillId="0" borderId="0" xfId="0" applyFont="1" applyProtection="1">
      <protection locked="0"/>
    </xf>
    <xf numFmtId="0" fontId="24" fillId="0" borderId="0" xfId="0" applyFont="1" applyAlignment="1" applyProtection="1">
      <alignment horizontal="center"/>
      <protection locked="0"/>
    </xf>
    <xf numFmtId="189" fontId="20" fillId="0" borderId="0" xfId="4" applyNumberFormat="1" applyFont="1" applyAlignment="1">
      <alignment horizontal="center"/>
    </xf>
    <xf numFmtId="2" fontId="20" fillId="0" borderId="7" xfId="4" applyNumberFormat="1" applyFont="1" applyBorder="1"/>
    <xf numFmtId="0" fontId="25" fillId="0" borderId="0" xfId="4" applyFont="1"/>
    <xf numFmtId="0" fontId="21" fillId="0" borderId="0" xfId="4" applyFont="1"/>
    <xf numFmtId="0" fontId="21" fillId="0" borderId="0" xfId="0" applyFont="1"/>
    <xf numFmtId="189" fontId="21" fillId="0" borderId="0" xfId="4" applyNumberFormat="1" applyFont="1" applyAlignment="1">
      <alignment horizontal="center"/>
    </xf>
    <xf numFmtId="2" fontId="21" fillId="0" borderId="0" xfId="4" applyNumberFormat="1" applyFont="1"/>
    <xf numFmtId="0" fontId="21" fillId="0" borderId="0" xfId="4" applyFont="1" applyAlignment="1">
      <alignment horizontal="center"/>
    </xf>
    <xf numFmtId="2" fontId="21" fillId="0" borderId="7" xfId="4" applyNumberFormat="1" applyFont="1" applyBorder="1"/>
    <xf numFmtId="0" fontId="21" fillId="0" borderId="7" xfId="4" applyFont="1" applyBorder="1"/>
    <xf numFmtId="0" fontId="21" fillId="0" borderId="0" xfId="4" applyFont="1" applyAlignment="1">
      <alignment horizontal="right"/>
    </xf>
    <xf numFmtId="0" fontId="21" fillId="0" borderId="0" xfId="4" applyFont="1" applyAlignment="1">
      <alignment horizontal="left"/>
    </xf>
    <xf numFmtId="2" fontId="21" fillId="0" borderId="8" xfId="4" applyNumberFormat="1" applyFont="1" applyBorder="1"/>
    <xf numFmtId="0" fontId="21" fillId="0" borderId="10" xfId="4" applyFont="1" applyBorder="1" applyAlignment="1">
      <alignment horizontal="center"/>
    </xf>
    <xf numFmtId="0" fontId="26" fillId="0" borderId="0" xfId="13" applyFont="1"/>
    <xf numFmtId="2" fontId="26" fillId="0" borderId="7" xfId="13" applyNumberFormat="1" applyFont="1" applyBorder="1"/>
    <xf numFmtId="4" fontId="26" fillId="0" borderId="7" xfId="13" applyNumberFormat="1" applyFont="1" applyBorder="1"/>
    <xf numFmtId="4" fontId="26" fillId="0" borderId="9" xfId="13" applyNumberFormat="1" applyFont="1" applyBorder="1"/>
    <xf numFmtId="0" fontId="27" fillId="0" borderId="0" xfId="0" applyFont="1"/>
    <xf numFmtId="0" fontId="21" fillId="0" borderId="0" xfId="13" applyFont="1"/>
    <xf numFmtId="0" fontId="21" fillId="0" borderId="0" xfId="13" applyFont="1" applyAlignment="1">
      <alignment horizontal="center"/>
    </xf>
    <xf numFmtId="0" fontId="21" fillId="0" borderId="0" xfId="13" applyFont="1" applyAlignment="1">
      <alignment horizontal="right"/>
    </xf>
    <xf numFmtId="0" fontId="28" fillId="0" borderId="0" xfId="11" applyFont="1" applyAlignment="1">
      <alignment vertical="center"/>
    </xf>
    <xf numFmtId="187" fontId="28" fillId="0" borderId="0" xfId="12" applyFont="1" applyFill="1" applyBorder="1" applyAlignment="1">
      <alignment vertical="center"/>
    </xf>
    <xf numFmtId="0" fontId="29" fillId="0" borderId="0" xfId="11" applyFont="1" applyAlignment="1" applyProtection="1">
      <alignment vertical="center"/>
      <protection locked="0"/>
    </xf>
    <xf numFmtId="0" fontId="30" fillId="0" borderId="0" xfId="11" applyFont="1" applyAlignment="1">
      <alignment vertical="center"/>
    </xf>
    <xf numFmtId="187" fontId="30" fillId="0" borderId="0" xfId="12" applyFont="1" applyFill="1" applyBorder="1" applyAlignment="1">
      <alignment vertical="center"/>
    </xf>
    <xf numFmtId="0" fontId="28" fillId="0" borderId="0" xfId="11" applyFont="1" applyAlignment="1">
      <alignment horizontal="left" vertical="center"/>
    </xf>
    <xf numFmtId="0" fontId="32" fillId="0" borderId="0" xfId="11" applyFont="1" applyAlignment="1">
      <alignment vertical="center"/>
    </xf>
    <xf numFmtId="187" fontId="32" fillId="0" borderId="0" xfId="12" applyFont="1" applyFill="1" applyBorder="1" applyAlignment="1">
      <alignment vertical="center"/>
    </xf>
    <xf numFmtId="187" fontId="32" fillId="0" borderId="0" xfId="12" applyFont="1" applyFill="1" applyBorder="1" applyAlignment="1">
      <alignment horizontal="center" vertical="center"/>
    </xf>
    <xf numFmtId="187" fontId="32" fillId="0" borderId="0" xfId="12" applyFont="1" applyFill="1" applyBorder="1" applyAlignment="1">
      <alignment horizontal="left" vertical="center"/>
    </xf>
    <xf numFmtId="187" fontId="33" fillId="0" borderId="0" xfId="12" applyFont="1" applyFill="1" applyBorder="1" applyAlignment="1">
      <alignment horizontal="center" vertical="center"/>
    </xf>
    <xf numFmtId="192" fontId="32" fillId="0" borderId="0" xfId="12" applyNumberFormat="1" applyFont="1" applyFill="1" applyBorder="1" applyAlignment="1" applyProtection="1">
      <alignment vertical="center"/>
      <protection hidden="1"/>
    </xf>
    <xf numFmtId="187" fontId="32" fillId="0" borderId="0" xfId="1" applyFont="1" applyFill="1" applyBorder="1" applyAlignment="1" applyProtection="1">
      <alignment vertical="center"/>
      <protection hidden="1"/>
    </xf>
    <xf numFmtId="0" fontId="32" fillId="0" borderId="0" xfId="11" applyFont="1" applyAlignment="1">
      <alignment horizontal="center" vertical="center"/>
    </xf>
    <xf numFmtId="187" fontId="32" fillId="0" borderId="0" xfId="1" applyFont="1" applyFill="1" applyBorder="1" applyAlignment="1">
      <alignment vertical="center"/>
    </xf>
    <xf numFmtId="191" fontId="32" fillId="0" borderId="0" xfId="12" applyNumberFormat="1" applyFont="1" applyFill="1" applyBorder="1" applyAlignment="1">
      <alignment horizontal="center" vertical="center"/>
    </xf>
    <xf numFmtId="187" fontId="32" fillId="0" borderId="0" xfId="1" applyFont="1" applyFill="1" applyBorder="1" applyAlignment="1">
      <alignment horizontal="center" vertical="center"/>
    </xf>
    <xf numFmtId="0" fontId="33" fillId="0" borderId="0" xfId="11" applyFont="1" applyAlignment="1">
      <alignment horizontal="left" vertical="center"/>
    </xf>
    <xf numFmtId="0" fontId="33" fillId="0" borderId="0" xfId="11" applyFont="1" applyAlignment="1">
      <alignment vertical="center"/>
    </xf>
    <xf numFmtId="187" fontId="33" fillId="0" borderId="0" xfId="12" applyFont="1" applyFill="1" applyBorder="1" applyAlignment="1">
      <alignment vertical="center"/>
    </xf>
    <xf numFmtId="4" fontId="32" fillId="0" borderId="0" xfId="12" applyNumberFormat="1" applyFont="1" applyFill="1" applyBorder="1" applyAlignment="1">
      <alignment horizontal="center" vertical="center"/>
    </xf>
    <xf numFmtId="0" fontId="32" fillId="0" borderId="0" xfId="11" applyFont="1" applyAlignment="1">
      <alignment horizontal="left" vertical="center"/>
    </xf>
    <xf numFmtId="0" fontId="32" fillId="0" borderId="0" xfId="11" applyFont="1" applyAlignment="1">
      <alignment horizontal="right" vertical="center"/>
    </xf>
    <xf numFmtId="187" fontId="32" fillId="0" borderId="0" xfId="11" applyNumberFormat="1" applyFont="1" applyAlignment="1">
      <alignment vertical="center"/>
    </xf>
    <xf numFmtId="0" fontId="25" fillId="0" borderId="0" xfId="4" applyFont="1" applyAlignment="1">
      <alignment horizontal="center"/>
    </xf>
    <xf numFmtId="0" fontId="26" fillId="0" borderId="0" xfId="4" applyFont="1" applyAlignment="1">
      <alignment horizontal="center"/>
    </xf>
    <xf numFmtId="189" fontId="26" fillId="0" borderId="0" xfId="4" applyNumberFormat="1" applyFont="1" applyAlignment="1">
      <alignment horizontal="center"/>
    </xf>
    <xf numFmtId="0" fontId="26" fillId="0" borderId="0" xfId="4" applyFont="1"/>
    <xf numFmtId="2" fontId="21" fillId="0" borderId="0" xfId="4" applyNumberFormat="1" applyFont="1" applyAlignment="1">
      <alignment horizontal="right"/>
    </xf>
    <xf numFmtId="43" fontId="21" fillId="0" borderId="0" xfId="4" applyNumberFormat="1" applyFont="1"/>
    <xf numFmtId="2" fontId="21" fillId="0" borderId="0" xfId="4" applyNumberFormat="1" applyFont="1" applyAlignment="1">
      <alignment horizontal="center"/>
    </xf>
    <xf numFmtId="2" fontId="21" fillId="0" borderId="7" xfId="4" applyNumberFormat="1" applyFont="1" applyBorder="1" applyAlignment="1">
      <alignment horizontal="right"/>
    </xf>
    <xf numFmtId="2" fontId="21" fillId="0" borderId="12" xfId="4" applyNumberFormat="1" applyFont="1" applyBorder="1" applyAlignment="1">
      <alignment horizontal="right"/>
    </xf>
    <xf numFmtId="0" fontId="21" fillId="0" borderId="0" xfId="4" quotePrefix="1" applyFont="1" applyAlignment="1">
      <alignment horizontal="center"/>
    </xf>
    <xf numFmtId="0" fontId="21" fillId="0" borderId="0" xfId="0" applyFont="1" applyAlignment="1">
      <alignment horizontal="center"/>
    </xf>
    <xf numFmtId="2" fontId="21" fillId="0" borderId="7" xfId="0" applyNumberFormat="1" applyFont="1" applyBorder="1" applyAlignment="1">
      <alignment horizontal="right"/>
    </xf>
    <xf numFmtId="43" fontId="21" fillId="0" borderId="12" xfId="1" applyNumberFormat="1" applyFont="1" applyBorder="1" applyAlignment="1">
      <alignment horizontal="right"/>
    </xf>
    <xf numFmtId="2" fontId="21" fillId="0" borderId="13" xfId="0" applyNumberFormat="1" applyFont="1" applyBorder="1" applyAlignment="1">
      <alignment horizontal="right"/>
    </xf>
    <xf numFmtId="189" fontId="21" fillId="0" borderId="10" xfId="4" applyNumberFormat="1" applyFont="1" applyBorder="1" applyAlignment="1">
      <alignment horizontal="center"/>
    </xf>
    <xf numFmtId="187" fontId="21" fillId="0" borderId="9" xfId="4" applyNumberFormat="1" applyFont="1" applyBorder="1" applyAlignment="1">
      <alignment horizontal="right"/>
    </xf>
    <xf numFmtId="2" fontId="21" fillId="0" borderId="8" xfId="4" applyNumberFormat="1" applyFont="1" applyBorder="1" applyAlignment="1">
      <alignment horizontal="right"/>
    </xf>
    <xf numFmtId="43" fontId="25" fillId="0" borderId="0" xfId="4" applyNumberFormat="1" applyFont="1"/>
    <xf numFmtId="2" fontId="25" fillId="0" borderId="0" xfId="4" applyNumberFormat="1" applyFont="1" applyAlignment="1">
      <alignment horizontal="center"/>
    </xf>
    <xf numFmtId="2" fontId="21" fillId="0" borderId="0" xfId="0" applyNumberFormat="1" applyFont="1" applyAlignment="1">
      <alignment horizontal="right"/>
    </xf>
    <xf numFmtId="2" fontId="21" fillId="0" borderId="19" xfId="4" applyNumberFormat="1" applyFont="1" applyBorder="1" applyAlignment="1">
      <alignment horizontal="center"/>
    </xf>
    <xf numFmtId="0" fontId="21" fillId="0" borderId="19" xfId="4" applyFont="1" applyBorder="1" applyAlignment="1">
      <alignment horizontal="center"/>
    </xf>
    <xf numFmtId="4" fontId="21" fillId="0" borderId="0" xfId="4" applyNumberFormat="1" applyFont="1" applyAlignment="1">
      <alignment horizontal="center"/>
    </xf>
    <xf numFmtId="2" fontId="21" fillId="0" borderId="8" xfId="1" applyNumberFormat="1" applyFont="1" applyBorder="1" applyAlignment="1">
      <alignment horizontal="right"/>
    </xf>
    <xf numFmtId="187" fontId="20" fillId="0" borderId="0" xfId="1" applyFont="1" applyBorder="1" applyAlignment="1">
      <alignment horizontal="right"/>
    </xf>
    <xf numFmtId="187" fontId="20" fillId="0" borderId="13" xfId="1" applyFont="1" applyBorder="1" applyAlignment="1">
      <alignment horizontal="right"/>
    </xf>
    <xf numFmtId="187" fontId="20" fillId="0" borderId="3" xfId="1" applyFont="1" applyBorder="1" applyAlignment="1">
      <alignment horizontal="right"/>
    </xf>
    <xf numFmtId="0" fontId="34" fillId="0" borderId="0" xfId="6" applyFont="1" applyAlignment="1">
      <alignment horizontal="left" vertical="center"/>
    </xf>
    <xf numFmtId="0" fontId="34" fillId="0" borderId="0" xfId="6" applyFont="1" applyAlignment="1">
      <alignment horizontal="center" vertical="center"/>
    </xf>
    <xf numFmtId="0" fontId="34" fillId="0" borderId="0" xfId="0" applyFont="1" applyAlignment="1">
      <alignment vertical="center"/>
    </xf>
    <xf numFmtId="0" fontId="34" fillId="0" borderId="0" xfId="6" applyFont="1" applyAlignment="1">
      <alignment vertical="center"/>
    </xf>
    <xf numFmtId="187" fontId="20" fillId="0" borderId="1" xfId="1" applyFont="1" applyBorder="1" applyAlignment="1">
      <alignment horizontal="right"/>
    </xf>
    <xf numFmtId="187" fontId="26" fillId="0" borderId="0" xfId="1" applyFont="1" applyBorder="1" applyAlignment="1">
      <alignment horizontal="right"/>
    </xf>
    <xf numFmtId="2" fontId="35" fillId="0" borderId="10" xfId="4" applyNumberFormat="1" applyFont="1" applyBorder="1" applyAlignment="1">
      <alignment horizontal="center"/>
    </xf>
    <xf numFmtId="0" fontId="35" fillId="0" borderId="10" xfId="4" applyFont="1" applyBorder="1" applyAlignment="1">
      <alignment horizontal="center"/>
    </xf>
    <xf numFmtId="2" fontId="35" fillId="0" borderId="7" xfId="4" applyNumberFormat="1" applyFont="1" applyBorder="1" applyAlignment="1">
      <alignment horizontal="right"/>
    </xf>
    <xf numFmtId="2" fontId="35" fillId="0" borderId="10" xfId="4" applyNumberFormat="1" applyFont="1" applyBorder="1"/>
    <xf numFmtId="2" fontId="35" fillId="0" borderId="0" xfId="4" applyNumberFormat="1" applyFont="1" applyAlignment="1">
      <alignment horizontal="right"/>
    </xf>
    <xf numFmtId="187" fontId="20" fillId="0" borderId="4" xfId="1" applyFont="1" applyBorder="1" applyAlignment="1">
      <alignment horizontal="right" vertical="center"/>
    </xf>
    <xf numFmtId="4" fontId="36" fillId="0" borderId="1" xfId="6" applyNumberFormat="1" applyFont="1" applyBorder="1" applyAlignment="1">
      <alignment horizontal="center" vertical="center"/>
    </xf>
    <xf numFmtId="0" fontId="36" fillId="0" borderId="1" xfId="0" applyFont="1" applyBorder="1" applyAlignment="1">
      <alignment horizontal="center" vertical="center"/>
    </xf>
    <xf numFmtId="187" fontId="36" fillId="0" borderId="1" xfId="1" applyFont="1" applyBorder="1" applyAlignment="1">
      <alignment horizontal="center" vertical="center"/>
    </xf>
    <xf numFmtId="4" fontId="36" fillId="0" borderId="2" xfId="6" applyNumberFormat="1" applyFont="1" applyBorder="1" applyAlignment="1">
      <alignment horizontal="center" vertical="center"/>
    </xf>
    <xf numFmtId="0" fontId="36" fillId="0" borderId="2" xfId="0" applyFont="1" applyBorder="1" applyAlignment="1">
      <alignment horizontal="center" vertical="center"/>
    </xf>
    <xf numFmtId="187" fontId="36" fillId="0" borderId="2" xfId="1" applyFont="1" applyBorder="1" applyAlignment="1">
      <alignment horizontal="center" vertical="center"/>
    </xf>
    <xf numFmtId="2" fontId="19" fillId="0" borderId="0" xfId="0" applyNumberFormat="1" applyFont="1" applyAlignment="1">
      <alignment horizontal="left"/>
    </xf>
    <xf numFmtId="0" fontId="24" fillId="0" borderId="0" xfId="0" applyFont="1" applyAlignment="1" applyProtection="1">
      <alignment horizontal="center"/>
      <protection locked="0"/>
    </xf>
    <xf numFmtId="0" fontId="10" fillId="0" borderId="0" xfId="0" applyFont="1" applyAlignment="1" applyProtection="1">
      <alignment horizontal="center"/>
      <protection locked="0"/>
    </xf>
    <xf numFmtId="0" fontId="7" fillId="0" borderId="0" xfId="0" applyFont="1" applyAlignment="1" applyProtection="1">
      <alignment horizontal="left"/>
      <protection locked="0"/>
    </xf>
    <xf numFmtId="4" fontId="20" fillId="0" borderId="17" xfId="0" applyNumberFormat="1" applyFont="1" applyBorder="1" applyAlignment="1">
      <alignment horizontal="right" vertical="center"/>
    </xf>
    <xf numFmtId="0" fontId="20" fillId="0" borderId="18" xfId="0" applyFont="1" applyBorder="1" applyAlignment="1">
      <alignment horizontal="right" vertical="center"/>
    </xf>
    <xf numFmtId="0" fontId="20" fillId="0" borderId="0" xfId="0" applyFont="1" applyAlignment="1">
      <alignment horizontal="center"/>
    </xf>
    <xf numFmtId="0" fontId="20" fillId="0" borderId="13" xfId="0" applyFont="1" applyBorder="1" applyAlignment="1">
      <alignment horizontal="center" vertical="top"/>
    </xf>
    <xf numFmtId="0" fontId="20" fillId="0" borderId="0" xfId="0" applyFont="1" applyAlignment="1" applyProtection="1">
      <alignment horizontal="left"/>
      <protection locked="0"/>
    </xf>
    <xf numFmtId="2" fontId="20" fillId="0" borderId="0" xfId="0" applyNumberFormat="1" applyFont="1" applyAlignment="1">
      <alignment horizontal="left"/>
    </xf>
    <xf numFmtId="2" fontId="20" fillId="0" borderId="4" xfId="0" applyNumberFormat="1" applyFont="1" applyBorder="1" applyAlignment="1">
      <alignment horizontal="left"/>
    </xf>
    <xf numFmtId="0" fontId="20" fillId="0" borderId="16" xfId="0" applyFont="1" applyBorder="1" applyAlignment="1">
      <alignment horizontal="left"/>
    </xf>
    <xf numFmtId="0" fontId="20" fillId="0" borderId="0" xfId="0" applyFont="1" applyAlignment="1">
      <alignment horizontal="left"/>
    </xf>
    <xf numFmtId="0" fontId="20" fillId="0" borderId="4" xfId="0" applyFont="1" applyBorder="1" applyAlignment="1">
      <alignment horizontal="left"/>
    </xf>
    <xf numFmtId="0" fontId="36" fillId="0" borderId="1" xfId="6" applyFont="1" applyBorder="1" applyAlignment="1">
      <alignment horizontal="center" vertical="center"/>
    </xf>
    <xf numFmtId="0" fontId="36" fillId="0" borderId="2" xfId="6" applyFont="1" applyBorder="1" applyAlignment="1">
      <alignment horizontal="center" vertical="center"/>
    </xf>
    <xf numFmtId="0" fontId="36" fillId="0" borderId="14" xfId="0" applyFont="1" applyBorder="1" applyAlignment="1">
      <alignment horizontal="center" vertical="center"/>
    </xf>
    <xf numFmtId="0" fontId="36" fillId="0" borderId="13" xfId="0" applyFont="1" applyBorder="1" applyAlignment="1">
      <alignment horizontal="center" vertical="center"/>
    </xf>
    <xf numFmtId="0" fontId="36" fillId="0" borderId="15" xfId="0" applyFont="1" applyBorder="1" applyAlignment="1">
      <alignment horizontal="center" vertical="center"/>
    </xf>
    <xf numFmtId="0" fontId="36" fillId="0" borderId="6" xfId="0" applyFont="1" applyBorder="1" applyAlignment="1">
      <alignment horizontal="center" vertical="center"/>
    </xf>
    <xf numFmtId="0" fontId="36" fillId="0" borderId="7" xfId="0" applyFont="1" applyBorder="1" applyAlignment="1">
      <alignment horizontal="center" vertical="center"/>
    </xf>
    <xf numFmtId="0" fontId="36" fillId="0" borderId="5" xfId="0" applyFont="1" applyBorder="1" applyAlignment="1">
      <alignment horizontal="center" vertical="center"/>
    </xf>
    <xf numFmtId="0" fontId="36" fillId="0" borderId="1" xfId="6" applyFont="1" applyBorder="1" applyAlignment="1">
      <alignment horizontal="center" vertical="center" wrapText="1" shrinkToFit="1"/>
    </xf>
    <xf numFmtId="0" fontId="36" fillId="0" borderId="2" xfId="6" applyFont="1" applyBorder="1" applyAlignment="1">
      <alignment horizontal="center" vertical="center" wrapText="1" shrinkToFit="1"/>
    </xf>
    <xf numFmtId="2" fontId="20" fillId="0" borderId="14" xfId="0" applyNumberFormat="1" applyFont="1" applyBorder="1" applyAlignment="1">
      <alignment horizontal="left"/>
    </xf>
    <xf numFmtId="2" fontId="20" fillId="0" borderId="13" xfId="0" applyNumberFormat="1" applyFont="1" applyBorder="1" applyAlignment="1">
      <alignment horizontal="left"/>
    </xf>
    <xf numFmtId="2" fontId="20" fillId="0" borderId="15" xfId="0" applyNumberFormat="1" applyFont="1" applyBorder="1" applyAlignment="1">
      <alignment horizontal="left"/>
    </xf>
    <xf numFmtId="2" fontId="20" fillId="0" borderId="6" xfId="0" applyNumberFormat="1" applyFont="1" applyBorder="1" applyAlignment="1">
      <alignment horizontal="left"/>
    </xf>
    <xf numFmtId="2" fontId="20" fillId="0" borderId="7" xfId="0" applyNumberFormat="1" applyFont="1" applyBorder="1" applyAlignment="1">
      <alignment horizontal="left"/>
    </xf>
    <xf numFmtId="2" fontId="20" fillId="0" borderId="5" xfId="0" applyNumberFormat="1" applyFont="1" applyBorder="1" applyAlignment="1">
      <alignment horizontal="left"/>
    </xf>
    <xf numFmtId="0" fontId="34" fillId="0" borderId="0" xfId="0" applyFont="1" applyAlignment="1">
      <alignment horizontal="center"/>
    </xf>
    <xf numFmtId="0" fontId="20" fillId="0" borderId="0" xfId="6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187" fontId="19" fillId="0" borderId="30" xfId="1" applyFont="1" applyBorder="1" applyAlignment="1">
      <alignment vertical="center"/>
    </xf>
    <xf numFmtId="187" fontId="19" fillId="0" borderId="31" xfId="1" applyFont="1" applyBorder="1" applyAlignment="1"/>
    <xf numFmtId="0" fontId="20" fillId="0" borderId="17" xfId="0" applyFont="1" applyBorder="1" applyAlignment="1">
      <alignment horizontal="center"/>
    </xf>
    <xf numFmtId="0" fontId="20" fillId="0" borderId="12" xfId="0" applyFont="1" applyBorder="1"/>
    <xf numFmtId="0" fontId="36" fillId="2" borderId="17" xfId="0" applyFont="1" applyFill="1" applyBorder="1" applyAlignment="1">
      <alignment horizontal="center" shrinkToFit="1"/>
    </xf>
    <xf numFmtId="0" fontId="36" fillId="2" borderId="12" xfId="0" applyFont="1" applyFill="1" applyBorder="1" applyAlignment="1">
      <alignment horizontal="center" shrinkToFit="1"/>
    </xf>
    <xf numFmtId="0" fontId="36" fillId="2" borderId="18" xfId="0" applyFont="1" applyFill="1" applyBorder="1" applyAlignment="1">
      <alignment horizontal="center" shrinkToFit="1"/>
    </xf>
    <xf numFmtId="190" fontId="20" fillId="0" borderId="17" xfId="0" applyNumberFormat="1" applyFont="1" applyBorder="1" applyAlignment="1">
      <alignment horizontal="right" vertical="center"/>
    </xf>
    <xf numFmtId="190" fontId="20" fillId="0" borderId="18" xfId="0" applyNumberFormat="1" applyFont="1" applyBorder="1" applyAlignment="1">
      <alignment horizontal="right" vertical="center"/>
    </xf>
    <xf numFmtId="189" fontId="26" fillId="0" borderId="7" xfId="13" applyNumberFormat="1" applyFont="1" applyBorder="1" applyAlignment="1">
      <alignment horizontal="center"/>
    </xf>
    <xf numFmtId="4" fontId="26" fillId="0" borderId="7" xfId="13" applyNumberFormat="1" applyFont="1" applyBorder="1" applyAlignment="1">
      <alignment horizontal="center"/>
    </xf>
    <xf numFmtId="0" fontId="21" fillId="0" borderId="0" xfId="4" applyFont="1" applyAlignment="1">
      <alignment horizontal="left" wrapText="1"/>
    </xf>
    <xf numFmtId="0" fontId="21" fillId="0" borderId="0" xfId="4" applyFont="1" applyAlignment="1">
      <alignment horizontal="left"/>
    </xf>
    <xf numFmtId="0" fontId="21" fillId="0" borderId="0" xfId="4" quotePrefix="1" applyFont="1" applyAlignment="1">
      <alignment horizontal="left" wrapText="1"/>
    </xf>
    <xf numFmtId="0" fontId="22" fillId="0" borderId="0" xfId="0" applyFont="1" applyAlignment="1">
      <alignment horizontal="center"/>
    </xf>
    <xf numFmtId="15" fontId="20" fillId="0" borderId="0" xfId="6" applyNumberFormat="1" applyFont="1" applyAlignment="1">
      <alignment horizontal="left" vertical="center"/>
    </xf>
    <xf numFmtId="0" fontId="20" fillId="0" borderId="0" xfId="4" applyFont="1" applyAlignment="1">
      <alignment horizontal="left"/>
    </xf>
    <xf numFmtId="4" fontId="20" fillId="0" borderId="10" xfId="4" applyNumberFormat="1" applyFont="1" applyBorder="1" applyAlignment="1">
      <alignment horizontal="center"/>
    </xf>
    <xf numFmtId="43" fontId="20" fillId="0" borderId="10" xfId="2" applyNumberFormat="1" applyFont="1" applyBorder="1" applyAlignment="1">
      <alignment horizontal="center"/>
    </xf>
    <xf numFmtId="43" fontId="20" fillId="0" borderId="0" xfId="2" applyNumberFormat="1" applyFont="1" applyBorder="1" applyAlignment="1">
      <alignment horizontal="center"/>
    </xf>
    <xf numFmtId="0" fontId="20" fillId="0" borderId="6" xfId="0" applyFont="1" applyBorder="1" applyAlignment="1">
      <alignment horizontal="center"/>
    </xf>
    <xf numFmtId="0" fontId="20" fillId="0" borderId="5" xfId="0" applyFont="1" applyBorder="1" applyAlignment="1">
      <alignment horizontal="center"/>
    </xf>
    <xf numFmtId="0" fontId="20" fillId="0" borderId="16" xfId="0" applyFont="1" applyBorder="1" applyAlignment="1">
      <alignment horizontal="center"/>
    </xf>
    <xf numFmtId="0" fontId="20" fillId="0" borderId="4" xfId="0" applyFont="1" applyBorder="1" applyAlignment="1">
      <alignment horizontal="center"/>
    </xf>
    <xf numFmtId="0" fontId="20" fillId="0" borderId="7" xfId="0" applyFont="1" applyBorder="1" applyAlignment="1">
      <alignment horizontal="center"/>
    </xf>
    <xf numFmtId="0" fontId="20" fillId="0" borderId="14" xfId="0" applyFont="1" applyBorder="1" applyAlignment="1">
      <alignment horizontal="center"/>
    </xf>
    <xf numFmtId="0" fontId="20" fillId="0" borderId="13" xfId="0" applyFont="1" applyBorder="1" applyAlignment="1">
      <alignment horizontal="center"/>
    </xf>
    <xf numFmtId="0" fontId="19" fillId="0" borderId="0" xfId="0" applyFont="1" applyAlignment="1">
      <alignment horizontal="center"/>
    </xf>
    <xf numFmtId="0" fontId="20" fillId="0" borderId="1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0" borderId="13" xfId="0" applyFont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20" fillId="0" borderId="15" xfId="0" applyFont="1" applyBorder="1" applyAlignment="1">
      <alignment horizontal="center"/>
    </xf>
    <xf numFmtId="0" fontId="15" fillId="0" borderId="11" xfId="8" applyFont="1" applyBorder="1" applyAlignment="1" applyProtection="1">
      <alignment horizontal="center"/>
      <protection hidden="1"/>
    </xf>
    <xf numFmtId="0" fontId="15" fillId="0" borderId="17" xfId="8" applyFont="1" applyBorder="1" applyAlignment="1" applyProtection="1">
      <alignment horizontal="center"/>
      <protection hidden="1"/>
    </xf>
    <xf numFmtId="0" fontId="15" fillId="0" borderId="12" xfId="8" applyFont="1" applyBorder="1" applyAlignment="1" applyProtection="1">
      <alignment horizontal="center"/>
      <protection hidden="1"/>
    </xf>
    <xf numFmtId="0" fontId="15" fillId="0" borderId="18" xfId="8" applyFont="1" applyBorder="1" applyAlignment="1" applyProtection="1">
      <alignment horizontal="center"/>
      <protection hidden="1"/>
    </xf>
    <xf numFmtId="0" fontId="8" fillId="0" borderId="0" xfId="8" applyFont="1" applyAlignment="1" applyProtection="1">
      <alignment horizontal="center"/>
      <protection hidden="1"/>
    </xf>
    <xf numFmtId="0" fontId="13" fillId="0" borderId="0" xfId="9" applyFont="1" applyAlignment="1" applyProtection="1">
      <alignment horizontal="center"/>
      <protection hidden="1"/>
    </xf>
    <xf numFmtId="0" fontId="15" fillId="0" borderId="14" xfId="8" applyFont="1" applyBorder="1" applyAlignment="1" applyProtection="1">
      <alignment horizontal="center" vertical="center"/>
      <protection hidden="1"/>
    </xf>
    <xf numFmtId="0" fontId="15" fillId="0" borderId="13" xfId="8" applyFont="1" applyBorder="1" applyAlignment="1" applyProtection="1">
      <alignment horizontal="center" vertical="center"/>
      <protection hidden="1"/>
    </xf>
    <xf numFmtId="0" fontId="15" fillId="0" borderId="15" xfId="8" applyFont="1" applyBorder="1" applyAlignment="1" applyProtection="1">
      <alignment horizontal="center" vertical="center"/>
      <protection hidden="1"/>
    </xf>
    <xf numFmtId="0" fontId="8" fillId="0" borderId="0" xfId="11" applyFont="1" applyAlignment="1">
      <alignment horizontal="center" vertical="center"/>
    </xf>
  </cellXfs>
  <cellStyles count="14">
    <cellStyle name="Comma 6" xfId="12" xr:uid="{00000000-0005-0000-0000-000001000000}"/>
    <cellStyle name="Normal 11" xfId="13" xr:uid="{00000000-0005-0000-0000-000003000000}"/>
    <cellStyle name="Normal 2" xfId="8" xr:uid="{00000000-0005-0000-0000-000004000000}"/>
    <cellStyle name="Normal 5" xfId="9" xr:uid="{00000000-0005-0000-0000-000005000000}"/>
    <cellStyle name="เครื่องหมายจุลภาค 4" xfId="2" xr:uid="{00000000-0005-0000-0000-000006000000}"/>
    <cellStyle name="เครื่องหมายจุลภาค 5" xfId="3" xr:uid="{00000000-0005-0000-0000-000007000000}"/>
    <cellStyle name="จุลภาค" xfId="1" builtinId="3"/>
    <cellStyle name="ปกติ" xfId="0" builtinId="0"/>
    <cellStyle name="ปกติ 2" xfId="4" xr:uid="{00000000-0005-0000-0000-000008000000}"/>
    <cellStyle name="ปกติ 3" xfId="5" xr:uid="{00000000-0005-0000-0000-000009000000}"/>
    <cellStyle name="ปกติ 3 2" xfId="10" xr:uid="{00000000-0005-0000-0000-00000A000000}"/>
    <cellStyle name="ปกติ_1_งานก่อสร้างทางและสะพาน" xfId="11" xr:uid="{00000000-0005-0000-0000-00000B000000}"/>
    <cellStyle name="ปกติ_BOQ-BANG-NGA 2" xfId="6" xr:uid="{00000000-0005-0000-0000-00000C000000}"/>
    <cellStyle name="ปกติ_ค่า Fบางนา" xfId="7" xr:uid="{00000000-0005-0000-0000-00000D000000}"/>
  </cellStyles>
  <dxfs count="7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95187</xdr:colOff>
      <xdr:row>112</xdr:row>
      <xdr:rowOff>152400</xdr:rowOff>
    </xdr:from>
    <xdr:to>
      <xdr:col>19</xdr:col>
      <xdr:colOff>367151</xdr:colOff>
      <xdr:row>120</xdr:row>
      <xdr:rowOff>76200</xdr:rowOff>
    </xdr:to>
    <xdr:pic>
      <xdr:nvPicPr>
        <xdr:cNvPr id="2" name="Picture 88">
          <a:extLst>
            <a:ext uri="{FF2B5EF4-FFF2-40B4-BE49-F238E27FC236}">
              <a16:creationId xmlns:a16="http://schemas.microsoft.com/office/drawing/2014/main" id="{00000000-0008-0000-01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81812" y="14335125"/>
          <a:ext cx="4405814" cy="1752600"/>
        </a:xfrm>
        <a:prstGeom prst="rect">
          <a:avLst/>
        </a:prstGeom>
        <a:noFill/>
      </xdr:spPr>
    </xdr:pic>
    <xdr:clientData/>
  </xdr:twoCellAnchor>
  <xdr:twoCellAnchor editAs="oneCell">
    <xdr:from>
      <xdr:col>13</xdr:col>
      <xdr:colOff>257175</xdr:colOff>
      <xdr:row>140</xdr:row>
      <xdr:rowOff>104775</xdr:rowOff>
    </xdr:from>
    <xdr:to>
      <xdr:col>19</xdr:col>
      <xdr:colOff>395725</xdr:colOff>
      <xdr:row>147</xdr:row>
      <xdr:rowOff>1904</xdr:rowOff>
    </xdr:to>
    <xdr:pic>
      <xdr:nvPicPr>
        <xdr:cNvPr id="3" name="Picture 89">
          <a:extLst>
            <a:ext uri="{FF2B5EF4-FFF2-40B4-BE49-F238E27FC236}">
              <a16:creationId xmlns:a16="http://schemas.microsoft.com/office/drawing/2014/main" id="{00000000-0008-0000-01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543800" y="20993100"/>
          <a:ext cx="4272400" cy="1543049"/>
        </a:xfrm>
        <a:prstGeom prst="rect">
          <a:avLst/>
        </a:prstGeom>
        <a:noFill/>
      </xdr:spPr>
    </xdr:pic>
    <xdr:clientData/>
  </xdr:twoCellAnchor>
  <xdr:twoCellAnchor editAs="oneCell">
    <xdr:from>
      <xdr:col>13</xdr:col>
      <xdr:colOff>221576</xdr:colOff>
      <xdr:row>129</xdr:row>
      <xdr:rowOff>95249</xdr:rowOff>
    </xdr:from>
    <xdr:to>
      <xdr:col>19</xdr:col>
      <xdr:colOff>19050</xdr:colOff>
      <xdr:row>135</xdr:row>
      <xdr:rowOff>238124</xdr:rowOff>
    </xdr:to>
    <xdr:pic>
      <xdr:nvPicPr>
        <xdr:cNvPr id="4" name="Picture 92">
          <a:extLst>
            <a:ext uri="{FF2B5EF4-FFF2-40B4-BE49-F238E27FC236}">
              <a16:creationId xmlns:a16="http://schemas.microsoft.com/office/drawing/2014/main" id="{00000000-0008-0000-01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7508201" y="18345149"/>
          <a:ext cx="3931324" cy="151447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25</xdr:row>
      <xdr:rowOff>161924</xdr:rowOff>
    </xdr:from>
    <xdr:to>
      <xdr:col>9</xdr:col>
      <xdr:colOff>558469</xdr:colOff>
      <xdr:row>33</xdr:row>
      <xdr:rowOff>133349</xdr:rowOff>
    </xdr:to>
    <xdr:pic>
      <xdr:nvPicPr>
        <xdr:cNvPr id="2050" name="Picture 2">
          <a:extLst>
            <a:ext uri="{FF2B5EF4-FFF2-40B4-BE49-F238E27FC236}">
              <a16:creationId xmlns:a16="http://schemas.microsoft.com/office/drawing/2014/main" id="{00000000-0008-0000-04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" y="7067549"/>
          <a:ext cx="6044868" cy="2181225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3586;&#3629;&#3591;&#3610;&#3629;&#3640;&#3604;&#3627;&#3609;&#3640;&#3609;\&#3591;&#3634;&#3609;&#3586;&#3618;&#3634;&#3618;&#3652;&#3627;&#3621;&#3656;&#3607;&#3634;&#3591;&#3626;&#3609;&#3634;&#3617;&#3585;&#3637;&#3628;&#363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สรุปราคากลาง"/>
      <sheetName val="ค่างานต้นทุนต่อหน่วย"/>
      <sheetName val="ข้อมูลราคาวัสดุ"/>
      <sheetName val="ข้อมูลคอนกรีต"/>
      <sheetName val="ไม้แบบ"/>
    </sheetNames>
    <sheetDataSet>
      <sheetData sheetId="0">
        <row r="59">
          <cell r="D59"/>
        </row>
        <row r="60">
          <cell r="D60"/>
        </row>
        <row r="61">
          <cell r="D61"/>
        </row>
        <row r="62">
          <cell r="D62">
            <v>9000</v>
          </cell>
        </row>
        <row r="63">
          <cell r="D63">
            <v>689.11111111111109</v>
          </cell>
        </row>
        <row r="65">
          <cell r="D65"/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39997558519241921"/>
  </sheetPr>
  <dimension ref="A1:N93"/>
  <sheetViews>
    <sheetView tabSelected="1" view="pageBreakPreview" zoomScaleNormal="100" zoomScaleSheetLayoutView="100" workbookViewId="0">
      <selection activeCell="D7" sqref="D7:K7"/>
    </sheetView>
  </sheetViews>
  <sheetFormatPr defaultColWidth="9.125" defaultRowHeight="18" x14ac:dyDescent="0.35"/>
  <cols>
    <col min="1" max="1" width="6.125" style="1" customWidth="1"/>
    <col min="2" max="2" width="4" style="1" customWidth="1"/>
    <col min="3" max="3" width="11" style="1" customWidth="1"/>
    <col min="4" max="4" width="26.625" style="1" customWidth="1"/>
    <col min="5" max="5" width="8.75" style="1" customWidth="1"/>
    <col min="6" max="6" width="9.125" style="2" customWidth="1"/>
    <col min="7" max="7" width="10.125" style="1" customWidth="1"/>
    <col min="8" max="8" width="12.625" style="1" customWidth="1"/>
    <col min="9" max="9" width="9.375" style="1" customWidth="1"/>
    <col min="10" max="10" width="10.75" style="5" customWidth="1"/>
    <col min="11" max="11" width="12.625" style="1" customWidth="1"/>
    <col min="12" max="13" width="9.125" style="1"/>
    <col min="14" max="14" width="12.375" style="1" bestFit="1" customWidth="1"/>
    <col min="15" max="15" width="11" style="1" bestFit="1" customWidth="1"/>
    <col min="16" max="16384" width="9.125" style="1"/>
  </cols>
  <sheetData>
    <row r="1" spans="1:11" s="166" customFormat="1" ht="23.4" x14ac:dyDescent="0.6">
      <c r="F1" s="167"/>
      <c r="J1" s="168" t="s">
        <v>123</v>
      </c>
      <c r="K1" s="169"/>
    </row>
    <row r="2" spans="1:11" s="64" customFormat="1" ht="19.8" x14ac:dyDescent="0.5">
      <c r="A2" s="330" t="s">
        <v>18</v>
      </c>
      <c r="B2" s="330"/>
      <c r="C2" s="330"/>
      <c r="D2" s="330"/>
      <c r="E2" s="330"/>
      <c r="F2" s="330"/>
      <c r="G2" s="330"/>
      <c r="H2" s="330"/>
      <c r="I2" s="330"/>
      <c r="J2" s="330"/>
      <c r="K2" s="330"/>
    </row>
    <row r="3" spans="1:11" s="64" customFormat="1" ht="21.75" customHeight="1" x14ac:dyDescent="0.5">
      <c r="A3" s="282" t="s">
        <v>5</v>
      </c>
      <c r="B3" s="283"/>
      <c r="C3" s="284" t="s">
        <v>332</v>
      </c>
      <c r="D3" s="285"/>
      <c r="E3" s="284"/>
      <c r="F3" s="284"/>
      <c r="G3" s="284"/>
      <c r="H3" s="284"/>
      <c r="I3" s="284"/>
      <c r="J3" s="284"/>
      <c r="K3" s="284"/>
    </row>
    <row r="4" spans="1:11" s="64" customFormat="1" ht="21.75" customHeight="1" x14ac:dyDescent="0.5">
      <c r="A4" s="285" t="s">
        <v>336</v>
      </c>
      <c r="B4" s="283"/>
      <c r="C4" s="285"/>
      <c r="D4" s="285"/>
      <c r="E4" s="284"/>
      <c r="F4" s="284"/>
      <c r="G4" s="284"/>
      <c r="H4" s="284"/>
      <c r="I4" s="284"/>
      <c r="J4" s="284"/>
      <c r="K4" s="284"/>
    </row>
    <row r="5" spans="1:11" s="64" customFormat="1" ht="21.75" customHeight="1" x14ac:dyDescent="0.5">
      <c r="A5" s="285" t="s">
        <v>354</v>
      </c>
      <c r="B5" s="283"/>
      <c r="C5" s="285"/>
      <c r="D5" s="285"/>
      <c r="E5" s="285"/>
      <c r="F5" s="285"/>
      <c r="G5" s="285"/>
      <c r="H5" s="285"/>
      <c r="I5" s="285"/>
      <c r="J5" s="285"/>
      <c r="K5" s="285"/>
    </row>
    <row r="6" spans="1:11" s="64" customFormat="1" ht="21.75" customHeight="1" x14ac:dyDescent="0.5">
      <c r="A6" s="285" t="s">
        <v>311</v>
      </c>
      <c r="B6" s="283"/>
      <c r="C6" s="285"/>
      <c r="D6" s="285"/>
      <c r="E6" s="285"/>
      <c r="F6" s="285"/>
      <c r="G6" s="285"/>
      <c r="H6" s="285"/>
      <c r="I6" s="285"/>
      <c r="J6" s="285"/>
      <c r="K6" s="285"/>
    </row>
    <row r="7" spans="1:11" s="64" customFormat="1" ht="19.8" x14ac:dyDescent="0.5">
      <c r="A7" s="105" t="s">
        <v>53</v>
      </c>
      <c r="B7" s="104"/>
      <c r="C7" s="104"/>
      <c r="D7" s="331" t="s">
        <v>333</v>
      </c>
      <c r="E7" s="332"/>
      <c r="F7" s="332"/>
      <c r="G7" s="332"/>
      <c r="H7" s="332"/>
      <c r="I7" s="332"/>
      <c r="J7" s="332"/>
      <c r="K7" s="332"/>
    </row>
    <row r="8" spans="1:11" s="64" customFormat="1" ht="19.8" x14ac:dyDescent="0.5">
      <c r="A8" s="105" t="s">
        <v>55</v>
      </c>
      <c r="B8" s="104"/>
      <c r="C8" s="104"/>
      <c r="D8" s="331" t="s">
        <v>259</v>
      </c>
      <c r="E8" s="332"/>
      <c r="F8" s="332"/>
      <c r="G8" s="332"/>
      <c r="H8" s="332"/>
      <c r="I8" s="332"/>
      <c r="J8" s="332"/>
      <c r="K8" s="332"/>
    </row>
    <row r="9" spans="1:11" s="64" customFormat="1" ht="19.8" x14ac:dyDescent="0.5">
      <c r="A9" s="171" t="s">
        <v>334</v>
      </c>
      <c r="B9" s="171"/>
      <c r="C9" s="171"/>
      <c r="D9" s="171"/>
      <c r="E9" s="170"/>
      <c r="F9" s="170"/>
      <c r="G9" s="170"/>
      <c r="H9" s="170"/>
      <c r="I9" s="170"/>
      <c r="J9" s="172"/>
      <c r="K9" s="170"/>
    </row>
    <row r="10" spans="1:11" s="64" customFormat="1" ht="19.8" x14ac:dyDescent="0.5">
      <c r="A10" s="105" t="s">
        <v>67</v>
      </c>
      <c r="B10" s="104"/>
      <c r="C10" s="104"/>
      <c r="D10" s="173" t="s">
        <v>337</v>
      </c>
      <c r="E10" s="170"/>
      <c r="F10" s="174"/>
      <c r="G10" s="170"/>
      <c r="H10" s="170"/>
      <c r="I10" s="170"/>
      <c r="J10" s="175"/>
      <c r="K10" s="105"/>
    </row>
    <row r="11" spans="1:11" s="64" customFormat="1" ht="19.8" x14ac:dyDescent="0.5">
      <c r="A11" s="314" t="s">
        <v>11</v>
      </c>
      <c r="B11" s="316" t="s">
        <v>182</v>
      </c>
      <c r="C11" s="317"/>
      <c r="D11" s="318"/>
      <c r="E11" s="322" t="s">
        <v>2</v>
      </c>
      <c r="F11" s="294" t="s">
        <v>183</v>
      </c>
      <c r="G11" s="294" t="s">
        <v>12</v>
      </c>
      <c r="H11" s="294" t="s">
        <v>13</v>
      </c>
      <c r="I11" s="295" t="s">
        <v>185</v>
      </c>
      <c r="J11" s="296" t="s">
        <v>187</v>
      </c>
      <c r="K11" s="295" t="s">
        <v>14</v>
      </c>
    </row>
    <row r="12" spans="1:11" s="64" customFormat="1" ht="19.8" x14ac:dyDescent="0.5">
      <c r="A12" s="315"/>
      <c r="B12" s="319"/>
      <c r="C12" s="320"/>
      <c r="D12" s="321"/>
      <c r="E12" s="323"/>
      <c r="F12" s="297" t="s">
        <v>184</v>
      </c>
      <c r="G12" s="297"/>
      <c r="H12" s="297" t="s">
        <v>15</v>
      </c>
      <c r="I12" s="298" t="s">
        <v>186</v>
      </c>
      <c r="J12" s="299" t="s">
        <v>188</v>
      </c>
      <c r="K12" s="298"/>
    </row>
    <row r="13" spans="1:11" s="64" customFormat="1" ht="19.8" hidden="1" x14ac:dyDescent="0.5">
      <c r="A13" s="177">
        <v>1</v>
      </c>
      <c r="B13" s="324" t="s">
        <v>160</v>
      </c>
      <c r="C13" s="325"/>
      <c r="D13" s="326"/>
      <c r="E13" s="71"/>
      <c r="F13" s="178"/>
      <c r="G13" s="179"/>
      <c r="H13" s="180"/>
      <c r="I13" s="181"/>
      <c r="J13" s="182"/>
      <c r="K13" s="182"/>
    </row>
    <row r="14" spans="1:11" s="64" customFormat="1" ht="19.8" hidden="1" x14ac:dyDescent="0.5">
      <c r="A14" s="177"/>
      <c r="B14" s="65">
        <v>1.1000000000000001</v>
      </c>
      <c r="C14" s="309" t="s">
        <v>135</v>
      </c>
      <c r="D14" s="310"/>
      <c r="E14" s="183" t="s">
        <v>8</v>
      </c>
      <c r="F14" s="178"/>
      <c r="G14" s="179"/>
      <c r="H14" s="179"/>
      <c r="I14" s="184"/>
      <c r="J14" s="182"/>
      <c r="K14" s="182"/>
    </row>
    <row r="15" spans="1:11" s="64" customFormat="1" ht="19.8" hidden="1" x14ac:dyDescent="0.5">
      <c r="A15" s="177"/>
      <c r="B15" s="65">
        <v>1.2</v>
      </c>
      <c r="C15" s="309" t="s">
        <v>161</v>
      </c>
      <c r="D15" s="310"/>
      <c r="E15" s="183" t="s">
        <v>8</v>
      </c>
      <c r="F15" s="178"/>
      <c r="G15" s="179"/>
      <c r="H15" s="179"/>
      <c r="I15" s="184"/>
      <c r="J15" s="182"/>
      <c r="K15" s="182"/>
    </row>
    <row r="16" spans="1:11" s="64" customFormat="1" ht="19.8" hidden="1" x14ac:dyDescent="0.5">
      <c r="A16" s="177">
        <v>2</v>
      </c>
      <c r="B16" s="311" t="s">
        <v>159</v>
      </c>
      <c r="C16" s="312"/>
      <c r="D16" s="313"/>
      <c r="E16" s="183"/>
      <c r="F16" s="178"/>
      <c r="G16" s="179"/>
      <c r="H16" s="179"/>
      <c r="I16" s="184"/>
      <c r="J16" s="182"/>
      <c r="K16" s="182"/>
    </row>
    <row r="17" spans="1:11" s="64" customFormat="1" ht="19.8" hidden="1" x14ac:dyDescent="0.5">
      <c r="A17" s="177"/>
      <c r="B17" s="65">
        <v>2.1</v>
      </c>
      <c r="C17" s="309" t="s">
        <v>162</v>
      </c>
      <c r="D17" s="310"/>
      <c r="E17" s="183" t="s">
        <v>8</v>
      </c>
      <c r="F17" s="293">
        <v>0</v>
      </c>
      <c r="G17" s="182">
        <v>0</v>
      </c>
      <c r="H17" s="182">
        <f>ROUNDDOWN(G17*F17,2)</f>
        <v>0</v>
      </c>
      <c r="I17" s="182">
        <v>0</v>
      </c>
      <c r="J17" s="182">
        <f>ROUNDDOWN(G17*I17,2)</f>
        <v>0</v>
      </c>
      <c r="K17" s="182">
        <f>ROUNDDOWN(J17*F17,2)</f>
        <v>0</v>
      </c>
    </row>
    <row r="18" spans="1:11" s="64" customFormat="1" ht="19.8" hidden="1" x14ac:dyDescent="0.5">
      <c r="A18" s="177"/>
      <c r="B18" s="65">
        <v>2.2000000000000002</v>
      </c>
      <c r="C18" s="309" t="s">
        <v>122</v>
      </c>
      <c r="D18" s="310"/>
      <c r="E18" s="183" t="s">
        <v>6</v>
      </c>
      <c r="F18" s="178"/>
      <c r="G18" s="179"/>
      <c r="H18" s="179" t="s">
        <v>329</v>
      </c>
      <c r="I18" s="184"/>
      <c r="J18" s="182">
        <f t="shared" ref="J18:J58" si="0">ROUNDDOWN(G18*I18,2)</f>
        <v>0</v>
      </c>
      <c r="K18" s="182">
        <f t="shared" ref="K18:K58" si="1">ROUNDDOWN(J18*F18,2)</f>
        <v>0</v>
      </c>
    </row>
    <row r="19" spans="1:11" s="64" customFormat="1" ht="19.8" hidden="1" x14ac:dyDescent="0.5">
      <c r="A19" s="177"/>
      <c r="B19" s="65">
        <v>2.2999999999999998</v>
      </c>
      <c r="C19" s="309" t="s">
        <v>163</v>
      </c>
      <c r="D19" s="310"/>
      <c r="E19" s="183" t="s">
        <v>6</v>
      </c>
      <c r="F19" s="178"/>
      <c r="G19" s="179"/>
      <c r="H19" s="179" t="s">
        <v>329</v>
      </c>
      <c r="I19" s="184"/>
      <c r="J19" s="182">
        <f t="shared" si="0"/>
        <v>0</v>
      </c>
      <c r="K19" s="182">
        <f t="shared" si="1"/>
        <v>0</v>
      </c>
    </row>
    <row r="20" spans="1:11" s="64" customFormat="1" ht="19.8" hidden="1" x14ac:dyDescent="0.5">
      <c r="A20" s="177"/>
      <c r="B20" s="65">
        <v>2.4</v>
      </c>
      <c r="C20" s="309" t="s">
        <v>164</v>
      </c>
      <c r="D20" s="310"/>
      <c r="E20" s="183" t="s">
        <v>6</v>
      </c>
      <c r="F20" s="178"/>
      <c r="G20" s="179"/>
      <c r="H20" s="179" t="s">
        <v>329</v>
      </c>
      <c r="I20" s="184"/>
      <c r="J20" s="182">
        <f t="shared" si="0"/>
        <v>0</v>
      </c>
      <c r="K20" s="182">
        <f t="shared" si="1"/>
        <v>0</v>
      </c>
    </row>
    <row r="21" spans="1:11" s="64" customFormat="1" ht="19.8" hidden="1" x14ac:dyDescent="0.5">
      <c r="A21" s="177">
        <v>3</v>
      </c>
      <c r="B21" s="311" t="s">
        <v>165</v>
      </c>
      <c r="C21" s="312"/>
      <c r="D21" s="313"/>
      <c r="E21" s="183"/>
      <c r="F21" s="178"/>
      <c r="G21" s="179"/>
      <c r="H21" s="179" t="s">
        <v>329</v>
      </c>
      <c r="I21" s="184"/>
      <c r="J21" s="182">
        <f t="shared" si="0"/>
        <v>0</v>
      </c>
      <c r="K21" s="182">
        <f t="shared" si="1"/>
        <v>0</v>
      </c>
    </row>
    <row r="22" spans="1:11" s="64" customFormat="1" ht="19.8" hidden="1" x14ac:dyDescent="0.5">
      <c r="A22" s="177"/>
      <c r="B22" s="65">
        <v>3.1</v>
      </c>
      <c r="C22" s="309" t="s">
        <v>168</v>
      </c>
      <c r="D22" s="310"/>
      <c r="E22" s="183" t="s">
        <v>8</v>
      </c>
      <c r="F22" s="178"/>
      <c r="G22" s="179"/>
      <c r="H22" s="179" t="s">
        <v>329</v>
      </c>
      <c r="I22" s="184"/>
      <c r="J22" s="182">
        <f t="shared" si="0"/>
        <v>0</v>
      </c>
      <c r="K22" s="182">
        <f t="shared" si="1"/>
        <v>0</v>
      </c>
    </row>
    <row r="23" spans="1:11" s="64" customFormat="1" ht="19.8" hidden="1" x14ac:dyDescent="0.5">
      <c r="A23" s="177"/>
      <c r="B23" s="65"/>
      <c r="C23" s="185" t="s">
        <v>189</v>
      </c>
      <c r="D23" s="186"/>
      <c r="E23" s="183"/>
      <c r="F23" s="178"/>
      <c r="G23" s="179"/>
      <c r="H23" s="179" t="s">
        <v>329</v>
      </c>
      <c r="I23" s="184"/>
      <c r="J23" s="182">
        <f t="shared" si="0"/>
        <v>0</v>
      </c>
      <c r="K23" s="182">
        <f t="shared" si="1"/>
        <v>0</v>
      </c>
    </row>
    <row r="24" spans="1:11" s="64" customFormat="1" ht="19.8" hidden="1" x14ac:dyDescent="0.5">
      <c r="A24" s="177"/>
      <c r="B24" s="65">
        <v>3.2</v>
      </c>
      <c r="C24" s="309" t="s">
        <v>168</v>
      </c>
      <c r="D24" s="310"/>
      <c r="E24" s="183" t="s">
        <v>8</v>
      </c>
      <c r="F24" s="178"/>
      <c r="G24" s="179"/>
      <c r="H24" s="179" t="s">
        <v>329</v>
      </c>
      <c r="I24" s="184"/>
      <c r="J24" s="182">
        <f t="shared" si="0"/>
        <v>0</v>
      </c>
      <c r="K24" s="182">
        <f t="shared" si="1"/>
        <v>0</v>
      </c>
    </row>
    <row r="25" spans="1:11" s="64" customFormat="1" ht="19.8" hidden="1" x14ac:dyDescent="0.5">
      <c r="A25" s="177"/>
      <c r="B25" s="65"/>
      <c r="C25" s="185" t="s">
        <v>190</v>
      </c>
      <c r="D25" s="186"/>
      <c r="E25" s="183"/>
      <c r="F25" s="178"/>
      <c r="G25" s="179"/>
      <c r="H25" s="179" t="s">
        <v>329</v>
      </c>
      <c r="I25" s="184"/>
      <c r="J25" s="182">
        <f t="shared" si="0"/>
        <v>0</v>
      </c>
      <c r="K25" s="182">
        <f t="shared" si="1"/>
        <v>0</v>
      </c>
    </row>
    <row r="26" spans="1:11" s="64" customFormat="1" ht="19.8" hidden="1" x14ac:dyDescent="0.5">
      <c r="A26" s="177"/>
      <c r="B26" s="65">
        <v>3.3</v>
      </c>
      <c r="C26" s="309" t="s">
        <v>166</v>
      </c>
      <c r="D26" s="310"/>
      <c r="E26" s="183" t="s">
        <v>6</v>
      </c>
      <c r="F26" s="178"/>
      <c r="G26" s="179"/>
      <c r="H26" s="179" t="s">
        <v>329</v>
      </c>
      <c r="I26" s="184"/>
      <c r="J26" s="182">
        <f t="shared" si="0"/>
        <v>0</v>
      </c>
      <c r="K26" s="182">
        <f t="shared" si="1"/>
        <v>0</v>
      </c>
    </row>
    <row r="27" spans="1:11" s="64" customFormat="1" ht="19.8" hidden="1" x14ac:dyDescent="0.5">
      <c r="A27" s="177"/>
      <c r="B27" s="65">
        <v>3.4</v>
      </c>
      <c r="C27" s="309" t="s">
        <v>167</v>
      </c>
      <c r="D27" s="310"/>
      <c r="E27" s="183" t="s">
        <v>6</v>
      </c>
      <c r="F27" s="178"/>
      <c r="G27" s="179"/>
      <c r="H27" s="179" t="s">
        <v>329</v>
      </c>
      <c r="I27" s="184"/>
      <c r="J27" s="182">
        <f t="shared" si="0"/>
        <v>0</v>
      </c>
      <c r="K27" s="182">
        <f t="shared" si="1"/>
        <v>0</v>
      </c>
    </row>
    <row r="28" spans="1:11" s="64" customFormat="1" ht="19.8" hidden="1" x14ac:dyDescent="0.5">
      <c r="A28" s="177"/>
      <c r="B28" s="65">
        <v>3.5</v>
      </c>
      <c r="C28" s="309" t="s">
        <v>191</v>
      </c>
      <c r="D28" s="310"/>
      <c r="E28" s="183" t="s">
        <v>8</v>
      </c>
      <c r="F28" s="178"/>
      <c r="G28" s="179"/>
      <c r="H28" s="179" t="s">
        <v>329</v>
      </c>
      <c r="I28" s="184"/>
      <c r="J28" s="182">
        <f t="shared" si="0"/>
        <v>0</v>
      </c>
      <c r="K28" s="182">
        <f t="shared" si="1"/>
        <v>0</v>
      </c>
    </row>
    <row r="29" spans="1:11" s="64" customFormat="1" ht="19.8" hidden="1" x14ac:dyDescent="0.5">
      <c r="A29" s="177"/>
      <c r="B29" s="65"/>
      <c r="C29" s="309" t="s">
        <v>192</v>
      </c>
      <c r="D29" s="310"/>
      <c r="E29" s="183"/>
      <c r="F29" s="178"/>
      <c r="G29" s="179"/>
      <c r="H29" s="179" t="s">
        <v>329</v>
      </c>
      <c r="I29" s="184"/>
      <c r="J29" s="182">
        <f t="shared" si="0"/>
        <v>0</v>
      </c>
      <c r="K29" s="182">
        <f t="shared" si="1"/>
        <v>0</v>
      </c>
    </row>
    <row r="30" spans="1:11" s="64" customFormat="1" ht="19.8" hidden="1" x14ac:dyDescent="0.5">
      <c r="A30" s="177"/>
      <c r="B30" s="65">
        <v>3.6</v>
      </c>
      <c r="C30" s="309" t="s">
        <v>191</v>
      </c>
      <c r="D30" s="310"/>
      <c r="E30" s="183" t="s">
        <v>8</v>
      </c>
      <c r="F30" s="178"/>
      <c r="G30" s="179"/>
      <c r="H30" s="179" t="s">
        <v>329</v>
      </c>
      <c r="I30" s="184"/>
      <c r="J30" s="182">
        <f t="shared" si="0"/>
        <v>0</v>
      </c>
      <c r="K30" s="182">
        <f t="shared" si="1"/>
        <v>0</v>
      </c>
    </row>
    <row r="31" spans="1:11" s="64" customFormat="1" ht="19.8" hidden="1" x14ac:dyDescent="0.5">
      <c r="A31" s="177"/>
      <c r="B31" s="65"/>
      <c r="C31" s="309" t="s">
        <v>193</v>
      </c>
      <c r="D31" s="310"/>
      <c r="E31" s="183"/>
      <c r="F31" s="178"/>
      <c r="G31" s="179"/>
      <c r="H31" s="179" t="s">
        <v>329</v>
      </c>
      <c r="I31" s="184"/>
      <c r="J31" s="182">
        <f t="shared" si="0"/>
        <v>0</v>
      </c>
      <c r="K31" s="182">
        <f t="shared" si="1"/>
        <v>0</v>
      </c>
    </row>
    <row r="32" spans="1:11" s="64" customFormat="1" ht="19.8" hidden="1" x14ac:dyDescent="0.5">
      <c r="A32" s="177"/>
      <c r="B32" s="65">
        <v>3.7</v>
      </c>
      <c r="C32" s="309" t="s">
        <v>172</v>
      </c>
      <c r="D32" s="310"/>
      <c r="E32" s="183" t="s">
        <v>6</v>
      </c>
      <c r="F32" s="178"/>
      <c r="G32" s="179"/>
      <c r="H32" s="179" t="s">
        <v>329</v>
      </c>
      <c r="I32" s="184"/>
      <c r="J32" s="182">
        <f t="shared" si="0"/>
        <v>0</v>
      </c>
      <c r="K32" s="182">
        <f t="shared" si="1"/>
        <v>0</v>
      </c>
    </row>
    <row r="33" spans="1:11" s="64" customFormat="1" ht="20.399999999999999" x14ac:dyDescent="0.55000000000000004">
      <c r="A33" s="177">
        <v>3</v>
      </c>
      <c r="B33" s="300" t="s">
        <v>339</v>
      </c>
      <c r="C33" s="185"/>
      <c r="D33" s="186"/>
      <c r="E33" s="183" t="s">
        <v>8</v>
      </c>
      <c r="F33" s="178">
        <v>6</v>
      </c>
      <c r="G33" s="179"/>
      <c r="H33" s="179"/>
      <c r="I33" s="184"/>
      <c r="J33" s="182"/>
      <c r="K33" s="182"/>
    </row>
    <row r="34" spans="1:11" s="64" customFormat="1" ht="19.8" x14ac:dyDescent="0.5">
      <c r="A34" s="177"/>
      <c r="B34" s="185" t="s">
        <v>340</v>
      </c>
      <c r="C34" s="185"/>
      <c r="D34" s="186"/>
      <c r="E34" s="183" t="s">
        <v>8</v>
      </c>
      <c r="F34" s="178">
        <v>6</v>
      </c>
      <c r="G34" s="179">
        <v>1.82</v>
      </c>
      <c r="H34" s="179">
        <v>10.92</v>
      </c>
      <c r="I34" s="184">
        <v>1.3480000000000001</v>
      </c>
      <c r="J34" s="182">
        <v>2.52</v>
      </c>
      <c r="K34" s="182">
        <v>15.12</v>
      </c>
    </row>
    <row r="35" spans="1:11" s="64" customFormat="1" ht="19.8" x14ac:dyDescent="0.5">
      <c r="A35" s="177"/>
      <c r="B35" s="185" t="s">
        <v>341</v>
      </c>
      <c r="C35" s="185"/>
      <c r="D35" s="186"/>
      <c r="E35" s="183" t="s">
        <v>6</v>
      </c>
      <c r="F35" s="178">
        <v>0.3</v>
      </c>
      <c r="G35" s="179">
        <v>785</v>
      </c>
      <c r="H35" s="179">
        <v>235.52</v>
      </c>
      <c r="I35" s="184">
        <v>1.3480000000000001</v>
      </c>
      <c r="J35" s="182">
        <v>1087.1400000000001</v>
      </c>
      <c r="K35" s="182">
        <v>326.14</v>
      </c>
    </row>
    <row r="36" spans="1:11" s="64" customFormat="1" ht="19.8" x14ac:dyDescent="0.5">
      <c r="A36" s="177"/>
      <c r="B36" s="185" t="s">
        <v>342</v>
      </c>
      <c r="C36" s="185"/>
      <c r="D36" s="186"/>
      <c r="E36" s="183" t="s">
        <v>8</v>
      </c>
      <c r="F36" s="178">
        <v>6</v>
      </c>
      <c r="G36" s="179">
        <v>363</v>
      </c>
      <c r="H36" s="179">
        <v>2182.98</v>
      </c>
      <c r="I36" s="184">
        <v>1.3480000000000001</v>
      </c>
      <c r="J36" s="182">
        <v>503.83</v>
      </c>
      <c r="K36" s="182">
        <v>3022.99</v>
      </c>
    </row>
    <row r="37" spans="1:11" s="64" customFormat="1" ht="19.8" x14ac:dyDescent="0.5">
      <c r="A37" s="177">
        <v>4</v>
      </c>
      <c r="B37" s="311" t="s">
        <v>121</v>
      </c>
      <c r="C37" s="312"/>
      <c r="D37" s="313"/>
      <c r="E37" s="183"/>
      <c r="F37" s="178"/>
      <c r="G37" s="179"/>
      <c r="H37" s="179" t="s">
        <v>329</v>
      </c>
      <c r="I37" s="184"/>
      <c r="J37" s="182">
        <f t="shared" si="0"/>
        <v>0</v>
      </c>
      <c r="K37" s="182">
        <f t="shared" si="1"/>
        <v>0</v>
      </c>
    </row>
    <row r="38" spans="1:11" s="64" customFormat="1" ht="19.8" x14ac:dyDescent="0.5">
      <c r="A38" s="177"/>
      <c r="B38" s="65">
        <v>4.0999999999999996</v>
      </c>
      <c r="C38" s="309" t="s">
        <v>133</v>
      </c>
      <c r="D38" s="310"/>
      <c r="E38" s="183" t="s">
        <v>8</v>
      </c>
      <c r="F38" s="178"/>
      <c r="G38" s="179"/>
      <c r="H38" s="179" t="s">
        <v>329</v>
      </c>
      <c r="I38" s="184"/>
      <c r="J38" s="182">
        <f t="shared" si="0"/>
        <v>0</v>
      </c>
      <c r="K38" s="182">
        <f t="shared" si="1"/>
        <v>0</v>
      </c>
    </row>
    <row r="39" spans="1:11" s="64" customFormat="1" ht="19.8" x14ac:dyDescent="0.5">
      <c r="A39" s="177"/>
      <c r="B39" s="65">
        <v>4.2</v>
      </c>
      <c r="C39" s="309" t="s">
        <v>134</v>
      </c>
      <c r="D39" s="310"/>
      <c r="E39" s="183" t="s">
        <v>8</v>
      </c>
      <c r="F39" s="178">
        <v>1728</v>
      </c>
      <c r="G39" s="179">
        <f>ค่างานต้นทุนต่อหน่วย!I36</f>
        <v>16.420000000000002</v>
      </c>
      <c r="H39" s="179">
        <f t="shared" ref="H39:H58" si="2">ROUNDDOWN(G39*F39,2)</f>
        <v>28373.759999999998</v>
      </c>
      <c r="I39" s="184">
        <v>1.3848</v>
      </c>
      <c r="J39" s="182">
        <f t="shared" si="0"/>
        <v>22.73</v>
      </c>
      <c r="K39" s="182">
        <f t="shared" si="1"/>
        <v>39277.440000000002</v>
      </c>
    </row>
    <row r="40" spans="1:11" s="64" customFormat="1" ht="19.8" x14ac:dyDescent="0.5">
      <c r="A40" s="177"/>
      <c r="B40" s="65">
        <v>4.3</v>
      </c>
      <c r="C40" s="309" t="s">
        <v>169</v>
      </c>
      <c r="D40" s="310"/>
      <c r="E40" s="183" t="s">
        <v>8</v>
      </c>
      <c r="F40" s="178"/>
      <c r="G40" s="179"/>
      <c r="H40" s="179" t="s">
        <v>329</v>
      </c>
      <c r="I40" s="184"/>
      <c r="J40" s="182">
        <f t="shared" si="0"/>
        <v>0</v>
      </c>
      <c r="K40" s="182">
        <f t="shared" si="1"/>
        <v>0</v>
      </c>
    </row>
    <row r="41" spans="1:11" s="64" customFormat="1" ht="19.8" x14ac:dyDescent="0.5">
      <c r="A41" s="177"/>
      <c r="B41" s="65">
        <v>4.4000000000000004</v>
      </c>
      <c r="C41" s="309" t="s">
        <v>170</v>
      </c>
      <c r="D41" s="310"/>
      <c r="E41" s="183" t="s">
        <v>8</v>
      </c>
      <c r="F41" s="178">
        <v>1728</v>
      </c>
      <c r="G41" s="179">
        <f>ค่างานต้นทุนต่อหน่วย!J52</f>
        <v>329.1071368547419</v>
      </c>
      <c r="H41" s="179">
        <f t="shared" si="2"/>
        <v>568697.13</v>
      </c>
      <c r="I41" s="184">
        <v>1.3848</v>
      </c>
      <c r="J41" s="182">
        <f t="shared" si="0"/>
        <v>455.74</v>
      </c>
      <c r="K41" s="182">
        <f t="shared" si="1"/>
        <v>787518.72</v>
      </c>
    </row>
    <row r="42" spans="1:11" s="64" customFormat="1" ht="19.8" x14ac:dyDescent="0.5">
      <c r="A42" s="177"/>
      <c r="B42" s="65">
        <v>4.5</v>
      </c>
      <c r="C42" s="309" t="s">
        <v>173</v>
      </c>
      <c r="D42" s="310"/>
      <c r="E42" s="183" t="s">
        <v>8</v>
      </c>
      <c r="F42" s="178"/>
      <c r="G42" s="179"/>
      <c r="H42" s="179" t="s">
        <v>329</v>
      </c>
      <c r="I42" s="184"/>
      <c r="J42" s="182">
        <f t="shared" si="0"/>
        <v>0</v>
      </c>
      <c r="K42" s="182">
        <f t="shared" si="1"/>
        <v>0</v>
      </c>
    </row>
    <row r="43" spans="1:11" s="64" customFormat="1" ht="19.8" x14ac:dyDescent="0.5">
      <c r="A43" s="177"/>
      <c r="B43" s="65">
        <v>4.5999999999999996</v>
      </c>
      <c r="C43" s="309" t="s">
        <v>171</v>
      </c>
      <c r="D43" s="310"/>
      <c r="E43" s="183" t="s">
        <v>8</v>
      </c>
      <c r="F43" s="178"/>
      <c r="G43" s="179"/>
      <c r="H43" s="179" t="s">
        <v>329</v>
      </c>
      <c r="I43" s="184"/>
      <c r="J43" s="182">
        <f t="shared" si="0"/>
        <v>0</v>
      </c>
      <c r="K43" s="182">
        <f t="shared" si="1"/>
        <v>0</v>
      </c>
    </row>
    <row r="44" spans="1:11" s="64" customFormat="1" ht="19.8" hidden="1" x14ac:dyDescent="0.5">
      <c r="A44" s="177">
        <v>5</v>
      </c>
      <c r="B44" s="311" t="s">
        <v>174</v>
      </c>
      <c r="C44" s="312"/>
      <c r="D44" s="313"/>
      <c r="E44" s="183"/>
      <c r="F44" s="178"/>
      <c r="G44" s="179"/>
      <c r="H44" s="179" t="s">
        <v>329</v>
      </c>
      <c r="I44" s="184"/>
      <c r="J44" s="182">
        <f t="shared" si="0"/>
        <v>0</v>
      </c>
      <c r="K44" s="182">
        <f t="shared" si="1"/>
        <v>0</v>
      </c>
    </row>
    <row r="45" spans="1:11" s="64" customFormat="1" ht="19.8" hidden="1" x14ac:dyDescent="0.5">
      <c r="A45" s="177"/>
      <c r="B45" s="65">
        <v>5.0999999999999996</v>
      </c>
      <c r="C45" s="309" t="s">
        <v>175</v>
      </c>
      <c r="D45" s="310"/>
      <c r="E45" s="183" t="s">
        <v>43</v>
      </c>
      <c r="F45" s="178"/>
      <c r="G45" s="179"/>
      <c r="H45" s="179" t="s">
        <v>329</v>
      </c>
      <c r="I45" s="184"/>
      <c r="J45" s="182">
        <f t="shared" si="0"/>
        <v>0</v>
      </c>
      <c r="K45" s="182">
        <f t="shared" si="1"/>
        <v>0</v>
      </c>
    </row>
    <row r="46" spans="1:11" s="64" customFormat="1" ht="19.8" hidden="1" x14ac:dyDescent="0.5">
      <c r="A46" s="177"/>
      <c r="B46" s="65">
        <v>5.2</v>
      </c>
      <c r="C46" s="309" t="s">
        <v>177</v>
      </c>
      <c r="D46" s="310"/>
      <c r="E46" s="183" t="s">
        <v>43</v>
      </c>
      <c r="F46" s="178"/>
      <c r="G46" s="179"/>
      <c r="H46" s="179" t="s">
        <v>329</v>
      </c>
      <c r="I46" s="184"/>
      <c r="J46" s="182">
        <f t="shared" si="0"/>
        <v>0</v>
      </c>
      <c r="K46" s="182">
        <f t="shared" si="1"/>
        <v>0</v>
      </c>
    </row>
    <row r="47" spans="1:11" s="64" customFormat="1" ht="19.8" hidden="1" x14ac:dyDescent="0.5">
      <c r="A47" s="177"/>
      <c r="B47" s="65">
        <v>5.3</v>
      </c>
      <c r="C47" s="309" t="s">
        <v>176</v>
      </c>
      <c r="D47" s="310"/>
      <c r="E47" s="183" t="s">
        <v>43</v>
      </c>
      <c r="F47" s="178"/>
      <c r="G47" s="179"/>
      <c r="H47" s="179" t="s">
        <v>329</v>
      </c>
      <c r="I47" s="184"/>
      <c r="J47" s="182">
        <f t="shared" si="0"/>
        <v>0</v>
      </c>
      <c r="K47" s="182">
        <f t="shared" si="1"/>
        <v>0</v>
      </c>
    </row>
    <row r="48" spans="1:11" s="64" customFormat="1" ht="19.8" x14ac:dyDescent="0.5">
      <c r="A48" s="177">
        <v>6</v>
      </c>
      <c r="B48" s="311" t="s">
        <v>178</v>
      </c>
      <c r="C48" s="312"/>
      <c r="D48" s="313"/>
      <c r="E48" s="183"/>
      <c r="F48" s="179"/>
      <c r="G48" s="179"/>
      <c r="H48" s="179" t="s">
        <v>329</v>
      </c>
      <c r="I48" s="184"/>
      <c r="J48" s="182">
        <f t="shared" si="0"/>
        <v>0</v>
      </c>
      <c r="K48" s="182">
        <f t="shared" si="1"/>
        <v>0</v>
      </c>
    </row>
    <row r="49" spans="1:14" s="64" customFormat="1" ht="19.8" x14ac:dyDescent="0.5">
      <c r="A49" s="177"/>
      <c r="B49" s="65">
        <v>6.1</v>
      </c>
      <c r="C49" s="309" t="s">
        <v>179</v>
      </c>
      <c r="D49" s="310"/>
      <c r="E49" s="183" t="s">
        <v>43</v>
      </c>
      <c r="F49" s="178"/>
      <c r="G49" s="179"/>
      <c r="H49" s="179" t="s">
        <v>329</v>
      </c>
      <c r="I49" s="184"/>
      <c r="J49" s="182">
        <f t="shared" si="0"/>
        <v>0</v>
      </c>
      <c r="K49" s="182">
        <f t="shared" si="1"/>
        <v>0</v>
      </c>
    </row>
    <row r="50" spans="1:14" s="64" customFormat="1" ht="19.8" x14ac:dyDescent="0.5">
      <c r="A50" s="177"/>
      <c r="B50" s="65">
        <v>6.2</v>
      </c>
      <c r="C50" s="309" t="s">
        <v>310</v>
      </c>
      <c r="D50" s="310"/>
      <c r="E50" s="183" t="s">
        <v>42</v>
      </c>
      <c r="F50" s="178">
        <v>2</v>
      </c>
      <c r="G50" s="179">
        <v>4680</v>
      </c>
      <c r="H50" s="179">
        <f t="shared" si="2"/>
        <v>9360</v>
      </c>
      <c r="I50" s="184">
        <v>1.3848</v>
      </c>
      <c r="J50" s="182">
        <f t="shared" si="0"/>
        <v>6480.86</v>
      </c>
      <c r="K50" s="182">
        <f t="shared" si="1"/>
        <v>12961.72</v>
      </c>
    </row>
    <row r="51" spans="1:14" s="64" customFormat="1" ht="19.8" x14ac:dyDescent="0.5">
      <c r="A51" s="177"/>
      <c r="B51" s="65">
        <v>6.3</v>
      </c>
      <c r="C51" s="309" t="s">
        <v>180</v>
      </c>
      <c r="D51" s="310"/>
      <c r="E51" s="183" t="s">
        <v>8</v>
      </c>
      <c r="F51" s="178">
        <f>0.1*288*3</f>
        <v>86.4</v>
      </c>
      <c r="G51" s="179">
        <v>290</v>
      </c>
      <c r="H51" s="179">
        <f t="shared" si="2"/>
        <v>25056</v>
      </c>
      <c r="I51" s="184">
        <v>1.3848</v>
      </c>
      <c r="J51" s="182">
        <f t="shared" si="0"/>
        <v>401.59</v>
      </c>
      <c r="K51" s="182">
        <f t="shared" si="1"/>
        <v>34697.370000000003</v>
      </c>
    </row>
    <row r="52" spans="1:14" s="64" customFormat="1" ht="19.8" x14ac:dyDescent="0.5">
      <c r="A52" s="177"/>
      <c r="B52" s="65"/>
      <c r="C52" s="185" t="s">
        <v>181</v>
      </c>
      <c r="D52" s="186"/>
      <c r="E52" s="183"/>
      <c r="F52" s="178"/>
      <c r="G52" s="179"/>
      <c r="H52" s="179" t="s">
        <v>329</v>
      </c>
      <c r="I52" s="184"/>
      <c r="J52" s="182">
        <f t="shared" si="0"/>
        <v>0</v>
      </c>
      <c r="K52" s="182">
        <f t="shared" si="1"/>
        <v>0</v>
      </c>
    </row>
    <row r="53" spans="1:14" s="64" customFormat="1" ht="19.8" hidden="1" x14ac:dyDescent="0.5">
      <c r="A53" s="177">
        <v>7</v>
      </c>
      <c r="B53" s="190" t="s">
        <v>254</v>
      </c>
      <c r="C53" s="191"/>
      <c r="D53" s="186"/>
      <c r="E53" s="183" t="s">
        <v>8</v>
      </c>
      <c r="F53" s="293">
        <v>0</v>
      </c>
      <c r="G53" s="182">
        <v>0</v>
      </c>
      <c r="H53" s="182">
        <f t="shared" si="2"/>
        <v>0</v>
      </c>
      <c r="I53" s="182">
        <v>0</v>
      </c>
      <c r="J53" s="182">
        <f t="shared" si="0"/>
        <v>0</v>
      </c>
      <c r="K53" s="182">
        <f t="shared" si="1"/>
        <v>0</v>
      </c>
    </row>
    <row r="54" spans="1:14" s="64" customFormat="1" ht="19.8" hidden="1" x14ac:dyDescent="0.5">
      <c r="A54" s="177"/>
      <c r="B54" s="190" t="s">
        <v>255</v>
      </c>
      <c r="C54" s="191"/>
      <c r="D54" s="186"/>
      <c r="E54" s="183"/>
      <c r="F54" s="178"/>
      <c r="G54" s="179"/>
      <c r="H54" s="179" t="s">
        <v>329</v>
      </c>
      <c r="I54" s="184"/>
      <c r="J54" s="182">
        <f t="shared" si="0"/>
        <v>0</v>
      </c>
      <c r="K54" s="182">
        <f t="shared" si="1"/>
        <v>0</v>
      </c>
    </row>
    <row r="55" spans="1:14" s="64" customFormat="1" ht="19.8" hidden="1" x14ac:dyDescent="0.5">
      <c r="A55" s="177"/>
      <c r="B55" s="65">
        <v>4.2</v>
      </c>
      <c r="C55" s="309" t="s">
        <v>261</v>
      </c>
      <c r="D55" s="310"/>
      <c r="E55" s="183" t="s">
        <v>43</v>
      </c>
      <c r="F55" s="293">
        <v>0</v>
      </c>
      <c r="G55" s="182">
        <v>0</v>
      </c>
      <c r="H55" s="182">
        <v>0</v>
      </c>
      <c r="I55" s="182">
        <v>0</v>
      </c>
      <c r="J55" s="182">
        <f t="shared" si="0"/>
        <v>0</v>
      </c>
      <c r="K55" s="182">
        <f t="shared" si="1"/>
        <v>0</v>
      </c>
    </row>
    <row r="56" spans="1:14" s="64" customFormat="1" ht="19.8" hidden="1" x14ac:dyDescent="0.5">
      <c r="A56" s="177"/>
      <c r="B56" s="65">
        <v>4.3</v>
      </c>
      <c r="C56" s="309" t="s">
        <v>257</v>
      </c>
      <c r="D56" s="310"/>
      <c r="E56" s="183" t="s">
        <v>43</v>
      </c>
      <c r="F56" s="293">
        <v>0</v>
      </c>
      <c r="G56" s="182">
        <v>0</v>
      </c>
      <c r="H56" s="182">
        <f t="shared" si="2"/>
        <v>0</v>
      </c>
      <c r="I56" s="182">
        <v>0</v>
      </c>
      <c r="J56" s="182">
        <f t="shared" si="0"/>
        <v>0</v>
      </c>
      <c r="K56" s="182">
        <f t="shared" si="1"/>
        <v>0</v>
      </c>
    </row>
    <row r="57" spans="1:14" s="64" customFormat="1" ht="19.8" hidden="1" x14ac:dyDescent="0.5">
      <c r="A57" s="177"/>
      <c r="B57" s="65">
        <v>4.4000000000000004</v>
      </c>
      <c r="C57" s="309" t="s">
        <v>262</v>
      </c>
      <c r="D57" s="310"/>
      <c r="E57" s="183" t="s">
        <v>43</v>
      </c>
      <c r="F57" s="293">
        <v>0</v>
      </c>
      <c r="G57" s="182">
        <v>0</v>
      </c>
      <c r="H57" s="182">
        <v>0</v>
      </c>
      <c r="I57" s="182">
        <v>0</v>
      </c>
      <c r="J57" s="182">
        <f t="shared" si="0"/>
        <v>0</v>
      </c>
      <c r="K57" s="182">
        <f t="shared" si="1"/>
        <v>0</v>
      </c>
    </row>
    <row r="58" spans="1:14" s="64" customFormat="1" ht="19.8" hidden="1" x14ac:dyDescent="0.5">
      <c r="A58" s="177">
        <v>8</v>
      </c>
      <c r="B58" s="190" t="s">
        <v>256</v>
      </c>
      <c r="C58" s="191"/>
      <c r="D58" s="183"/>
      <c r="E58" s="178" t="s">
        <v>6</v>
      </c>
      <c r="F58" s="182">
        <v>0</v>
      </c>
      <c r="G58" s="182">
        <v>0</v>
      </c>
      <c r="H58" s="182">
        <f t="shared" si="2"/>
        <v>0</v>
      </c>
      <c r="I58" s="182">
        <v>0</v>
      </c>
      <c r="J58" s="182">
        <f t="shared" si="0"/>
        <v>0</v>
      </c>
      <c r="K58" s="182">
        <f t="shared" si="1"/>
        <v>0</v>
      </c>
    </row>
    <row r="59" spans="1:14" s="64" customFormat="1" ht="21.75" customHeight="1" x14ac:dyDescent="0.5">
      <c r="A59" s="176">
        <v>9</v>
      </c>
      <c r="B59" s="327" t="s">
        <v>304</v>
      </c>
      <c r="C59" s="328"/>
      <c r="D59" s="329"/>
      <c r="E59" s="187" t="s">
        <v>305</v>
      </c>
      <c r="F59" s="187">
        <v>1</v>
      </c>
      <c r="G59" s="188">
        <v>2000</v>
      </c>
      <c r="H59" s="189">
        <v>0</v>
      </c>
      <c r="I59" s="189">
        <v>0</v>
      </c>
      <c r="J59" s="189">
        <v>0</v>
      </c>
      <c r="K59" s="189">
        <v>2000</v>
      </c>
    </row>
    <row r="60" spans="1:14" s="64" customFormat="1" ht="19.8" x14ac:dyDescent="0.5">
      <c r="A60" s="192"/>
      <c r="B60" s="192"/>
      <c r="C60" s="193"/>
      <c r="D60" s="170"/>
      <c r="E60" s="192"/>
      <c r="F60" s="194"/>
      <c r="G60" s="194"/>
      <c r="H60" s="188">
        <f>SUM(H13:H59)-2000</f>
        <v>631916.31000000006</v>
      </c>
      <c r="I60" s="195"/>
      <c r="J60" s="196" t="s">
        <v>16</v>
      </c>
      <c r="K60" s="197">
        <f>SUM(K13:K59)</f>
        <v>879819.49999999988</v>
      </c>
    </row>
    <row r="61" spans="1:14" s="64" customFormat="1" ht="19.8" x14ac:dyDescent="0.5">
      <c r="A61" s="65"/>
      <c r="B61" s="64" t="s">
        <v>143</v>
      </c>
      <c r="D61" s="65"/>
      <c r="F61" s="198"/>
      <c r="G61" s="64" t="s">
        <v>17</v>
      </c>
      <c r="H61" s="304">
        <f>H60</f>
        <v>631916.31000000006</v>
      </c>
      <c r="I61" s="305"/>
      <c r="J61" s="199"/>
    </row>
    <row r="62" spans="1:14" s="64" customFormat="1" ht="19.8" x14ac:dyDescent="0.5">
      <c r="A62" s="65"/>
      <c r="B62" s="64" t="s">
        <v>144</v>
      </c>
      <c r="D62" s="65"/>
      <c r="F62" s="198"/>
      <c r="G62" s="64" t="s">
        <v>17</v>
      </c>
      <c r="H62" s="304"/>
      <c r="I62" s="305"/>
      <c r="J62" s="199"/>
      <c r="N62" s="200"/>
    </row>
    <row r="63" spans="1:14" s="64" customFormat="1" ht="19.8" x14ac:dyDescent="0.5">
      <c r="A63" s="65"/>
      <c r="B63" s="64" t="s">
        <v>145</v>
      </c>
      <c r="D63" s="65"/>
      <c r="F63" s="198"/>
      <c r="G63" s="64" t="s">
        <v>17</v>
      </c>
      <c r="H63" s="304"/>
      <c r="I63" s="305"/>
      <c r="J63" s="199"/>
    </row>
    <row r="64" spans="1:14" s="64" customFormat="1" ht="15.75" customHeight="1" x14ac:dyDescent="0.5">
      <c r="A64" s="65"/>
      <c r="B64" s="64" t="s">
        <v>146</v>
      </c>
      <c r="D64" s="65"/>
      <c r="F64" s="198"/>
      <c r="G64" s="64" t="s">
        <v>17</v>
      </c>
      <c r="H64" s="340">
        <v>1.3848</v>
      </c>
      <c r="I64" s="341"/>
      <c r="J64" s="175"/>
      <c r="K64" s="201"/>
    </row>
    <row r="65" spans="1:14" s="64" customFormat="1" ht="19.8" x14ac:dyDescent="0.5">
      <c r="A65" s="65"/>
      <c r="B65" s="64" t="s">
        <v>147</v>
      </c>
      <c r="D65" s="65"/>
      <c r="F65" s="198"/>
      <c r="G65" s="64" t="s">
        <v>17</v>
      </c>
      <c r="H65" s="304"/>
      <c r="I65" s="305"/>
      <c r="J65" s="175"/>
      <c r="K65" s="201"/>
    </row>
    <row r="66" spans="1:14" s="64" customFormat="1" ht="19.8" x14ac:dyDescent="0.5">
      <c r="A66" s="65"/>
      <c r="D66" s="65"/>
      <c r="F66" s="198" t="s">
        <v>3</v>
      </c>
      <c r="H66" s="304">
        <f>+K60</f>
        <v>879819.49999999988</v>
      </c>
      <c r="I66" s="305"/>
      <c r="J66" s="175"/>
      <c r="K66" s="170"/>
    </row>
    <row r="67" spans="1:14" s="64" customFormat="1" ht="17.25" customHeight="1" thickBot="1" x14ac:dyDescent="0.6">
      <c r="A67" s="335" t="s">
        <v>338</v>
      </c>
      <c r="B67" s="336"/>
      <c r="C67" s="336"/>
      <c r="D67" s="336"/>
      <c r="E67" s="337" t="str">
        <f>BAHTTEXT(J67)</f>
        <v>แปดแสนเจ็ดหมื่นเก้าพันแปดร้อยสิบเก้าบาทห้าสิบสตางค์</v>
      </c>
      <c r="F67" s="338"/>
      <c r="G67" s="338"/>
      <c r="H67" s="338"/>
      <c r="I67" s="339"/>
      <c r="J67" s="333">
        <f>+K60</f>
        <v>879819.49999999988</v>
      </c>
      <c r="K67" s="334"/>
    </row>
    <row r="68" spans="1:14" s="64" customFormat="1" ht="20.399999999999999" thickTop="1" x14ac:dyDescent="0.5">
      <c r="B68" s="307" t="s">
        <v>131</v>
      </c>
      <c r="C68" s="307"/>
      <c r="D68" s="202">
        <f>F41</f>
        <v>1728</v>
      </c>
      <c r="E68" s="185" t="s">
        <v>8</v>
      </c>
      <c r="F68" s="203"/>
      <c r="G68" s="84"/>
      <c r="H68" s="204"/>
      <c r="I68" s="204"/>
      <c r="J68" s="205"/>
    </row>
    <row r="69" spans="1:14" s="64" customFormat="1" ht="24" customHeight="1" x14ac:dyDescent="0.5">
      <c r="B69" s="306" t="s">
        <v>132</v>
      </c>
      <c r="C69" s="306"/>
      <c r="D69" s="202">
        <f>J67/D68</f>
        <v>509.15480324074065</v>
      </c>
      <c r="E69" s="64" t="s">
        <v>34</v>
      </c>
      <c r="F69" s="198"/>
      <c r="J69" s="199"/>
      <c r="N69" s="200"/>
    </row>
    <row r="70" spans="1:14" s="64" customFormat="1" ht="24" customHeight="1" x14ac:dyDescent="0.5">
      <c r="B70" s="65"/>
      <c r="C70" s="65"/>
      <c r="D70" s="202"/>
      <c r="F70" s="198"/>
      <c r="J70" s="199"/>
      <c r="N70" s="200"/>
    </row>
    <row r="71" spans="1:14" s="64" customFormat="1" ht="24" customHeight="1" x14ac:dyDescent="0.5">
      <c r="B71" s="65"/>
      <c r="C71" s="65"/>
      <c r="D71" s="202"/>
      <c r="F71" s="198"/>
      <c r="J71" s="199"/>
      <c r="N71" s="200"/>
    </row>
    <row r="72" spans="1:14" s="206" customFormat="1" ht="19.8" x14ac:dyDescent="0.5">
      <c r="A72" s="206" t="s">
        <v>343</v>
      </c>
      <c r="G72" s="206" t="s">
        <v>350</v>
      </c>
    </row>
    <row r="73" spans="1:14" s="64" customFormat="1" ht="19.8" x14ac:dyDescent="0.5">
      <c r="A73" s="206" t="s">
        <v>331</v>
      </c>
      <c r="B73" s="206"/>
      <c r="F73" s="198"/>
      <c r="G73" s="206" t="s">
        <v>349</v>
      </c>
    </row>
    <row r="74" spans="1:14" s="206" customFormat="1" ht="19.8" x14ac:dyDescent="0.5"/>
    <row r="75" spans="1:14" s="206" customFormat="1" ht="19.8" x14ac:dyDescent="0.5">
      <c r="A75" s="206" t="s">
        <v>343</v>
      </c>
      <c r="G75" s="206" t="s">
        <v>351</v>
      </c>
    </row>
    <row r="76" spans="1:14" s="206" customFormat="1" ht="19.8" x14ac:dyDescent="0.5">
      <c r="A76" s="206" t="s">
        <v>260</v>
      </c>
      <c r="C76" s="64"/>
      <c r="D76" s="64"/>
      <c r="G76" s="206" t="s">
        <v>308</v>
      </c>
    </row>
    <row r="77" spans="1:14" s="206" customFormat="1" ht="19.8" x14ac:dyDescent="0.5">
      <c r="G77" s="308" t="s">
        <v>353</v>
      </c>
      <c r="H77" s="308"/>
      <c r="I77" s="308"/>
      <c r="J77" s="308"/>
    </row>
    <row r="78" spans="1:14" s="206" customFormat="1" ht="19.8" x14ac:dyDescent="0.5">
      <c r="A78" s="206" t="s">
        <v>344</v>
      </c>
    </row>
    <row r="79" spans="1:14" s="206" customFormat="1" ht="19.8" x14ac:dyDescent="0.5">
      <c r="A79" s="206" t="s">
        <v>307</v>
      </c>
      <c r="G79" s="206" t="s">
        <v>352</v>
      </c>
    </row>
    <row r="80" spans="1:14" s="206" customFormat="1" ht="19.8" x14ac:dyDescent="0.5">
      <c r="G80" s="206" t="s">
        <v>309</v>
      </c>
    </row>
    <row r="81" spans="1:13" s="206" customFormat="1" ht="19.8" x14ac:dyDescent="0.5">
      <c r="A81" s="206" t="s">
        <v>306</v>
      </c>
      <c r="G81" s="308" t="s">
        <v>330</v>
      </c>
      <c r="H81" s="308"/>
      <c r="I81" s="308"/>
      <c r="J81" s="308"/>
    </row>
    <row r="82" spans="1:13" s="206" customFormat="1" ht="19.8" x14ac:dyDescent="0.5">
      <c r="A82" s="206" t="s">
        <v>345</v>
      </c>
    </row>
    <row r="83" spans="1:13" s="207" customFormat="1" ht="23.4" x14ac:dyDescent="0.6">
      <c r="F83" s="301"/>
      <c r="G83" s="301"/>
      <c r="H83" s="301"/>
      <c r="I83" s="301"/>
    </row>
    <row r="84" spans="1:13" s="207" customFormat="1" ht="23.4" x14ac:dyDescent="0.6">
      <c r="A84" s="206" t="s">
        <v>306</v>
      </c>
      <c r="F84" s="208"/>
      <c r="G84" s="208"/>
      <c r="H84" s="208"/>
      <c r="I84" s="208"/>
      <c r="M84" s="57" t="s">
        <v>346</v>
      </c>
    </row>
    <row r="85" spans="1:13" s="57" customFormat="1" ht="22.2" x14ac:dyDescent="0.5">
      <c r="A85" s="206" t="s">
        <v>348</v>
      </c>
      <c r="M85" s="57" t="s">
        <v>347</v>
      </c>
    </row>
    <row r="86" spans="1:13" s="57" customFormat="1" ht="21" x14ac:dyDescent="0.4"/>
    <row r="87" spans="1:13" s="57" customFormat="1" ht="21" x14ac:dyDescent="0.4">
      <c r="F87" s="302"/>
      <c r="G87" s="302"/>
      <c r="H87" s="302"/>
      <c r="I87" s="302"/>
    </row>
    <row r="88" spans="1:13" s="59" customFormat="1" ht="21" x14ac:dyDescent="0.4">
      <c r="F88" s="60"/>
      <c r="J88" s="62"/>
    </row>
    <row r="89" spans="1:13" s="59" customFormat="1" ht="21" x14ac:dyDescent="0.4">
      <c r="F89" s="60"/>
      <c r="H89" s="63"/>
      <c r="I89" s="61"/>
    </row>
    <row r="90" spans="1:13" s="59" customFormat="1" ht="21" x14ac:dyDescent="0.4">
      <c r="B90" s="61"/>
      <c r="C90" s="63"/>
      <c r="F90" s="60"/>
      <c r="H90" s="63"/>
      <c r="I90" s="61"/>
    </row>
    <row r="91" spans="1:13" x14ac:dyDescent="0.35">
      <c r="C91" s="58"/>
      <c r="D91" s="58"/>
      <c r="E91" s="58"/>
      <c r="F91" s="1"/>
      <c r="G91" s="58"/>
      <c r="H91" s="58"/>
      <c r="I91" s="58"/>
      <c r="J91" s="58"/>
    </row>
    <row r="92" spans="1:13" x14ac:dyDescent="0.35">
      <c r="C92" s="58"/>
      <c r="D92" s="58"/>
      <c r="E92" s="58"/>
      <c r="F92" s="58"/>
      <c r="G92" s="58"/>
      <c r="H92" s="58"/>
      <c r="I92" s="58"/>
      <c r="J92" s="58"/>
    </row>
    <row r="93" spans="1:13" x14ac:dyDescent="0.35">
      <c r="C93" s="303"/>
      <c r="D93" s="303"/>
      <c r="E93" s="303"/>
      <c r="F93" s="303"/>
      <c r="G93" s="303"/>
      <c r="H93" s="303"/>
      <c r="I93" s="303"/>
      <c r="J93" s="303"/>
    </row>
  </sheetData>
  <mergeCells count="60">
    <mergeCell ref="A2:K2"/>
    <mergeCell ref="D8:K8"/>
    <mergeCell ref="D7:K7"/>
    <mergeCell ref="J67:K67"/>
    <mergeCell ref="A67:D67"/>
    <mergeCell ref="C32:D32"/>
    <mergeCell ref="C14:D14"/>
    <mergeCell ref="C39:D39"/>
    <mergeCell ref="C47:D47"/>
    <mergeCell ref="C41:D41"/>
    <mergeCell ref="C40:D40"/>
    <mergeCell ref="E67:I67"/>
    <mergeCell ref="C28:D28"/>
    <mergeCell ref="B16:D16"/>
    <mergeCell ref="H64:I64"/>
    <mergeCell ref="C55:D55"/>
    <mergeCell ref="C56:D56"/>
    <mergeCell ref="C57:D57"/>
    <mergeCell ref="B59:D59"/>
    <mergeCell ref="C17:D17"/>
    <mergeCell ref="C18:D18"/>
    <mergeCell ref="C19:D19"/>
    <mergeCell ref="C20:D20"/>
    <mergeCell ref="C22:D22"/>
    <mergeCell ref="C24:D24"/>
    <mergeCell ref="C31:D31"/>
    <mergeCell ref="B21:D21"/>
    <mergeCell ref="C26:D26"/>
    <mergeCell ref="C27:D27"/>
    <mergeCell ref="B37:D37"/>
    <mergeCell ref="C29:D29"/>
    <mergeCell ref="C30:D30"/>
    <mergeCell ref="A11:A12"/>
    <mergeCell ref="B11:D12"/>
    <mergeCell ref="E11:E12"/>
    <mergeCell ref="C15:D15"/>
    <mergeCell ref="B13:D13"/>
    <mergeCell ref="C38:D38"/>
    <mergeCell ref="C43:D43"/>
    <mergeCell ref="C50:D50"/>
    <mergeCell ref="C51:D51"/>
    <mergeCell ref="C42:D42"/>
    <mergeCell ref="B44:D44"/>
    <mergeCell ref="B48:D48"/>
    <mergeCell ref="C49:D49"/>
    <mergeCell ref="C45:D45"/>
    <mergeCell ref="C46:D46"/>
    <mergeCell ref="F83:I83"/>
    <mergeCell ref="F87:I87"/>
    <mergeCell ref="G93:J93"/>
    <mergeCell ref="C93:F93"/>
    <mergeCell ref="H61:I61"/>
    <mergeCell ref="H62:I62"/>
    <mergeCell ref="H63:I63"/>
    <mergeCell ref="B69:C69"/>
    <mergeCell ref="B68:C68"/>
    <mergeCell ref="H66:I66"/>
    <mergeCell ref="G77:J77"/>
    <mergeCell ref="H65:I65"/>
    <mergeCell ref="G81:J81"/>
  </mergeCells>
  <phoneticPr fontId="0" type="noConversion"/>
  <pageMargins left="0" right="0" top="0" bottom="0" header="0.3" footer="0.3"/>
  <pageSetup paperSize="9" scale="72" orientation="portrait" blackAndWhite="1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00000"/>
  </sheetPr>
  <dimension ref="A1:AA181"/>
  <sheetViews>
    <sheetView view="pageBreakPreview" topLeftCell="A7" zoomScaleNormal="100" zoomScaleSheetLayoutView="100" workbookViewId="0">
      <selection activeCell="F47" sqref="F47"/>
    </sheetView>
  </sheetViews>
  <sheetFormatPr defaultColWidth="9.125" defaultRowHeight="18" x14ac:dyDescent="0.35"/>
  <cols>
    <col min="1" max="1" width="3.75" style="1" customWidth="1"/>
    <col min="2" max="2" width="15.25" style="1" customWidth="1"/>
    <col min="3" max="3" width="9.125" style="1" customWidth="1"/>
    <col min="4" max="4" width="9.75" style="1" customWidth="1"/>
    <col min="5" max="5" width="15.125" style="1" customWidth="1"/>
    <col min="6" max="6" width="14.375" style="1" customWidth="1"/>
    <col min="7" max="7" width="6.125" style="1" customWidth="1"/>
    <col min="8" max="8" width="9.875" style="1" customWidth="1"/>
    <col min="9" max="9" width="12" style="1" customWidth="1"/>
    <col min="10" max="10" width="10.25" style="1" customWidth="1"/>
    <col min="11" max="11" width="9.125" style="1" customWidth="1"/>
    <col min="12" max="12" width="8.375" style="1" customWidth="1"/>
    <col min="13" max="16384" width="9.125" style="1"/>
  </cols>
  <sheetData>
    <row r="1" spans="1:17" s="64" customFormat="1" ht="19.8" x14ac:dyDescent="0.5">
      <c r="J1" s="84"/>
      <c r="L1" s="102" t="s">
        <v>56</v>
      </c>
    </row>
    <row r="2" spans="1:17" s="64" customFormat="1" ht="30.75" customHeight="1" x14ac:dyDescent="0.6">
      <c r="A2" s="347" t="s">
        <v>52</v>
      </c>
      <c r="B2" s="347"/>
      <c r="C2" s="347"/>
      <c r="D2" s="347"/>
      <c r="E2" s="347"/>
      <c r="F2" s="347"/>
      <c r="G2" s="347"/>
      <c r="H2" s="347"/>
      <c r="I2" s="347"/>
      <c r="J2" s="347"/>
      <c r="K2" s="347"/>
    </row>
    <row r="3" spans="1:17" s="64" customFormat="1" ht="20.399999999999999" x14ac:dyDescent="0.5">
      <c r="A3" s="103" t="s">
        <v>5</v>
      </c>
      <c r="B3" s="104"/>
      <c r="C3" s="105" t="str">
        <f>สรุปราคากลาง!C3</f>
        <v>ปรับปรุงถนนแอสฟัลต์คอนกรีต ถนนปงเย็น หมู่ที่19 ตำบลเวียงชัย อำเภอเวียงชัย</v>
      </c>
      <c r="D3" s="105"/>
      <c r="E3" s="105"/>
      <c r="F3" s="105"/>
      <c r="G3" s="105"/>
      <c r="H3" s="105"/>
      <c r="I3" s="105"/>
      <c r="J3" s="105"/>
      <c r="K3" s="105"/>
      <c r="L3" s="81"/>
    </row>
    <row r="4" spans="1:17" s="64" customFormat="1" ht="20.399999999999999" x14ac:dyDescent="0.5">
      <c r="A4" s="103"/>
      <c r="B4" s="104"/>
      <c r="C4" s="105" t="e">
        <f>สรุปราคากลาง!#REF!</f>
        <v>#REF!</v>
      </c>
      <c r="D4" s="105"/>
      <c r="E4" s="105"/>
      <c r="F4" s="105"/>
      <c r="G4" s="105"/>
      <c r="H4" s="105"/>
      <c r="I4" s="105"/>
      <c r="J4" s="105"/>
      <c r="K4" s="105"/>
      <c r="L4" s="81"/>
    </row>
    <row r="5" spans="1:17" s="64" customFormat="1" ht="20.399999999999999" x14ac:dyDescent="0.5">
      <c r="A5" s="103"/>
      <c r="B5" s="104"/>
      <c r="C5" s="331" t="e">
        <f>สรุปราคากลาง!#REF!</f>
        <v>#REF!</v>
      </c>
      <c r="D5" s="331"/>
      <c r="E5" s="331"/>
      <c r="F5" s="331"/>
      <c r="G5" s="331"/>
      <c r="H5" s="331"/>
      <c r="I5" s="331"/>
      <c r="J5" s="331"/>
      <c r="K5" s="331"/>
      <c r="L5" s="331"/>
    </row>
    <row r="6" spans="1:17" s="64" customFormat="1" ht="20.399999999999999" x14ac:dyDescent="0.5">
      <c r="A6" s="103" t="s">
        <v>0</v>
      </c>
      <c r="B6" s="104"/>
      <c r="C6" s="331" t="str">
        <f>สรุปราคากลาง!D7</f>
        <v>ถนนปงเย็น หมู่ที่19 ตำบลเวียงชัย อำเภอเวียงชัย</v>
      </c>
      <c r="D6" s="331"/>
      <c r="E6" s="331"/>
      <c r="F6" s="331"/>
      <c r="G6" s="331"/>
      <c r="H6" s="331"/>
      <c r="I6" s="331"/>
      <c r="J6" s="331"/>
      <c r="K6" s="331"/>
    </row>
    <row r="7" spans="1:17" s="64" customFormat="1" ht="20.399999999999999" x14ac:dyDescent="0.5">
      <c r="A7" s="103" t="s">
        <v>19</v>
      </c>
      <c r="B7" s="104"/>
      <c r="C7" s="331" t="str">
        <f>สรุปราคากลาง!D8</f>
        <v>เทศบาลตำบลเวียงชัย อ.เวียงชัย จ.เชียงราย</v>
      </c>
      <c r="D7" s="331"/>
      <c r="E7" s="331"/>
      <c r="F7" s="331"/>
      <c r="G7" s="331"/>
      <c r="H7" s="331"/>
      <c r="I7" s="331"/>
      <c r="J7" s="331"/>
      <c r="K7" s="331"/>
    </row>
    <row r="8" spans="1:17" s="64" customFormat="1" ht="20.399999999999999" x14ac:dyDescent="0.5">
      <c r="A8" s="103" t="s">
        <v>9</v>
      </c>
      <c r="B8" s="104"/>
      <c r="C8" s="348" t="str">
        <f>สรุปราคากลาง!D10</f>
        <v xml:space="preserve">            มกราคม  2568</v>
      </c>
      <c r="D8" s="348"/>
      <c r="E8" s="348"/>
      <c r="F8" s="348"/>
      <c r="G8" s="348"/>
      <c r="H8" s="348"/>
      <c r="I8" s="348"/>
      <c r="J8" s="348"/>
      <c r="K8" s="105"/>
    </row>
    <row r="9" spans="1:17" s="64" customFormat="1" ht="19.8" x14ac:dyDescent="0.5">
      <c r="H9" s="64" t="s">
        <v>142</v>
      </c>
      <c r="J9" s="106" t="s">
        <v>17</v>
      </c>
      <c r="K9" s="67">
        <v>32.94</v>
      </c>
    </row>
    <row r="10" spans="1:17" s="64" customFormat="1" ht="20.399999999999999" x14ac:dyDescent="0.55000000000000004">
      <c r="A10" s="107" t="s">
        <v>155</v>
      </c>
      <c r="B10" s="108"/>
      <c r="C10" s="108"/>
      <c r="D10" s="108"/>
      <c r="E10" s="108"/>
      <c r="F10" s="108"/>
      <c r="G10" s="108"/>
    </row>
    <row r="11" spans="1:17" s="64" customFormat="1" ht="23.4" x14ac:dyDescent="0.6">
      <c r="A11" s="108" t="s">
        <v>156</v>
      </c>
      <c r="B11" s="108"/>
      <c r="C11" s="108"/>
      <c r="D11" s="108"/>
      <c r="E11" s="108"/>
      <c r="G11" s="109" t="s">
        <v>17</v>
      </c>
      <c r="H11" s="110">
        <v>10.43</v>
      </c>
      <c r="I11" s="109" t="s">
        <v>20</v>
      </c>
      <c r="K11" s="108"/>
      <c r="L11" s="111"/>
      <c r="N11" s="111"/>
    </row>
    <row r="12" spans="1:17" s="64" customFormat="1" ht="20.399999999999999" thickBot="1" x14ac:dyDescent="0.55000000000000004">
      <c r="A12" s="108"/>
      <c r="B12" s="108"/>
      <c r="D12" s="108" t="s">
        <v>38</v>
      </c>
      <c r="E12" s="109"/>
      <c r="F12" s="109"/>
      <c r="G12" s="109" t="s">
        <v>17</v>
      </c>
      <c r="H12" s="112">
        <f>H11</f>
        <v>10.43</v>
      </c>
      <c r="I12" s="109" t="s">
        <v>20</v>
      </c>
    </row>
    <row r="13" spans="1:17" s="64" customFormat="1" ht="20.399999999999999" thickTop="1" x14ac:dyDescent="0.5">
      <c r="C13" s="108"/>
      <c r="D13" s="108"/>
      <c r="F13" s="109"/>
      <c r="H13" s="108"/>
      <c r="I13" s="108"/>
    </row>
    <row r="14" spans="1:17" s="64" customFormat="1" ht="19.8" x14ac:dyDescent="0.5"/>
    <row r="15" spans="1:17" s="64" customFormat="1" ht="20.399999999999999" x14ac:dyDescent="0.55000000000000004">
      <c r="A15" s="107" t="s">
        <v>29</v>
      </c>
      <c r="B15" s="108"/>
      <c r="C15" s="108"/>
      <c r="D15" s="108"/>
      <c r="E15" s="108"/>
      <c r="F15" s="108"/>
      <c r="G15" s="108"/>
      <c r="H15" s="108"/>
      <c r="J15" s="108"/>
      <c r="K15" s="108"/>
      <c r="L15" s="108"/>
      <c r="M15" s="113"/>
      <c r="N15" s="109"/>
      <c r="O15" s="109"/>
      <c r="P15" s="114"/>
      <c r="Q15" s="109"/>
    </row>
    <row r="16" spans="1:17" s="64" customFormat="1" ht="19.8" x14ac:dyDescent="0.5">
      <c r="A16" s="108" t="s">
        <v>235</v>
      </c>
      <c r="B16" s="108"/>
      <c r="C16" s="108"/>
      <c r="D16" s="108"/>
      <c r="E16" s="108"/>
      <c r="F16" s="108"/>
      <c r="G16" s="109" t="s">
        <v>17</v>
      </c>
      <c r="H16" s="115">
        <v>80</v>
      </c>
      <c r="I16" s="109" t="s">
        <v>24</v>
      </c>
    </row>
    <row r="17" spans="1:12" s="64" customFormat="1" ht="19.8" x14ac:dyDescent="0.5">
      <c r="A17" s="108" t="s">
        <v>26</v>
      </c>
      <c r="B17" s="108"/>
      <c r="C17" s="116"/>
      <c r="D17" s="117">
        <v>47</v>
      </c>
      <c r="E17" s="108" t="s">
        <v>23</v>
      </c>
      <c r="F17" s="118">
        <v>153.88999999999999</v>
      </c>
      <c r="G17" s="109" t="s">
        <v>17</v>
      </c>
      <c r="H17" s="119">
        <f>F17</f>
        <v>153.88999999999999</v>
      </c>
      <c r="I17" s="109" t="s">
        <v>24</v>
      </c>
    </row>
    <row r="18" spans="1:12" s="64" customFormat="1" ht="19.8" x14ac:dyDescent="0.5">
      <c r="A18" s="108" t="s">
        <v>3</v>
      </c>
      <c r="B18" s="108"/>
      <c r="C18" s="108"/>
      <c r="D18" s="108"/>
      <c r="E18" s="108"/>
      <c r="F18" s="108"/>
      <c r="G18" s="109" t="s">
        <v>17</v>
      </c>
      <c r="H18" s="120">
        <f>H16+H17</f>
        <v>233.89</v>
      </c>
      <c r="I18" s="109" t="s">
        <v>24</v>
      </c>
    </row>
    <row r="19" spans="1:12" s="64" customFormat="1" ht="19.8" x14ac:dyDescent="0.5">
      <c r="A19" s="108" t="s">
        <v>30</v>
      </c>
      <c r="B19" s="108"/>
      <c r="C19" s="114"/>
      <c r="D19" s="118">
        <f>H18</f>
        <v>233.89</v>
      </c>
      <c r="E19" s="109" t="s">
        <v>22</v>
      </c>
      <c r="F19" s="117">
        <v>1.5</v>
      </c>
      <c r="G19" s="109" t="s">
        <v>17</v>
      </c>
      <c r="H19" s="120">
        <f>D19*F19</f>
        <v>350.83499999999998</v>
      </c>
      <c r="I19" s="109" t="s">
        <v>24</v>
      </c>
    </row>
    <row r="20" spans="1:12" s="64" customFormat="1" ht="19.8" x14ac:dyDescent="0.5">
      <c r="A20" s="108" t="s">
        <v>31</v>
      </c>
      <c r="B20" s="108"/>
      <c r="C20" s="108"/>
      <c r="D20" s="108"/>
      <c r="E20" s="108"/>
      <c r="F20" s="108"/>
      <c r="G20" s="109" t="s">
        <v>17</v>
      </c>
      <c r="H20" s="120">
        <v>24</v>
      </c>
      <c r="I20" s="109" t="s">
        <v>24</v>
      </c>
    </row>
    <row r="21" spans="1:12" s="64" customFormat="1" ht="19.8" x14ac:dyDescent="0.5">
      <c r="A21" s="108" t="s">
        <v>28</v>
      </c>
      <c r="B21" s="108"/>
      <c r="C21" s="108"/>
      <c r="D21" s="108"/>
      <c r="E21" s="108"/>
      <c r="F21" s="108"/>
      <c r="G21" s="109" t="s">
        <v>17</v>
      </c>
      <c r="H21" s="119">
        <v>83.44</v>
      </c>
      <c r="I21" s="109" t="s">
        <v>24</v>
      </c>
      <c r="L21" s="102"/>
    </row>
    <row r="22" spans="1:12" s="64" customFormat="1" ht="19.8" x14ac:dyDescent="0.5">
      <c r="A22" s="108"/>
      <c r="B22" s="108"/>
      <c r="C22" s="108"/>
      <c r="D22" s="108" t="s">
        <v>27</v>
      </c>
      <c r="E22" s="108"/>
      <c r="F22" s="108"/>
      <c r="G22" s="109" t="s">
        <v>17</v>
      </c>
      <c r="H22" s="121">
        <f>SUM(H19:H21)</f>
        <v>458.27499999999998</v>
      </c>
      <c r="I22" s="109" t="s">
        <v>24</v>
      </c>
    </row>
    <row r="23" spans="1:12" s="64" customFormat="1" ht="20.399999999999999" thickBot="1" x14ac:dyDescent="0.55000000000000004">
      <c r="A23" s="108"/>
      <c r="B23" s="108"/>
      <c r="C23" s="108"/>
      <c r="D23" s="108" t="s">
        <v>38</v>
      </c>
      <c r="E23" s="113"/>
      <c r="F23" s="108"/>
      <c r="G23" s="109" t="s">
        <v>17</v>
      </c>
      <c r="H23" s="122">
        <f>H22</f>
        <v>458.27499999999998</v>
      </c>
      <c r="I23" s="109" t="s">
        <v>24</v>
      </c>
    </row>
    <row r="24" spans="1:12" s="64" customFormat="1" ht="20.399999999999999" thickTop="1" x14ac:dyDescent="0.5"/>
    <row r="25" spans="1:12" s="64" customFormat="1" ht="19.8" x14ac:dyDescent="0.5"/>
    <row r="26" spans="1:12" s="64" customFormat="1" ht="20.399999999999999" x14ac:dyDescent="0.55000000000000004">
      <c r="A26" s="107" t="s">
        <v>238</v>
      </c>
      <c r="B26" s="108"/>
      <c r="C26" s="108"/>
      <c r="D26" s="108"/>
      <c r="E26" s="108"/>
      <c r="F26" s="108"/>
      <c r="G26" s="108"/>
    </row>
    <row r="27" spans="1:12" s="64" customFormat="1" ht="19.8" x14ac:dyDescent="0.5">
      <c r="A27" s="108" t="s">
        <v>157</v>
      </c>
      <c r="B27" s="209"/>
      <c r="C27" s="114"/>
      <c r="D27" s="108"/>
      <c r="E27" s="64" t="s">
        <v>25</v>
      </c>
      <c r="F27" s="124">
        <f>21752.67+124.74</f>
        <v>21877.41</v>
      </c>
      <c r="G27" s="108" t="s">
        <v>76</v>
      </c>
      <c r="H27" s="109" t="s">
        <v>17</v>
      </c>
      <c r="I27" s="210">
        <f>F27/1000</f>
        <v>21.877410000000001</v>
      </c>
      <c r="J27" s="109" t="s">
        <v>20</v>
      </c>
      <c r="K27" s="108"/>
    </row>
    <row r="28" spans="1:12" s="64" customFormat="1" ht="19.8" x14ac:dyDescent="0.5">
      <c r="A28" s="108" t="s">
        <v>158</v>
      </c>
      <c r="B28" s="209"/>
      <c r="C28" s="108"/>
      <c r="D28" s="108"/>
      <c r="E28" s="108"/>
      <c r="H28" s="109" t="s">
        <v>17</v>
      </c>
      <c r="I28" s="110">
        <v>6.63</v>
      </c>
      <c r="J28" s="109" t="s">
        <v>20</v>
      </c>
      <c r="K28" s="108"/>
    </row>
    <row r="29" spans="1:12" s="64" customFormat="1" ht="19.8" x14ac:dyDescent="0.5">
      <c r="A29" s="108"/>
      <c r="B29" s="209"/>
      <c r="C29" s="108"/>
      <c r="D29" s="113" t="s">
        <v>27</v>
      </c>
      <c r="H29" s="109" t="s">
        <v>17</v>
      </c>
      <c r="I29" s="114">
        <f>I27+I28</f>
        <v>28.50741</v>
      </c>
      <c r="J29" s="109" t="s">
        <v>20</v>
      </c>
      <c r="K29" s="108"/>
    </row>
    <row r="30" spans="1:12" s="64" customFormat="1" ht="20.399999999999999" thickBot="1" x14ac:dyDescent="0.55000000000000004">
      <c r="A30" s="108"/>
      <c r="B30" s="108"/>
      <c r="D30" s="132" t="s">
        <v>38</v>
      </c>
      <c r="F30" s="109"/>
      <c r="H30" s="109" t="s">
        <v>17</v>
      </c>
      <c r="I30" s="112">
        <f>I29</f>
        <v>28.50741</v>
      </c>
      <c r="J30" s="109" t="s">
        <v>20</v>
      </c>
    </row>
    <row r="31" spans="1:12" s="64" customFormat="1" ht="20.399999999999999" thickTop="1" x14ac:dyDescent="0.5">
      <c r="A31" s="108"/>
      <c r="B31" s="108"/>
      <c r="D31" s="132"/>
      <c r="F31" s="109"/>
      <c r="H31" s="109"/>
      <c r="I31" s="114"/>
      <c r="J31" s="109"/>
    </row>
    <row r="32" spans="1:12" s="64" customFormat="1" ht="20.399999999999999" x14ac:dyDescent="0.55000000000000004">
      <c r="A32" s="211" t="s">
        <v>237</v>
      </c>
      <c r="B32" s="212"/>
      <c r="C32" s="212"/>
      <c r="D32" s="212"/>
      <c r="E32" s="212"/>
      <c r="F32" s="212"/>
      <c r="G32" s="212"/>
      <c r="H32" s="213"/>
      <c r="I32" s="213"/>
      <c r="J32" s="213"/>
      <c r="K32" s="213"/>
    </row>
    <row r="33" spans="1:12" s="64" customFormat="1" ht="20.399999999999999" x14ac:dyDescent="0.55000000000000004">
      <c r="A33" s="212" t="s">
        <v>250</v>
      </c>
      <c r="B33" s="214"/>
      <c r="C33" s="215"/>
      <c r="D33" s="212"/>
      <c r="E33" s="213" t="s">
        <v>25</v>
      </c>
      <c r="F33" s="291">
        <f>+ข้อมูลราคาวัสดุ!E24</f>
        <v>30500</v>
      </c>
      <c r="G33" s="212" t="s">
        <v>76</v>
      </c>
      <c r="H33" s="216" t="s">
        <v>17</v>
      </c>
      <c r="I33" s="217">
        <f>0.3*F33/1000</f>
        <v>9.15</v>
      </c>
      <c r="J33" s="216" t="s">
        <v>251</v>
      </c>
      <c r="K33" s="212"/>
    </row>
    <row r="34" spans="1:12" s="64" customFormat="1" ht="19.8" x14ac:dyDescent="0.5">
      <c r="A34" s="212" t="s">
        <v>244</v>
      </c>
      <c r="B34" s="214"/>
      <c r="C34" s="212"/>
      <c r="D34" s="212"/>
      <c r="E34" s="212"/>
      <c r="F34" s="213"/>
      <c r="G34" s="213"/>
      <c r="H34" s="216" t="s">
        <v>17</v>
      </c>
      <c r="I34" s="218">
        <v>7.27</v>
      </c>
      <c r="J34" s="216" t="s">
        <v>20</v>
      </c>
      <c r="K34" s="212"/>
    </row>
    <row r="35" spans="1:12" s="64" customFormat="1" ht="19.8" x14ac:dyDescent="0.5">
      <c r="A35" s="212"/>
      <c r="B35" s="214"/>
      <c r="C35" s="212"/>
      <c r="D35" s="219" t="s">
        <v>27</v>
      </c>
      <c r="E35" s="213"/>
      <c r="F35" s="213"/>
      <c r="G35" s="213"/>
      <c r="H35" s="216" t="s">
        <v>17</v>
      </c>
      <c r="I35" s="215">
        <f>I33+I34</f>
        <v>16.420000000000002</v>
      </c>
      <c r="J35" s="216" t="s">
        <v>20</v>
      </c>
      <c r="K35" s="212"/>
    </row>
    <row r="36" spans="1:12" s="64" customFormat="1" ht="20.399999999999999" thickBot="1" x14ac:dyDescent="0.55000000000000004">
      <c r="A36" s="212"/>
      <c r="B36" s="212"/>
      <c r="C36" s="213"/>
      <c r="D36" s="220" t="s">
        <v>38</v>
      </c>
      <c r="E36" s="213"/>
      <c r="F36" s="216"/>
      <c r="G36" s="213"/>
      <c r="H36" s="216" t="s">
        <v>17</v>
      </c>
      <c r="I36" s="221">
        <f>I35</f>
        <v>16.420000000000002</v>
      </c>
      <c r="J36" s="216" t="s">
        <v>20</v>
      </c>
      <c r="K36" s="213"/>
    </row>
    <row r="37" spans="1:12" s="64" customFormat="1" ht="20.399999999999999" thickTop="1" x14ac:dyDescent="0.5">
      <c r="G37" s="109"/>
      <c r="L37" s="102" t="s">
        <v>57</v>
      </c>
    </row>
    <row r="38" spans="1:12" s="64" customFormat="1" ht="20.399999999999999" x14ac:dyDescent="0.55000000000000004">
      <c r="A38" s="107"/>
      <c r="B38" s="108"/>
      <c r="C38" s="108"/>
      <c r="D38" s="108"/>
      <c r="E38" s="108"/>
      <c r="F38" s="108"/>
    </row>
    <row r="39" spans="1:12" s="64" customFormat="1" ht="20.399999999999999" x14ac:dyDescent="0.55000000000000004">
      <c r="A39" s="211" t="s">
        <v>39</v>
      </c>
      <c r="B39" s="211"/>
      <c r="C39" s="211"/>
      <c r="D39" s="211"/>
      <c r="E39" s="211"/>
      <c r="F39" s="212"/>
      <c r="G39" s="255"/>
      <c r="H39" s="211"/>
      <c r="I39" s="256" t="s">
        <v>35</v>
      </c>
      <c r="J39" s="257">
        <v>5</v>
      </c>
      <c r="K39" s="258" t="s">
        <v>21</v>
      </c>
    </row>
    <row r="40" spans="1:12" s="64" customFormat="1" ht="20.399999999999999" x14ac:dyDescent="0.55000000000000004">
      <c r="A40" s="212" t="s">
        <v>148</v>
      </c>
      <c r="B40" s="212"/>
      <c r="C40" s="212"/>
      <c r="D40" s="212"/>
      <c r="E40" s="212"/>
      <c r="F40" s="212"/>
      <c r="G40" s="213"/>
      <c r="H40" s="213"/>
      <c r="I40" s="216" t="s">
        <v>17</v>
      </c>
      <c r="J40" s="292">
        <f>1728/8.33</f>
        <v>207.44297719087635</v>
      </c>
      <c r="K40" s="216" t="s">
        <v>36</v>
      </c>
    </row>
    <row r="41" spans="1:12" s="64" customFormat="1" ht="19.8" x14ac:dyDescent="0.5">
      <c r="A41" s="212" t="s">
        <v>149</v>
      </c>
      <c r="B41" s="212"/>
      <c r="C41" s="260"/>
      <c r="D41" s="261"/>
      <c r="E41" s="212"/>
      <c r="F41" s="212"/>
      <c r="G41" s="213"/>
      <c r="H41" s="222">
        <v>0</v>
      </c>
      <c r="I41" s="216" t="s">
        <v>17</v>
      </c>
      <c r="J41" s="262">
        <v>0</v>
      </c>
      <c r="K41" s="216" t="s">
        <v>37</v>
      </c>
    </row>
    <row r="42" spans="1:12" s="64" customFormat="1" ht="19.8" x14ac:dyDescent="0.5">
      <c r="A42" s="212" t="s">
        <v>141</v>
      </c>
      <c r="B42" s="212"/>
      <c r="C42" s="216"/>
      <c r="D42" s="261"/>
      <c r="E42" s="216"/>
      <c r="F42" s="216"/>
      <c r="G42" s="213"/>
      <c r="H42" s="213"/>
      <c r="I42" s="216" t="s">
        <v>17</v>
      </c>
      <c r="J42" s="263">
        <f>250000/10000</f>
        <v>25</v>
      </c>
      <c r="K42" s="216" t="s">
        <v>37</v>
      </c>
    </row>
    <row r="43" spans="1:12" s="64" customFormat="1" ht="19.8" x14ac:dyDescent="0.5">
      <c r="A43" s="344" t="s">
        <v>150</v>
      </c>
      <c r="B43" s="345"/>
      <c r="C43" s="345"/>
      <c r="D43" s="345"/>
      <c r="E43" s="345"/>
      <c r="F43" s="345"/>
      <c r="G43" s="345"/>
      <c r="H43" s="345"/>
      <c r="I43" s="345"/>
      <c r="J43" s="345"/>
      <c r="K43" s="345"/>
    </row>
    <row r="44" spans="1:12" s="64" customFormat="1" ht="19.8" x14ac:dyDescent="0.5">
      <c r="A44" s="346" t="s">
        <v>151</v>
      </c>
      <c r="B44" s="344"/>
      <c r="C44" s="344"/>
      <c r="D44" s="344"/>
      <c r="E44" s="344"/>
      <c r="F44" s="344"/>
      <c r="G44" s="344"/>
      <c r="H44" s="344"/>
      <c r="I44" s="344"/>
      <c r="J44" s="344"/>
      <c r="K44" s="344"/>
    </row>
    <row r="45" spans="1:12" s="64" customFormat="1" ht="20.399999999999999" x14ac:dyDescent="0.55000000000000004">
      <c r="A45" s="212" t="s">
        <v>253</v>
      </c>
      <c r="B45" s="212"/>
      <c r="C45" s="212"/>
      <c r="D45" s="288">
        <f>ข้อมูลราคาวัสดุ!J22</f>
        <v>34500</v>
      </c>
      <c r="E45" s="264" t="s">
        <v>40</v>
      </c>
      <c r="F45" s="289">
        <v>679.79</v>
      </c>
      <c r="G45" s="265" t="s">
        <v>22</v>
      </c>
      <c r="H45" s="213">
        <v>5.5E-2</v>
      </c>
      <c r="I45" s="216" t="s">
        <v>17</v>
      </c>
      <c r="J45" s="266">
        <f>(D45+F45+35)*H45</f>
        <v>1936.8134500000001</v>
      </c>
      <c r="K45" s="216" t="s">
        <v>37</v>
      </c>
    </row>
    <row r="46" spans="1:12" s="64" customFormat="1" ht="19.8" x14ac:dyDescent="0.5">
      <c r="A46" s="212" t="s">
        <v>139</v>
      </c>
      <c r="B46" s="212"/>
      <c r="C46" s="212"/>
      <c r="D46" s="222">
        <v>486.35</v>
      </c>
      <c r="E46" s="264" t="s">
        <v>40</v>
      </c>
      <c r="F46" s="222">
        <v>0</v>
      </c>
      <c r="G46" s="265" t="s">
        <v>22</v>
      </c>
      <c r="H46" s="213">
        <v>0.74</v>
      </c>
      <c r="I46" s="216" t="s">
        <v>17</v>
      </c>
      <c r="J46" s="267">
        <f>(D46+F46)*H46</f>
        <v>359.899</v>
      </c>
      <c r="K46" s="216" t="s">
        <v>37</v>
      </c>
    </row>
    <row r="47" spans="1:12" s="64" customFormat="1" ht="20.399999999999999" x14ac:dyDescent="0.55000000000000004">
      <c r="A47" s="213" t="s">
        <v>152</v>
      </c>
      <c r="B47" s="212"/>
      <c r="C47" s="212"/>
      <c r="D47" s="213"/>
      <c r="E47" s="213"/>
      <c r="F47" s="212"/>
      <c r="G47" s="213"/>
      <c r="H47" s="213"/>
      <c r="I47" s="216" t="s">
        <v>17</v>
      </c>
      <c r="J47" s="290">
        <v>419.75</v>
      </c>
      <c r="K47" s="216" t="s">
        <v>37</v>
      </c>
    </row>
    <row r="48" spans="1:12" s="64" customFormat="1" ht="19.8" x14ac:dyDescent="0.5">
      <c r="A48" s="213" t="s">
        <v>140</v>
      </c>
      <c r="B48" s="212"/>
      <c r="C48" s="212"/>
      <c r="D48" s="213"/>
      <c r="E48" s="213"/>
      <c r="F48" s="216">
        <v>1</v>
      </c>
      <c r="G48" s="213" t="s">
        <v>23</v>
      </c>
      <c r="H48" s="213" t="s">
        <v>153</v>
      </c>
      <c r="I48" s="216" t="s">
        <v>17</v>
      </c>
      <c r="J48" s="263">
        <v>0</v>
      </c>
      <c r="K48" s="216" t="s">
        <v>37</v>
      </c>
    </row>
    <row r="49" spans="1:17" s="64" customFormat="1" ht="19.8" x14ac:dyDescent="0.5">
      <c r="A49" s="213" t="s">
        <v>154</v>
      </c>
      <c r="B49" s="212"/>
      <c r="C49" s="212"/>
      <c r="D49" s="213"/>
      <c r="E49" s="213"/>
      <c r="F49" s="212"/>
      <c r="G49" s="214"/>
      <c r="H49" s="212"/>
      <c r="I49" s="216"/>
      <c r="J49" s="268"/>
      <c r="K49" s="265"/>
    </row>
    <row r="50" spans="1:17" s="64" customFormat="1" ht="20.399999999999999" x14ac:dyDescent="0.55000000000000004">
      <c r="A50" s="213"/>
      <c r="B50" s="212"/>
      <c r="C50" s="212"/>
      <c r="D50" s="289">
        <v>12.64</v>
      </c>
      <c r="E50" s="265" t="s">
        <v>22</v>
      </c>
      <c r="F50" s="269">
        <v>1</v>
      </c>
      <c r="G50" s="214" t="s">
        <v>22</v>
      </c>
      <c r="H50" s="222">
        <v>8.33</v>
      </c>
      <c r="I50" s="216" t="s">
        <v>17</v>
      </c>
      <c r="J50" s="266">
        <f>D50*F50*H50</f>
        <v>105.2912</v>
      </c>
      <c r="K50" s="216" t="s">
        <v>37</v>
      </c>
    </row>
    <row r="51" spans="1:17" s="64" customFormat="1" ht="20.399999999999999" thickBot="1" x14ac:dyDescent="0.55000000000000004">
      <c r="A51" s="213" t="s">
        <v>27</v>
      </c>
      <c r="B51" s="212"/>
      <c r="C51" s="212"/>
      <c r="D51" s="213"/>
      <c r="E51" s="213"/>
      <c r="F51" s="216"/>
      <c r="G51" s="213"/>
      <c r="H51" s="213"/>
      <c r="I51" s="216" t="s">
        <v>17</v>
      </c>
      <c r="J51" s="270">
        <f>J41+J42+J45+J46+J47+J48+J49</f>
        <v>2741.46245</v>
      </c>
      <c r="K51" s="216" t="s">
        <v>37</v>
      </c>
    </row>
    <row r="52" spans="1:17" s="64" customFormat="1" ht="21" thickTop="1" thickBot="1" x14ac:dyDescent="0.55000000000000004">
      <c r="A52" s="213" t="s">
        <v>38</v>
      </c>
      <c r="B52" s="212"/>
      <c r="C52" s="212"/>
      <c r="D52" s="213"/>
      <c r="E52" s="213"/>
      <c r="F52" s="212"/>
      <c r="G52" s="213"/>
      <c r="H52" s="213"/>
      <c r="I52" s="216" t="s">
        <v>17</v>
      </c>
      <c r="J52" s="271">
        <f>J51/H50</f>
        <v>329.1071368547419</v>
      </c>
      <c r="K52" s="265" t="s">
        <v>138</v>
      </c>
    </row>
    <row r="53" spans="1:17" s="64" customFormat="1" ht="20.399999999999999" thickTop="1" x14ac:dyDescent="0.5">
      <c r="B53" s="108"/>
      <c r="C53" s="108"/>
      <c r="F53" s="108"/>
      <c r="I53" s="109"/>
      <c r="J53" s="115"/>
      <c r="K53" s="65"/>
    </row>
    <row r="54" spans="1:17" s="64" customFormat="1" ht="19.8" x14ac:dyDescent="0.5">
      <c r="B54" s="108"/>
      <c r="C54" s="108"/>
      <c r="F54" s="108"/>
      <c r="I54" s="109"/>
      <c r="J54" s="115">
        <v>237.92</v>
      </c>
      <c r="K54" s="109"/>
    </row>
    <row r="55" spans="1:17" s="64" customFormat="1" ht="20.399999999999999" x14ac:dyDescent="0.55000000000000004">
      <c r="A55" s="211" t="s">
        <v>44</v>
      </c>
      <c r="B55" s="211"/>
      <c r="C55" s="272"/>
      <c r="D55" s="273"/>
      <c r="E55" s="211"/>
      <c r="F55" s="211"/>
      <c r="G55" s="216"/>
      <c r="H55" s="259"/>
      <c r="I55" s="216"/>
      <c r="J55" s="213"/>
      <c r="K55" s="108"/>
      <c r="N55" s="108"/>
    </row>
    <row r="56" spans="1:17" s="64" customFormat="1" ht="20.399999999999999" x14ac:dyDescent="0.55000000000000004">
      <c r="A56" s="211" t="s">
        <v>45</v>
      </c>
      <c r="B56" s="211"/>
      <c r="C56" s="211"/>
      <c r="D56" s="211"/>
      <c r="E56" s="211"/>
      <c r="F56" s="211"/>
      <c r="G56" s="216"/>
      <c r="H56" s="274"/>
      <c r="I56" s="216"/>
      <c r="J56" s="213"/>
      <c r="K56" s="108"/>
      <c r="L56" s="108"/>
      <c r="M56" s="108"/>
      <c r="N56" s="108"/>
      <c r="O56" s="108"/>
      <c r="P56" s="135"/>
      <c r="Q56" s="109"/>
    </row>
    <row r="57" spans="1:17" s="64" customFormat="1" ht="19.8" x14ac:dyDescent="0.5">
      <c r="A57" s="212" t="s">
        <v>46</v>
      </c>
      <c r="B57" s="212"/>
      <c r="C57" s="222">
        <v>6</v>
      </c>
      <c r="D57" s="212" t="s">
        <v>47</v>
      </c>
      <c r="E57" s="213" t="s">
        <v>25</v>
      </c>
      <c r="F57" s="222">
        <v>42</v>
      </c>
      <c r="G57" s="216" t="s">
        <v>17</v>
      </c>
      <c r="H57" s="262">
        <f>C57*F57</f>
        <v>252</v>
      </c>
      <c r="I57" s="261" t="s">
        <v>20</v>
      </c>
      <c r="J57" s="213"/>
      <c r="L57" s="109"/>
      <c r="M57" s="108"/>
      <c r="N57" s="109"/>
      <c r="O57" s="135"/>
      <c r="P57" s="135"/>
      <c r="Q57" s="109"/>
    </row>
    <row r="58" spans="1:17" s="64" customFormat="1" ht="19.8" x14ac:dyDescent="0.5">
      <c r="A58" s="212" t="s">
        <v>48</v>
      </c>
      <c r="B58" s="212"/>
      <c r="C58" s="275">
        <v>0.41699999999999998</v>
      </c>
      <c r="D58" s="212" t="s">
        <v>47</v>
      </c>
      <c r="E58" s="213" t="s">
        <v>25</v>
      </c>
      <c r="F58" s="276">
        <v>60</v>
      </c>
      <c r="G58" s="216" t="s">
        <v>17</v>
      </c>
      <c r="H58" s="263">
        <f>C58*F58</f>
        <v>25.02</v>
      </c>
      <c r="I58" s="277" t="s">
        <v>20</v>
      </c>
      <c r="J58" s="213"/>
      <c r="L58" s="109"/>
      <c r="M58" s="108"/>
      <c r="N58" s="109"/>
      <c r="O58" s="114"/>
      <c r="P58" s="135"/>
      <c r="Q58" s="109"/>
    </row>
    <row r="59" spans="1:17" s="64" customFormat="1" ht="19.8" x14ac:dyDescent="0.5">
      <c r="A59" s="212" t="s">
        <v>49</v>
      </c>
      <c r="B59" s="212"/>
      <c r="C59" s="222">
        <v>1</v>
      </c>
      <c r="D59" s="212" t="s">
        <v>8</v>
      </c>
      <c r="E59" s="213" t="s">
        <v>25</v>
      </c>
      <c r="F59" s="276">
        <v>24</v>
      </c>
      <c r="G59" s="216" t="s">
        <v>17</v>
      </c>
      <c r="H59" s="263">
        <f>C59*F59</f>
        <v>24</v>
      </c>
      <c r="I59" s="216" t="s">
        <v>20</v>
      </c>
      <c r="J59" s="213"/>
      <c r="L59" s="109"/>
      <c r="P59" s="135"/>
      <c r="Q59" s="109"/>
    </row>
    <row r="60" spans="1:17" s="64" customFormat="1" ht="19.8" x14ac:dyDescent="0.5">
      <c r="A60" s="213" t="s">
        <v>137</v>
      </c>
      <c r="B60" s="213"/>
      <c r="C60" s="213"/>
      <c r="D60" s="213"/>
      <c r="E60" s="213"/>
      <c r="F60" s="276">
        <v>0</v>
      </c>
      <c r="G60" s="216" t="s">
        <v>17</v>
      </c>
      <c r="H60" s="263">
        <f>F60</f>
        <v>0</v>
      </c>
      <c r="I60" s="216" t="s">
        <v>20</v>
      </c>
      <c r="J60" s="213"/>
      <c r="L60" s="109"/>
      <c r="P60" s="135"/>
      <c r="Q60" s="109"/>
    </row>
    <row r="61" spans="1:17" s="64" customFormat="1" ht="19.8" x14ac:dyDescent="0.5">
      <c r="A61" s="212" t="s">
        <v>50</v>
      </c>
      <c r="B61" s="212"/>
      <c r="C61" s="212"/>
      <c r="D61" s="212"/>
      <c r="E61" s="212"/>
      <c r="F61" s="212"/>
      <c r="G61" s="216" t="s">
        <v>17</v>
      </c>
      <c r="H61" s="263">
        <v>0</v>
      </c>
      <c r="I61" s="216" t="s">
        <v>20</v>
      </c>
      <c r="J61" s="213"/>
      <c r="L61" s="109"/>
      <c r="P61" s="135"/>
      <c r="Q61" s="109"/>
    </row>
    <row r="62" spans="1:17" s="64" customFormat="1" ht="20.399999999999999" thickBot="1" x14ac:dyDescent="0.55000000000000004">
      <c r="A62" s="212"/>
      <c r="B62" s="212"/>
      <c r="C62" s="212"/>
      <c r="D62" s="220" t="s">
        <v>38</v>
      </c>
      <c r="E62" s="212"/>
      <c r="F62" s="212"/>
      <c r="G62" s="216" t="s">
        <v>17</v>
      </c>
      <c r="H62" s="278">
        <f>SUM(H57:H61)</f>
        <v>301.02</v>
      </c>
      <c r="I62" s="216" t="s">
        <v>20</v>
      </c>
      <c r="J62" s="216"/>
      <c r="K62" s="109"/>
      <c r="L62" s="109"/>
      <c r="P62" s="135"/>
      <c r="Q62" s="109"/>
    </row>
    <row r="63" spans="1:17" s="64" customFormat="1" ht="20.399999999999999" thickTop="1" x14ac:dyDescent="0.5">
      <c r="H63" s="109"/>
      <c r="L63" s="109"/>
      <c r="P63" s="135"/>
      <c r="Q63" s="109"/>
    </row>
    <row r="64" spans="1:17" s="213" customFormat="1" ht="20.399999999999999" x14ac:dyDescent="0.55000000000000004">
      <c r="A64" s="223">
        <v>8</v>
      </c>
      <c r="B64" s="223" t="s">
        <v>245</v>
      </c>
      <c r="C64" s="228"/>
      <c r="D64" s="228"/>
      <c r="E64" s="228"/>
      <c r="F64" s="228"/>
      <c r="G64" s="228"/>
      <c r="H64" s="228"/>
      <c r="I64" s="228"/>
      <c r="J64" s="228"/>
      <c r="K64" s="228"/>
      <c r="L64" s="228"/>
      <c r="M64" s="228"/>
      <c r="N64" s="228"/>
      <c r="O64" s="223"/>
      <c r="P64" s="228"/>
    </row>
    <row r="65" spans="1:27" s="213" customFormat="1" ht="20.399999999999999" x14ac:dyDescent="0.55000000000000004">
      <c r="A65" s="228"/>
      <c r="B65" s="228" t="s">
        <v>246</v>
      </c>
      <c r="C65" s="228"/>
      <c r="D65" s="228"/>
      <c r="E65" s="342">
        <v>0.3</v>
      </c>
      <c r="F65" s="342"/>
      <c r="G65" s="229" t="s">
        <v>25</v>
      </c>
      <c r="H65" s="343">
        <f>ข้อมูลราคาวัสดุ!J24</f>
        <v>30500</v>
      </c>
      <c r="I65" s="343"/>
      <c r="J65" s="228" t="s">
        <v>37</v>
      </c>
      <c r="K65" s="229" t="s">
        <v>17</v>
      </c>
      <c r="L65" s="224">
        <f>(E65*H65)/1000</f>
        <v>9.15</v>
      </c>
      <c r="M65" s="228" t="s">
        <v>247</v>
      </c>
    </row>
    <row r="66" spans="1:27" s="213" customFormat="1" ht="20.399999999999999" x14ac:dyDescent="0.55000000000000004">
      <c r="A66" s="228"/>
      <c r="B66" s="228" t="s">
        <v>248</v>
      </c>
      <c r="C66" s="228"/>
      <c r="D66" s="228"/>
      <c r="E66" s="228"/>
      <c r="F66" s="228"/>
      <c r="G66" s="228"/>
      <c r="H66" s="228"/>
      <c r="I66" s="228"/>
      <c r="J66" s="228"/>
      <c r="K66" s="229" t="s">
        <v>17</v>
      </c>
      <c r="L66" s="225">
        <v>7.27</v>
      </c>
      <c r="M66" s="228" t="s">
        <v>34</v>
      </c>
    </row>
    <row r="67" spans="1:27" s="213" customFormat="1" ht="21" thickBot="1" x14ac:dyDescent="0.6">
      <c r="A67" s="228"/>
      <c r="B67" s="228"/>
      <c r="C67" s="228"/>
      <c r="D67" s="228"/>
      <c r="E67" s="228"/>
      <c r="F67" s="228"/>
      <c r="G67" s="228"/>
      <c r="H67" s="228"/>
      <c r="I67" s="228"/>
      <c r="J67" s="230" t="s">
        <v>249</v>
      </c>
      <c r="K67" s="229" t="s">
        <v>17</v>
      </c>
      <c r="L67" s="226">
        <f>L65+L66</f>
        <v>16.420000000000002</v>
      </c>
      <c r="M67" s="228" t="s">
        <v>34</v>
      </c>
    </row>
    <row r="68" spans="1:27" s="64" customFormat="1" ht="20.399999999999999" thickTop="1" x14ac:dyDescent="0.5"/>
    <row r="69" spans="1:27" s="64" customFormat="1" ht="19.8" x14ac:dyDescent="0.5"/>
    <row r="70" spans="1:27" s="64" customFormat="1" ht="19.8" x14ac:dyDescent="0.5">
      <c r="B70" s="64" t="s">
        <v>252</v>
      </c>
      <c r="F70" s="64">
        <v>0.48</v>
      </c>
      <c r="G70" s="64" t="s">
        <v>22</v>
      </c>
      <c r="H70" s="64">
        <v>331.6</v>
      </c>
      <c r="J70" s="64">
        <v>474.15</v>
      </c>
      <c r="L70" s="64">
        <v>474.15</v>
      </c>
      <c r="N70" s="64">
        <v>333.6</v>
      </c>
    </row>
    <row r="71" spans="1:27" s="64" customFormat="1" ht="19.8" x14ac:dyDescent="0.5"/>
    <row r="72" spans="1:27" s="227" customFormat="1" ht="19.8" x14ac:dyDescent="0.5">
      <c r="B72" s="227" t="s">
        <v>252</v>
      </c>
    </row>
    <row r="73" spans="1:27" s="227" customFormat="1" ht="19.8" x14ac:dyDescent="0.5">
      <c r="F73" s="227" t="s">
        <v>312</v>
      </c>
    </row>
    <row r="74" spans="1:27" s="227" customFormat="1" ht="19.8" x14ac:dyDescent="0.5">
      <c r="F74" s="227" t="s">
        <v>313</v>
      </c>
    </row>
    <row r="75" spans="1:27" s="227" customFormat="1" ht="19.8" x14ac:dyDescent="0.5">
      <c r="E75" s="227" t="s">
        <v>17</v>
      </c>
      <c r="F75" s="227" t="s">
        <v>314</v>
      </c>
    </row>
    <row r="76" spans="1:27" s="227" customFormat="1" ht="19.8" x14ac:dyDescent="0.5">
      <c r="E76" s="227" t="s">
        <v>17</v>
      </c>
      <c r="F76" s="227">
        <f>202.5+148.75+59.5+75.6</f>
        <v>486.35</v>
      </c>
    </row>
    <row r="77" spans="1:27" s="64" customFormat="1" ht="19.8" x14ac:dyDescent="0.5"/>
    <row r="78" spans="1:27" s="231" customFormat="1" ht="20.399999999999999" x14ac:dyDescent="0.6">
      <c r="B78" s="237" t="s">
        <v>315</v>
      </c>
      <c r="C78" s="237"/>
      <c r="D78" s="238"/>
      <c r="E78" s="238"/>
      <c r="F78" s="239"/>
      <c r="G78" s="240"/>
      <c r="H78" s="237"/>
      <c r="I78" s="238"/>
      <c r="J78" s="241"/>
      <c r="K78" s="238"/>
      <c r="L78" s="240"/>
      <c r="M78" s="232"/>
      <c r="N78" s="232"/>
      <c r="AA78" s="233"/>
    </row>
    <row r="79" spans="1:27" s="231" customFormat="1" ht="20.399999999999999" x14ac:dyDescent="0.6">
      <c r="B79" s="237"/>
      <c r="C79" s="237" t="s">
        <v>316</v>
      </c>
      <c r="D79" s="238"/>
      <c r="E79" s="242"/>
      <c r="F79" s="239" t="s">
        <v>17</v>
      </c>
      <c r="G79" s="238">
        <v>0.15</v>
      </c>
      <c r="H79" s="237" t="s">
        <v>317</v>
      </c>
      <c r="I79" s="238"/>
      <c r="J79" s="241"/>
      <c r="K79" s="238"/>
      <c r="L79" s="240"/>
      <c r="M79" s="232"/>
      <c r="N79" s="232"/>
      <c r="AA79" s="233"/>
    </row>
    <row r="80" spans="1:27" s="231" customFormat="1" ht="20.399999999999999" x14ac:dyDescent="0.6">
      <c r="B80" s="237"/>
      <c r="C80" s="237" t="s">
        <v>277</v>
      </c>
      <c r="D80" s="238"/>
      <c r="E80" s="243"/>
      <c r="F80" s="239" t="s">
        <v>17</v>
      </c>
      <c r="G80" s="238">
        <v>1</v>
      </c>
      <c r="H80" s="244" t="s">
        <v>318</v>
      </c>
      <c r="I80" s="245"/>
      <c r="J80" s="241"/>
      <c r="K80" s="238"/>
      <c r="L80" s="240"/>
      <c r="M80" s="232"/>
      <c r="N80" s="232"/>
      <c r="AA80" s="233"/>
    </row>
    <row r="81" spans="1:27" s="231" customFormat="1" ht="20.399999999999999" x14ac:dyDescent="0.6">
      <c r="B81" s="237"/>
      <c r="C81" s="237" t="s">
        <v>319</v>
      </c>
      <c r="D81" s="238"/>
      <c r="E81" s="243"/>
      <c r="F81" s="239" t="s">
        <v>17</v>
      </c>
      <c r="G81" s="238">
        <v>0.15</v>
      </c>
      <c r="H81" s="244" t="s">
        <v>22</v>
      </c>
      <c r="I81" s="245">
        <v>1.7</v>
      </c>
      <c r="J81" s="241" t="s">
        <v>17</v>
      </c>
      <c r="K81" s="238">
        <v>0.255</v>
      </c>
      <c r="L81" s="240" t="s">
        <v>6</v>
      </c>
      <c r="M81" s="232"/>
      <c r="N81" s="232"/>
      <c r="AA81" s="233"/>
    </row>
    <row r="82" spans="1:27" s="231" customFormat="1" ht="20.399999999999999" x14ac:dyDescent="0.6">
      <c r="B82" s="237"/>
      <c r="C82" s="237" t="s">
        <v>320</v>
      </c>
      <c r="D82" s="238"/>
      <c r="E82" s="243"/>
      <c r="F82" s="239" t="s">
        <v>17</v>
      </c>
      <c r="G82" s="238" t="s">
        <v>321</v>
      </c>
      <c r="H82" s="244"/>
      <c r="I82" s="245"/>
      <c r="J82" s="241"/>
      <c r="K82" s="238"/>
      <c r="L82" s="240"/>
      <c r="M82" s="232"/>
      <c r="N82" s="232"/>
      <c r="AA82" s="233"/>
    </row>
    <row r="83" spans="1:27" s="231" customFormat="1" ht="20.399999999999999" x14ac:dyDescent="0.6">
      <c r="B83" s="237"/>
      <c r="C83" s="237" t="s">
        <v>322</v>
      </c>
      <c r="D83" s="238"/>
      <c r="E83" s="242"/>
      <c r="F83" s="239" t="s">
        <v>17</v>
      </c>
      <c r="G83" s="246">
        <v>0.255</v>
      </c>
      <c r="H83" s="244" t="s">
        <v>22</v>
      </c>
      <c r="I83" s="247">
        <v>400</v>
      </c>
      <c r="J83" s="241" t="s">
        <v>17</v>
      </c>
      <c r="K83" s="238">
        <f>I83*G83</f>
        <v>102</v>
      </c>
      <c r="L83" s="240" t="s">
        <v>34</v>
      </c>
      <c r="M83" s="232"/>
      <c r="N83" s="232"/>
      <c r="AA83" s="233"/>
    </row>
    <row r="84" spans="1:27" s="231" customFormat="1" ht="20.399999999999999" x14ac:dyDescent="0.6">
      <c r="A84" s="234"/>
      <c r="B84" s="248"/>
      <c r="C84" s="249" t="s">
        <v>323</v>
      </c>
      <c r="D84" s="250"/>
      <c r="E84" s="251"/>
      <c r="F84" s="239" t="s">
        <v>17</v>
      </c>
      <c r="G84" s="246">
        <v>0.22500000000000001</v>
      </c>
      <c r="H84" s="244" t="s">
        <v>22</v>
      </c>
      <c r="I84" s="245">
        <v>41.66</v>
      </c>
      <c r="J84" s="241" t="s">
        <v>17</v>
      </c>
      <c r="K84" s="238">
        <f>I84*G84</f>
        <v>9.3734999999999999</v>
      </c>
      <c r="L84" s="240" t="s">
        <v>34</v>
      </c>
      <c r="M84" s="232"/>
      <c r="N84" s="235"/>
      <c r="AA84" s="233"/>
    </row>
    <row r="85" spans="1:27" s="231" customFormat="1" ht="20.399999999999999" x14ac:dyDescent="0.6">
      <c r="B85" s="249"/>
      <c r="C85" s="237" t="s">
        <v>324</v>
      </c>
      <c r="D85" s="237"/>
      <c r="E85" s="238"/>
      <c r="F85" s="238" t="s">
        <v>17</v>
      </c>
      <c r="G85" s="246">
        <v>0.22500000000000001</v>
      </c>
      <c r="H85" s="244" t="s">
        <v>22</v>
      </c>
      <c r="I85" s="238">
        <v>8.14</v>
      </c>
      <c r="J85" s="239" t="s">
        <v>17</v>
      </c>
      <c r="K85" s="238">
        <f>I85*G85</f>
        <v>1.8315000000000001</v>
      </c>
      <c r="L85" s="240" t="s">
        <v>34</v>
      </c>
      <c r="M85" s="232"/>
      <c r="N85" s="232"/>
      <c r="AA85" s="233"/>
    </row>
    <row r="86" spans="1:27" s="231" customFormat="1" ht="20.399999999999999" x14ac:dyDescent="0.6">
      <c r="B86" s="252"/>
      <c r="C86" s="253" t="s">
        <v>3</v>
      </c>
      <c r="D86" s="252"/>
      <c r="E86" s="252"/>
      <c r="F86" s="252"/>
      <c r="G86" s="240"/>
      <c r="H86" s="252"/>
      <c r="I86" s="252"/>
      <c r="J86" s="240"/>
      <c r="K86" s="254">
        <f>SUM(K83:K85)</f>
        <v>113.20500000000001</v>
      </c>
      <c r="L86" s="240" t="s">
        <v>34</v>
      </c>
      <c r="AA86" s="233"/>
    </row>
    <row r="87" spans="1:27" s="231" customFormat="1" ht="20.399999999999999" x14ac:dyDescent="0.6">
      <c r="B87" s="252"/>
      <c r="C87" s="252" t="s">
        <v>38</v>
      </c>
      <c r="D87" s="252"/>
      <c r="E87" s="252"/>
      <c r="F87" s="237"/>
      <c r="G87" s="237"/>
      <c r="H87" s="252"/>
      <c r="I87" s="238"/>
      <c r="J87" s="252"/>
      <c r="K87" s="245">
        <f>K86</f>
        <v>113.20500000000001</v>
      </c>
      <c r="L87" s="240" t="s">
        <v>34</v>
      </c>
      <c r="M87" s="236"/>
      <c r="AA87" s="233"/>
    </row>
    <row r="88" spans="1:27" s="64" customFormat="1" ht="19.8" x14ac:dyDescent="0.5"/>
    <row r="89" spans="1:27" s="64" customFormat="1" ht="19.8" x14ac:dyDescent="0.5"/>
    <row r="90" spans="1:27" s="64" customFormat="1" ht="19.8" x14ac:dyDescent="0.5"/>
    <row r="91" spans="1:27" s="64" customFormat="1" ht="19.8" x14ac:dyDescent="0.5"/>
    <row r="92" spans="1:27" s="64" customFormat="1" ht="19.8" x14ac:dyDescent="0.5"/>
    <row r="93" spans="1:27" s="64" customFormat="1" ht="19.8" x14ac:dyDescent="0.5"/>
    <row r="94" spans="1:27" s="64" customFormat="1" ht="19.8" x14ac:dyDescent="0.5"/>
    <row r="95" spans="1:27" s="64" customFormat="1" ht="19.8" x14ac:dyDescent="0.5"/>
    <row r="96" spans="1:27" s="64" customFormat="1" ht="19.8" x14ac:dyDescent="0.5"/>
    <row r="97" s="64" customFormat="1" ht="19.8" x14ac:dyDescent="0.5"/>
    <row r="98" s="64" customFormat="1" ht="19.8" x14ac:dyDescent="0.5"/>
    <row r="99" s="64" customFormat="1" ht="19.8" x14ac:dyDescent="0.5"/>
    <row r="100" s="64" customFormat="1" ht="19.8" x14ac:dyDescent="0.5"/>
    <row r="101" s="64" customFormat="1" ht="19.8" x14ac:dyDescent="0.5"/>
    <row r="102" s="64" customFormat="1" ht="19.8" x14ac:dyDescent="0.5"/>
    <row r="103" s="64" customFormat="1" ht="19.8" x14ac:dyDescent="0.5"/>
    <row r="104" s="64" customFormat="1" ht="19.8" x14ac:dyDescent="0.5"/>
    <row r="105" s="64" customFormat="1" ht="19.8" x14ac:dyDescent="0.5"/>
    <row r="106" s="64" customFormat="1" ht="19.8" x14ac:dyDescent="0.5"/>
    <row r="107" s="64" customFormat="1" ht="19.8" x14ac:dyDescent="0.5"/>
    <row r="108" s="64" customFormat="1" ht="19.8" x14ac:dyDescent="0.5"/>
    <row r="109" s="64" customFormat="1" ht="19.8" x14ac:dyDescent="0.5"/>
    <row r="110" s="64" customFormat="1" ht="19.8" x14ac:dyDescent="0.5"/>
    <row r="111" s="64" customFormat="1" ht="19.8" x14ac:dyDescent="0.5"/>
    <row r="112" s="64" customFormat="1" ht="19.8" x14ac:dyDescent="0.5"/>
    <row r="113" s="64" customFormat="1" ht="19.8" x14ac:dyDescent="0.5"/>
    <row r="114" s="64" customFormat="1" ht="19.8" x14ac:dyDescent="0.5"/>
    <row r="115" s="64" customFormat="1" ht="19.8" x14ac:dyDescent="0.5"/>
    <row r="116" s="64" customFormat="1" ht="19.8" x14ac:dyDescent="0.5"/>
    <row r="117" s="64" customFormat="1" ht="19.8" x14ac:dyDescent="0.5"/>
    <row r="118" s="64" customFormat="1" ht="19.8" x14ac:dyDescent="0.5"/>
    <row r="119" s="64" customFormat="1" ht="19.8" x14ac:dyDescent="0.5"/>
    <row r="120" s="64" customFormat="1" ht="19.8" x14ac:dyDescent="0.5"/>
    <row r="121" s="64" customFormat="1" ht="19.8" x14ac:dyDescent="0.5"/>
    <row r="122" s="64" customFormat="1" ht="19.8" x14ac:dyDescent="0.5"/>
    <row r="123" s="64" customFormat="1" ht="19.8" x14ac:dyDescent="0.5"/>
    <row r="124" s="64" customFormat="1" ht="19.8" x14ac:dyDescent="0.5"/>
    <row r="125" s="64" customFormat="1" ht="19.8" x14ac:dyDescent="0.5"/>
    <row r="126" s="64" customFormat="1" ht="19.8" x14ac:dyDescent="0.5"/>
    <row r="127" s="64" customFormat="1" ht="19.8" x14ac:dyDescent="0.5"/>
    <row r="128" s="64" customFormat="1" ht="19.8" x14ac:dyDescent="0.5"/>
    <row r="129" s="64" customFormat="1" ht="19.8" x14ac:dyDescent="0.5"/>
    <row r="130" s="64" customFormat="1" ht="19.8" x14ac:dyDescent="0.5"/>
    <row r="131" s="64" customFormat="1" ht="19.8" x14ac:dyDescent="0.5"/>
    <row r="132" s="64" customFormat="1" ht="19.8" x14ac:dyDescent="0.5"/>
    <row r="133" s="64" customFormat="1" ht="19.8" x14ac:dyDescent="0.5"/>
    <row r="134" s="64" customFormat="1" ht="19.8" x14ac:dyDescent="0.5"/>
    <row r="135" s="64" customFormat="1" ht="19.8" x14ac:dyDescent="0.5"/>
    <row r="136" s="64" customFormat="1" ht="19.8" x14ac:dyDescent="0.5"/>
    <row r="137" s="64" customFormat="1" ht="19.8" x14ac:dyDescent="0.5"/>
    <row r="138" s="64" customFormat="1" ht="19.8" x14ac:dyDescent="0.5"/>
    <row r="139" s="64" customFormat="1" ht="19.8" x14ac:dyDescent="0.5"/>
    <row r="140" s="64" customFormat="1" ht="19.8" x14ac:dyDescent="0.5"/>
    <row r="141" s="64" customFormat="1" ht="19.8" x14ac:dyDescent="0.5"/>
    <row r="142" s="64" customFormat="1" ht="19.8" x14ac:dyDescent="0.5"/>
    <row r="143" s="64" customFormat="1" ht="19.8" x14ac:dyDescent="0.5"/>
    <row r="144" s="64" customFormat="1" ht="19.8" x14ac:dyDescent="0.5"/>
    <row r="145" s="64" customFormat="1" ht="19.8" x14ac:dyDescent="0.5"/>
    <row r="146" s="64" customFormat="1" ht="19.8" x14ac:dyDescent="0.5"/>
    <row r="147" s="64" customFormat="1" ht="19.8" x14ac:dyDescent="0.5"/>
    <row r="148" s="64" customFormat="1" ht="19.8" x14ac:dyDescent="0.5"/>
    <row r="149" s="64" customFormat="1" ht="19.8" x14ac:dyDescent="0.5"/>
    <row r="150" s="64" customFormat="1" ht="19.8" x14ac:dyDescent="0.5"/>
    <row r="151" s="64" customFormat="1" ht="19.8" x14ac:dyDescent="0.5"/>
    <row r="152" s="64" customFormat="1" ht="19.8" x14ac:dyDescent="0.5"/>
    <row r="153" s="64" customFormat="1" ht="19.8" x14ac:dyDescent="0.5"/>
    <row r="154" s="64" customFormat="1" ht="19.8" x14ac:dyDescent="0.5"/>
    <row r="155" s="64" customFormat="1" ht="19.8" x14ac:dyDescent="0.5"/>
    <row r="156" s="64" customFormat="1" ht="19.8" x14ac:dyDescent="0.5"/>
    <row r="157" s="64" customFormat="1" ht="19.8" x14ac:dyDescent="0.5"/>
    <row r="158" s="64" customFormat="1" ht="19.8" x14ac:dyDescent="0.5"/>
    <row r="159" s="64" customFormat="1" ht="19.8" x14ac:dyDescent="0.5"/>
    <row r="160" s="64" customFormat="1" ht="19.8" x14ac:dyDescent="0.5"/>
    <row r="161" s="64" customFormat="1" ht="19.8" x14ac:dyDescent="0.5"/>
    <row r="162" s="64" customFormat="1" ht="19.8" x14ac:dyDescent="0.5"/>
    <row r="163" s="64" customFormat="1" ht="19.8" x14ac:dyDescent="0.5"/>
    <row r="164" s="64" customFormat="1" ht="19.8" x14ac:dyDescent="0.5"/>
    <row r="165" s="64" customFormat="1" ht="19.8" x14ac:dyDescent="0.5"/>
    <row r="166" s="64" customFormat="1" ht="19.8" x14ac:dyDescent="0.5"/>
    <row r="167" s="64" customFormat="1" ht="19.8" x14ac:dyDescent="0.5"/>
    <row r="168" s="64" customFormat="1" ht="19.8" x14ac:dyDescent="0.5"/>
    <row r="169" s="64" customFormat="1" ht="19.8" x14ac:dyDescent="0.5"/>
    <row r="170" s="64" customFormat="1" ht="19.8" x14ac:dyDescent="0.5"/>
    <row r="171" s="64" customFormat="1" ht="19.8" x14ac:dyDescent="0.5"/>
    <row r="172" s="64" customFormat="1" ht="19.8" x14ac:dyDescent="0.5"/>
    <row r="173" s="64" customFormat="1" ht="19.8" x14ac:dyDescent="0.5"/>
    <row r="174" s="64" customFormat="1" ht="19.8" x14ac:dyDescent="0.5"/>
    <row r="175" s="64" customFormat="1" ht="19.8" x14ac:dyDescent="0.5"/>
    <row r="176" s="64" customFormat="1" ht="19.8" x14ac:dyDescent="0.5"/>
    <row r="177" s="64" customFormat="1" ht="19.8" x14ac:dyDescent="0.5"/>
    <row r="178" s="64" customFormat="1" ht="19.8" x14ac:dyDescent="0.5"/>
    <row r="179" s="64" customFormat="1" ht="19.8" x14ac:dyDescent="0.5"/>
    <row r="180" s="64" customFormat="1" ht="19.8" x14ac:dyDescent="0.5"/>
    <row r="181" s="64" customFormat="1" ht="19.8" x14ac:dyDescent="0.5"/>
  </sheetData>
  <mergeCells count="9">
    <mergeCell ref="E65:F65"/>
    <mergeCell ref="H65:I65"/>
    <mergeCell ref="A43:K43"/>
    <mergeCell ref="A44:K44"/>
    <mergeCell ref="A2:K2"/>
    <mergeCell ref="C6:K6"/>
    <mergeCell ref="C7:K7"/>
    <mergeCell ref="C8:J8"/>
    <mergeCell ref="C5:L5"/>
  </mergeCells>
  <conditionalFormatting sqref="G39:H39">
    <cfRule type="cellIs" dxfId="6" priority="3" stopIfTrue="1" operator="equal">
      <formula>0</formula>
    </cfRule>
  </conditionalFormatting>
  <dataValidations count="2">
    <dataValidation allowBlank="1" showInputMessage="1" showErrorMessage="1" prompt="ปริมาณงานน้อยกว่า10000ตัน ให้คิด 10000 ตัน" sqref="J42" xr:uid="{00000000-0002-0000-0100-000000000000}"/>
    <dataValidation allowBlank="1" showInputMessage="1" showErrorMessage="1" prompt="จากราคาค่าดำเนินการค่าเสื่อมราคา" sqref="J47" xr:uid="{00000000-0002-0000-0100-000001000000}"/>
  </dataValidations>
  <pageMargins left="0.82677165354330717" right="0.23622047244094491" top="0.35433070866141736" bottom="0.74803149606299213" header="0.31496062992125984" footer="0.31496062992125984"/>
  <pageSetup paperSize="9" scale="75" orientation="portrait" r:id="rId1"/>
  <rowBreaks count="1" manualBreakCount="1">
    <brk id="36" max="12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2060"/>
  </sheetPr>
  <dimension ref="A1:Y199"/>
  <sheetViews>
    <sheetView topLeftCell="A16" workbookViewId="0">
      <selection activeCell="F23" sqref="F23"/>
    </sheetView>
  </sheetViews>
  <sheetFormatPr defaultColWidth="9.125" defaultRowHeight="18" x14ac:dyDescent="0.35"/>
  <cols>
    <col min="1" max="1" width="7" style="3" customWidth="1"/>
    <col min="2" max="2" width="9.125" style="1"/>
    <col min="3" max="3" width="17.625" style="1" customWidth="1"/>
    <col min="4" max="4" width="10.75" style="3" customWidth="1"/>
    <col min="5" max="5" width="12.5" style="4" customWidth="1"/>
    <col min="6" max="7" width="9.125" style="1"/>
    <col min="8" max="8" width="9.75" style="1" customWidth="1"/>
    <col min="9" max="9" width="10.125" style="1" customWidth="1"/>
    <col min="10" max="10" width="10.375" style="4" customWidth="1"/>
    <col min="11" max="11" width="9.125" style="1"/>
    <col min="12" max="12" width="14.125" style="1" customWidth="1"/>
    <col min="13" max="14" width="9.125" style="1"/>
    <col min="15" max="15" width="16.25" style="1" customWidth="1"/>
    <col min="16" max="16384" width="9.125" style="1"/>
  </cols>
  <sheetData>
    <row r="1" spans="1:15" s="64" customFormat="1" ht="20.399999999999999" x14ac:dyDescent="0.55000000000000004">
      <c r="A1" s="360" t="s">
        <v>124</v>
      </c>
      <c r="B1" s="360"/>
      <c r="C1" s="360"/>
      <c r="D1" s="360"/>
      <c r="E1" s="360"/>
      <c r="F1" s="360"/>
      <c r="G1" s="360"/>
      <c r="H1" s="360"/>
      <c r="I1" s="360"/>
      <c r="J1" s="360"/>
      <c r="K1" s="360"/>
      <c r="L1" s="360"/>
      <c r="M1" s="360"/>
      <c r="N1" s="360"/>
      <c r="O1" s="360"/>
    </row>
    <row r="2" spans="1:15" s="64" customFormat="1" ht="19.8" x14ac:dyDescent="0.5">
      <c r="A2" s="65"/>
      <c r="B2" s="64" t="s">
        <v>54</v>
      </c>
      <c r="D2" s="65"/>
      <c r="E2" s="66" t="str">
        <f>สรุปราคากลาง!C3</f>
        <v>ปรับปรุงถนนแอสฟัลต์คอนกรีต ถนนปงเย็น หมู่ที่19 ตำบลเวียงชัย อำเภอเวียงชัย</v>
      </c>
      <c r="J2" s="66"/>
    </row>
    <row r="3" spans="1:15" s="64" customFormat="1" ht="19.8" x14ac:dyDescent="0.5">
      <c r="A3" s="65"/>
      <c r="B3" s="64" t="s">
        <v>55</v>
      </c>
      <c r="D3" s="65"/>
      <c r="E3" s="66" t="str">
        <f>สรุปราคากลาง!D8</f>
        <v>เทศบาลตำบลเวียงชัย อ.เวียงชัย จ.เชียงราย</v>
      </c>
      <c r="J3" s="66"/>
    </row>
    <row r="4" spans="1:15" s="64" customFormat="1" ht="19.8" x14ac:dyDescent="0.5">
      <c r="A4" s="65"/>
      <c r="B4" s="64" t="s">
        <v>58</v>
      </c>
      <c r="D4" s="65" t="s">
        <v>240</v>
      </c>
      <c r="E4" s="66" t="s">
        <v>59</v>
      </c>
      <c r="G4" s="64" t="s">
        <v>239</v>
      </c>
      <c r="J4" s="66" t="s">
        <v>60</v>
      </c>
      <c r="L4" s="66">
        <f>ค่างานต้นทุนต่อหน่วย!K9</f>
        <v>32.94</v>
      </c>
      <c r="M4" s="65" t="s">
        <v>61</v>
      </c>
    </row>
    <row r="5" spans="1:15" s="64" customFormat="1" ht="19.8" x14ac:dyDescent="0.5">
      <c r="A5" s="65"/>
      <c r="B5" s="64" t="s">
        <v>62</v>
      </c>
      <c r="D5" s="65">
        <v>0</v>
      </c>
      <c r="E5" s="67" t="s">
        <v>63</v>
      </c>
      <c r="H5" s="64" t="s">
        <v>64</v>
      </c>
      <c r="J5" s="67">
        <v>7</v>
      </c>
      <c r="K5" s="65" t="s">
        <v>63</v>
      </c>
    </row>
    <row r="6" spans="1:15" s="64" customFormat="1" ht="19.8" x14ac:dyDescent="0.5">
      <c r="A6" s="65"/>
      <c r="B6" s="64" t="s">
        <v>65</v>
      </c>
      <c r="D6" s="65">
        <v>0</v>
      </c>
      <c r="E6" s="67" t="s">
        <v>63</v>
      </c>
      <c r="H6" s="64" t="s">
        <v>66</v>
      </c>
      <c r="J6" s="67">
        <v>7</v>
      </c>
      <c r="K6" s="65" t="s">
        <v>63</v>
      </c>
    </row>
    <row r="7" spans="1:15" s="64" customFormat="1" ht="19.8" x14ac:dyDescent="0.5">
      <c r="A7" s="65"/>
      <c r="B7" s="64" t="s">
        <v>67</v>
      </c>
      <c r="D7" s="65"/>
      <c r="E7" s="66" t="str">
        <f>สรุปราคากลาง!D10</f>
        <v xml:space="preserve">            มกราคม  2568</v>
      </c>
      <c r="J7" s="66"/>
    </row>
    <row r="8" spans="1:15" s="64" customFormat="1" ht="19.8" x14ac:dyDescent="0.5">
      <c r="A8" s="361" t="s">
        <v>1</v>
      </c>
      <c r="B8" s="363" t="s">
        <v>68</v>
      </c>
      <c r="C8" s="363"/>
      <c r="D8" s="361" t="s">
        <v>2</v>
      </c>
      <c r="E8" s="68" t="s">
        <v>69</v>
      </c>
      <c r="F8" s="69" t="s">
        <v>70</v>
      </c>
      <c r="G8" s="70" t="s">
        <v>26</v>
      </c>
      <c r="H8" s="69" t="s">
        <v>71</v>
      </c>
      <c r="I8" s="70" t="s">
        <v>125</v>
      </c>
      <c r="J8" s="71" t="s">
        <v>72</v>
      </c>
      <c r="K8" s="363" t="s">
        <v>73</v>
      </c>
      <c r="L8" s="363"/>
      <c r="M8" s="358" t="s">
        <v>4</v>
      </c>
      <c r="N8" s="359"/>
      <c r="O8" s="365"/>
    </row>
    <row r="9" spans="1:15" s="64" customFormat="1" ht="19.8" x14ac:dyDescent="0.5">
      <c r="A9" s="362"/>
      <c r="B9" s="364"/>
      <c r="C9" s="364"/>
      <c r="D9" s="362"/>
      <c r="E9" s="72" t="s">
        <v>10</v>
      </c>
      <c r="F9" s="73" t="s">
        <v>74</v>
      </c>
      <c r="G9" s="65" t="s">
        <v>10</v>
      </c>
      <c r="H9" s="73" t="s">
        <v>10</v>
      </c>
      <c r="I9" s="74" t="s">
        <v>10</v>
      </c>
      <c r="J9" s="75" t="s">
        <v>10</v>
      </c>
      <c r="K9" s="364"/>
      <c r="L9" s="364"/>
      <c r="M9" s="353" t="s">
        <v>126</v>
      </c>
      <c r="N9" s="357"/>
      <c r="O9" s="354"/>
    </row>
    <row r="10" spans="1:15" s="64" customFormat="1" ht="19.8" x14ac:dyDescent="0.5">
      <c r="A10" s="69">
        <v>1</v>
      </c>
      <c r="B10" s="76" t="s">
        <v>75</v>
      </c>
      <c r="C10" s="76"/>
      <c r="D10" s="69" t="s">
        <v>76</v>
      </c>
      <c r="E10" s="280">
        <v>26521.84</v>
      </c>
      <c r="F10" s="77">
        <v>15</v>
      </c>
      <c r="G10" s="78">
        <v>38.659999999999997</v>
      </c>
      <c r="H10" s="79">
        <v>0</v>
      </c>
      <c r="I10" s="80">
        <v>4400</v>
      </c>
      <c r="J10" s="286">
        <f>E10+G10+H10+I10</f>
        <v>30960.5</v>
      </c>
      <c r="K10" s="306" t="s">
        <v>88</v>
      </c>
      <c r="L10" s="306"/>
      <c r="M10" s="355" t="s">
        <v>241</v>
      </c>
      <c r="N10" s="306"/>
      <c r="O10" s="356"/>
    </row>
    <row r="11" spans="1:15" s="64" customFormat="1" ht="19.8" x14ac:dyDescent="0.5">
      <c r="A11" s="73">
        <v>2</v>
      </c>
      <c r="B11" s="81" t="s">
        <v>78</v>
      </c>
      <c r="C11" s="81"/>
      <c r="D11" s="73" t="s">
        <v>76</v>
      </c>
      <c r="E11" s="279">
        <v>24066.82</v>
      </c>
      <c r="F11" s="83">
        <v>15</v>
      </c>
      <c r="G11" s="78">
        <v>38.659999999999997</v>
      </c>
      <c r="H11" s="79">
        <v>0</v>
      </c>
      <c r="I11" s="84">
        <v>4400</v>
      </c>
      <c r="J11" s="281">
        <f>E11+G11+H11+I11</f>
        <v>28505.48</v>
      </c>
      <c r="K11" s="306" t="s">
        <v>88</v>
      </c>
      <c r="L11" s="306"/>
      <c r="M11" s="355" t="s">
        <v>241</v>
      </c>
      <c r="N11" s="306"/>
      <c r="O11" s="356"/>
    </row>
    <row r="12" spans="1:15" s="64" customFormat="1" ht="19.8" x14ac:dyDescent="0.5">
      <c r="A12" s="73">
        <v>3</v>
      </c>
      <c r="B12" s="81" t="s">
        <v>79</v>
      </c>
      <c r="C12" s="81"/>
      <c r="D12" s="73" t="s">
        <v>76</v>
      </c>
      <c r="E12" s="279">
        <v>25943</v>
      </c>
      <c r="F12" s="83">
        <v>15</v>
      </c>
      <c r="G12" s="78">
        <v>38.659999999999997</v>
      </c>
      <c r="H12" s="79">
        <v>0</v>
      </c>
      <c r="I12" s="84">
        <v>3600</v>
      </c>
      <c r="J12" s="281">
        <f t="shared" ref="J12:J18" si="0">E12+G12+H12+I12</f>
        <v>29581.66</v>
      </c>
      <c r="K12" s="306" t="s">
        <v>88</v>
      </c>
      <c r="L12" s="306"/>
      <c r="M12" s="355" t="s">
        <v>241</v>
      </c>
      <c r="N12" s="306"/>
      <c r="O12" s="356"/>
    </row>
    <row r="13" spans="1:15" s="64" customFormat="1" ht="19.8" x14ac:dyDescent="0.5">
      <c r="A13" s="73">
        <v>4</v>
      </c>
      <c r="B13" s="81" t="s">
        <v>80</v>
      </c>
      <c r="C13" s="81"/>
      <c r="D13" s="73" t="s">
        <v>76</v>
      </c>
      <c r="E13" s="279">
        <v>25308.19</v>
      </c>
      <c r="F13" s="83">
        <v>15</v>
      </c>
      <c r="G13" s="78">
        <v>38.659999999999997</v>
      </c>
      <c r="H13" s="79">
        <v>0</v>
      </c>
      <c r="I13" s="84">
        <v>3600</v>
      </c>
      <c r="J13" s="281">
        <f>E13+G13+H13+I13</f>
        <v>28946.85</v>
      </c>
      <c r="K13" s="306" t="s">
        <v>88</v>
      </c>
      <c r="L13" s="306"/>
      <c r="M13" s="355" t="s">
        <v>241</v>
      </c>
      <c r="N13" s="306"/>
      <c r="O13" s="356"/>
    </row>
    <row r="14" spans="1:15" s="64" customFormat="1" ht="19.8" x14ac:dyDescent="0.5">
      <c r="A14" s="73">
        <v>5</v>
      </c>
      <c r="B14" s="81" t="s">
        <v>81</v>
      </c>
      <c r="C14" s="81"/>
      <c r="D14" s="73" t="s">
        <v>76</v>
      </c>
      <c r="E14" s="279">
        <v>25450.51</v>
      </c>
      <c r="F14" s="83">
        <v>15</v>
      </c>
      <c r="G14" s="78">
        <v>38.659999999999997</v>
      </c>
      <c r="H14" s="79">
        <v>0</v>
      </c>
      <c r="I14" s="84">
        <v>3600</v>
      </c>
      <c r="J14" s="281">
        <f t="shared" si="0"/>
        <v>29089.17</v>
      </c>
      <c r="K14" s="306" t="s">
        <v>88</v>
      </c>
      <c r="L14" s="306"/>
      <c r="M14" s="355" t="s">
        <v>241</v>
      </c>
      <c r="N14" s="306"/>
      <c r="O14" s="356"/>
    </row>
    <row r="15" spans="1:15" s="64" customFormat="1" ht="19.8" x14ac:dyDescent="0.5">
      <c r="A15" s="73">
        <v>6</v>
      </c>
      <c r="B15" s="81" t="s">
        <v>82</v>
      </c>
      <c r="C15" s="81"/>
      <c r="D15" s="73" t="s">
        <v>76</v>
      </c>
      <c r="E15" s="279">
        <v>23013.66</v>
      </c>
      <c r="F15" s="83">
        <v>15</v>
      </c>
      <c r="G15" s="78">
        <v>38.659999999999997</v>
      </c>
      <c r="H15" s="79">
        <v>0</v>
      </c>
      <c r="I15" s="84">
        <v>3600</v>
      </c>
      <c r="J15" s="281">
        <f t="shared" si="0"/>
        <v>26652.32</v>
      </c>
      <c r="K15" s="306" t="s">
        <v>88</v>
      </c>
      <c r="L15" s="306"/>
      <c r="M15" s="355" t="s">
        <v>241</v>
      </c>
      <c r="N15" s="306"/>
      <c r="O15" s="356"/>
    </row>
    <row r="16" spans="1:15" s="64" customFormat="1" ht="19.8" x14ac:dyDescent="0.5">
      <c r="A16" s="73">
        <v>7</v>
      </c>
      <c r="B16" s="81" t="s">
        <v>83</v>
      </c>
      <c r="C16" s="81"/>
      <c r="D16" s="73" t="s">
        <v>76</v>
      </c>
      <c r="E16" s="279">
        <v>23596.59</v>
      </c>
      <c r="F16" s="83">
        <v>15</v>
      </c>
      <c r="G16" s="78">
        <v>38.659999999999997</v>
      </c>
      <c r="H16" s="79">
        <v>0</v>
      </c>
      <c r="I16" s="84">
        <v>3600</v>
      </c>
      <c r="J16" s="281">
        <f t="shared" si="0"/>
        <v>27235.25</v>
      </c>
      <c r="K16" s="306" t="s">
        <v>88</v>
      </c>
      <c r="L16" s="306"/>
      <c r="M16" s="355" t="s">
        <v>241</v>
      </c>
      <c r="N16" s="306"/>
      <c r="O16" s="356"/>
    </row>
    <row r="17" spans="1:16" s="64" customFormat="1" ht="19.8" x14ac:dyDescent="0.5">
      <c r="A17" s="73">
        <v>8</v>
      </c>
      <c r="B17" s="81" t="s">
        <v>84</v>
      </c>
      <c r="C17" s="81"/>
      <c r="D17" s="73" t="s">
        <v>76</v>
      </c>
      <c r="E17" s="279">
        <v>24330.9</v>
      </c>
      <c r="F17" s="83">
        <v>15</v>
      </c>
      <c r="G17" s="78">
        <v>38.659999999999997</v>
      </c>
      <c r="H17" s="79">
        <v>0</v>
      </c>
      <c r="I17" s="84">
        <v>3100</v>
      </c>
      <c r="J17" s="281">
        <f t="shared" si="0"/>
        <v>27469.56</v>
      </c>
      <c r="K17" s="306" t="s">
        <v>88</v>
      </c>
      <c r="L17" s="306"/>
      <c r="M17" s="355" t="s">
        <v>241</v>
      </c>
      <c r="N17" s="306"/>
      <c r="O17" s="356"/>
    </row>
    <row r="18" spans="1:16" s="64" customFormat="1" ht="19.8" x14ac:dyDescent="0.5">
      <c r="A18" s="73">
        <v>9</v>
      </c>
      <c r="B18" s="81" t="s">
        <v>85</v>
      </c>
      <c r="C18" s="81"/>
      <c r="D18" s="73" t="s">
        <v>76</v>
      </c>
      <c r="E18" s="279">
        <v>24324.42</v>
      </c>
      <c r="F18" s="73">
        <v>15</v>
      </c>
      <c r="G18" s="78">
        <v>38.659999999999997</v>
      </c>
      <c r="H18" s="79">
        <v>0</v>
      </c>
      <c r="I18" s="84">
        <v>3100</v>
      </c>
      <c r="J18" s="281">
        <f t="shared" si="0"/>
        <v>27463.079999999998</v>
      </c>
      <c r="K18" s="306" t="s">
        <v>88</v>
      </c>
      <c r="L18" s="306"/>
      <c r="M18" s="355" t="s">
        <v>241</v>
      </c>
      <c r="N18" s="306"/>
      <c r="O18" s="356"/>
    </row>
    <row r="19" spans="1:16" s="64" customFormat="1" ht="19.8" x14ac:dyDescent="0.5">
      <c r="A19" s="73">
        <v>10</v>
      </c>
      <c r="B19" s="81" t="s">
        <v>325</v>
      </c>
      <c r="C19" s="81"/>
      <c r="D19" s="73" t="s">
        <v>86</v>
      </c>
      <c r="E19" s="274">
        <v>28</v>
      </c>
      <c r="F19" s="73">
        <v>15</v>
      </c>
      <c r="G19" s="84">
        <v>0</v>
      </c>
      <c r="H19" s="79">
        <v>0</v>
      </c>
      <c r="I19" s="84">
        <v>0</v>
      </c>
      <c r="J19" s="281">
        <f>E19+H19</f>
        <v>28</v>
      </c>
      <c r="K19" s="306" t="s">
        <v>77</v>
      </c>
      <c r="L19" s="306"/>
      <c r="M19" s="355" t="s">
        <v>241</v>
      </c>
      <c r="N19" s="306"/>
      <c r="O19" s="356"/>
    </row>
    <row r="20" spans="1:16" s="64" customFormat="1" ht="19.8" x14ac:dyDescent="0.5">
      <c r="A20" s="73">
        <v>11</v>
      </c>
      <c r="B20" s="81" t="s">
        <v>41</v>
      </c>
      <c r="C20" s="81"/>
      <c r="D20" s="73" t="s">
        <v>87</v>
      </c>
      <c r="E20" s="82">
        <v>46.73</v>
      </c>
      <c r="F20" s="73">
        <v>15</v>
      </c>
      <c r="G20" s="84">
        <v>0</v>
      </c>
      <c r="H20" s="79">
        <v>0</v>
      </c>
      <c r="I20" s="84">
        <v>0</v>
      </c>
      <c r="J20" s="281">
        <f>E20+H20</f>
        <v>46.73</v>
      </c>
      <c r="K20" s="306" t="s">
        <v>77</v>
      </c>
      <c r="L20" s="306"/>
      <c r="M20" s="355" t="s">
        <v>241</v>
      </c>
      <c r="N20" s="306"/>
      <c r="O20" s="356"/>
    </row>
    <row r="21" spans="1:16" s="64" customFormat="1" ht="19.8" x14ac:dyDescent="0.5">
      <c r="A21" s="73">
        <v>12</v>
      </c>
      <c r="B21" s="81" t="s">
        <v>326</v>
      </c>
      <c r="C21" s="81"/>
      <c r="D21" s="73" t="s">
        <v>76</v>
      </c>
      <c r="E21" s="82">
        <v>3140.19</v>
      </c>
      <c r="F21" s="73">
        <v>15</v>
      </c>
      <c r="G21" s="84">
        <v>0</v>
      </c>
      <c r="H21" s="79">
        <v>0</v>
      </c>
      <c r="I21" s="84">
        <v>0</v>
      </c>
      <c r="J21" s="281">
        <f>E21+G21+H21</f>
        <v>3140.19</v>
      </c>
      <c r="K21" s="306" t="s">
        <v>88</v>
      </c>
      <c r="L21" s="306"/>
      <c r="M21" s="355" t="s">
        <v>241</v>
      </c>
      <c r="N21" s="306"/>
      <c r="O21" s="356"/>
    </row>
    <row r="22" spans="1:16" s="64" customFormat="1" ht="20.399999999999999" x14ac:dyDescent="0.55000000000000004">
      <c r="A22" s="73">
        <v>13</v>
      </c>
      <c r="B22" s="81" t="s">
        <v>195</v>
      </c>
      <c r="C22" s="81"/>
      <c r="D22" s="73" t="s">
        <v>76</v>
      </c>
      <c r="E22" s="287">
        <v>34500</v>
      </c>
      <c r="F22" s="73">
        <v>0</v>
      </c>
      <c r="G22" s="84">
        <v>0</v>
      </c>
      <c r="H22" s="79">
        <v>0</v>
      </c>
      <c r="I22" s="84">
        <v>0</v>
      </c>
      <c r="J22" s="281">
        <f>E22+G22+H22</f>
        <v>34500</v>
      </c>
      <c r="K22" s="306" t="s">
        <v>88</v>
      </c>
      <c r="L22" s="306"/>
      <c r="M22" s="355" t="s">
        <v>136</v>
      </c>
      <c r="N22" s="306"/>
      <c r="O22" s="356"/>
    </row>
    <row r="23" spans="1:16" s="64" customFormat="1" ht="19.8" x14ac:dyDescent="0.5">
      <c r="A23" s="73">
        <v>14</v>
      </c>
      <c r="B23" s="81" t="s">
        <v>194</v>
      </c>
      <c r="C23" s="81"/>
      <c r="D23" s="73" t="s">
        <v>76</v>
      </c>
      <c r="E23" s="279">
        <v>25020</v>
      </c>
      <c r="F23" s="73">
        <v>0</v>
      </c>
      <c r="G23" s="84">
        <v>0</v>
      </c>
      <c r="H23" s="79">
        <v>0</v>
      </c>
      <c r="I23" s="84">
        <v>0</v>
      </c>
      <c r="J23" s="281">
        <f>E23+G23+H23</f>
        <v>25020</v>
      </c>
      <c r="K23" s="306" t="s">
        <v>88</v>
      </c>
      <c r="L23" s="306"/>
      <c r="M23" s="355" t="s">
        <v>136</v>
      </c>
      <c r="N23" s="306"/>
      <c r="O23" s="356"/>
      <c r="P23" s="86"/>
    </row>
    <row r="24" spans="1:16" s="64" customFormat="1" ht="20.399999999999999" x14ac:dyDescent="0.55000000000000004">
      <c r="A24" s="73"/>
      <c r="B24" s="81" t="s">
        <v>335</v>
      </c>
      <c r="C24" s="81"/>
      <c r="D24" s="73" t="s">
        <v>76</v>
      </c>
      <c r="E24" s="287">
        <v>30500</v>
      </c>
      <c r="F24" s="73">
        <v>0</v>
      </c>
      <c r="G24" s="84">
        <v>0</v>
      </c>
      <c r="H24" s="79">
        <v>0</v>
      </c>
      <c r="I24" s="84">
        <v>0</v>
      </c>
      <c r="J24" s="281">
        <f>E24+G24+H24</f>
        <v>30500</v>
      </c>
      <c r="K24" s="65"/>
      <c r="L24" s="65"/>
      <c r="M24" s="83"/>
      <c r="N24" s="65"/>
      <c r="O24" s="65"/>
      <c r="P24" s="86"/>
    </row>
    <row r="25" spans="1:16" s="64" customFormat="1" ht="19.8" x14ac:dyDescent="0.5">
      <c r="A25" s="87">
        <v>15</v>
      </c>
      <c r="B25" s="88" t="s">
        <v>89</v>
      </c>
      <c r="C25" s="89"/>
      <c r="D25" s="90" t="s">
        <v>90</v>
      </c>
      <c r="E25" s="91">
        <v>0</v>
      </c>
      <c r="F25" s="90">
        <v>0</v>
      </c>
      <c r="G25" s="92">
        <v>0</v>
      </c>
      <c r="H25" s="92">
        <v>0</v>
      </c>
      <c r="I25" s="92">
        <v>0</v>
      </c>
      <c r="J25" s="93">
        <f t="shared" ref="J25:J51" si="1">E25+G25+H25</f>
        <v>0</v>
      </c>
      <c r="K25" s="353" t="s">
        <v>77</v>
      </c>
      <c r="L25" s="357"/>
      <c r="M25" s="353" t="s">
        <v>242</v>
      </c>
      <c r="N25" s="357"/>
      <c r="O25" s="357"/>
      <c r="P25" s="86"/>
    </row>
    <row r="26" spans="1:16" s="64" customFormat="1" ht="19.8" x14ac:dyDescent="0.5">
      <c r="A26" s="69">
        <v>16</v>
      </c>
      <c r="B26" s="94" t="s">
        <v>91</v>
      </c>
      <c r="C26" s="76"/>
      <c r="D26" s="77" t="s">
        <v>90</v>
      </c>
      <c r="E26" s="95">
        <v>486.35</v>
      </c>
      <c r="F26" s="77">
        <v>30</v>
      </c>
      <c r="G26" s="78">
        <v>0</v>
      </c>
      <c r="H26" s="78">
        <v>0</v>
      </c>
      <c r="I26" s="78">
        <v>0</v>
      </c>
      <c r="J26" s="85">
        <f t="shared" si="1"/>
        <v>486.35</v>
      </c>
      <c r="K26" s="358" t="s">
        <v>77</v>
      </c>
      <c r="L26" s="359"/>
      <c r="M26" s="353" t="s">
        <v>242</v>
      </c>
      <c r="N26" s="357"/>
      <c r="O26" s="357"/>
      <c r="P26" s="86"/>
    </row>
    <row r="27" spans="1:16" s="64" customFormat="1" ht="19.8" x14ac:dyDescent="0.5">
      <c r="A27" s="73">
        <v>17</v>
      </c>
      <c r="B27" s="96" t="s">
        <v>327</v>
      </c>
      <c r="C27" s="81"/>
      <c r="D27" s="83" t="s">
        <v>90</v>
      </c>
      <c r="E27" s="97">
        <v>436.45</v>
      </c>
      <c r="F27" s="77">
        <v>30</v>
      </c>
      <c r="G27" s="78">
        <v>0</v>
      </c>
      <c r="H27" s="98">
        <v>0</v>
      </c>
      <c r="I27" s="98">
        <v>0</v>
      </c>
      <c r="J27" s="85">
        <f t="shared" si="1"/>
        <v>436.45</v>
      </c>
      <c r="K27" s="355" t="s">
        <v>77</v>
      </c>
      <c r="L27" s="356"/>
      <c r="M27" s="355" t="s">
        <v>241</v>
      </c>
      <c r="N27" s="306"/>
      <c r="O27" s="356"/>
      <c r="P27" s="86"/>
    </row>
    <row r="28" spans="1:16" s="64" customFormat="1" ht="19.8" x14ac:dyDescent="0.5">
      <c r="A28" s="73">
        <v>18</v>
      </c>
      <c r="B28" s="81" t="s">
        <v>234</v>
      </c>
      <c r="C28" s="81"/>
      <c r="D28" s="73" t="s">
        <v>90</v>
      </c>
      <c r="E28" s="82">
        <v>694.86</v>
      </c>
      <c r="F28" s="77">
        <v>30</v>
      </c>
      <c r="G28" s="78">
        <v>0</v>
      </c>
      <c r="H28" s="79">
        <v>0</v>
      </c>
      <c r="I28" s="84">
        <v>0</v>
      </c>
      <c r="J28" s="85">
        <f t="shared" si="1"/>
        <v>694.86</v>
      </c>
      <c r="K28" s="306" t="s">
        <v>77</v>
      </c>
      <c r="L28" s="306"/>
      <c r="M28" s="355" t="s">
        <v>127</v>
      </c>
      <c r="N28" s="306"/>
      <c r="O28" s="356"/>
    </row>
    <row r="29" spans="1:16" s="64" customFormat="1" ht="19.8" x14ac:dyDescent="0.5">
      <c r="A29" s="73">
        <v>19</v>
      </c>
      <c r="B29" s="81" t="s">
        <v>328</v>
      </c>
      <c r="C29" s="81"/>
      <c r="D29" s="73" t="s">
        <v>90</v>
      </c>
      <c r="E29" s="82">
        <v>560.75</v>
      </c>
      <c r="F29" s="77">
        <v>0</v>
      </c>
      <c r="G29" s="78">
        <v>0</v>
      </c>
      <c r="H29" s="79">
        <v>0</v>
      </c>
      <c r="I29" s="84">
        <v>0</v>
      </c>
      <c r="J29" s="85">
        <f t="shared" si="1"/>
        <v>560.75</v>
      </c>
      <c r="K29" s="306" t="s">
        <v>77</v>
      </c>
      <c r="L29" s="306"/>
      <c r="M29" s="355" t="s">
        <v>241</v>
      </c>
      <c r="N29" s="306"/>
      <c r="O29" s="356"/>
    </row>
    <row r="30" spans="1:16" s="64" customFormat="1" ht="19.8" x14ac:dyDescent="0.5">
      <c r="A30" s="73">
        <v>20</v>
      </c>
      <c r="B30" s="81" t="s">
        <v>92</v>
      </c>
      <c r="C30" s="81"/>
      <c r="D30" s="73" t="s">
        <v>90</v>
      </c>
      <c r="E30" s="82">
        <v>0</v>
      </c>
      <c r="F30" s="73">
        <v>0</v>
      </c>
      <c r="G30" s="84">
        <v>0</v>
      </c>
      <c r="H30" s="79">
        <v>0</v>
      </c>
      <c r="I30" s="84">
        <v>0</v>
      </c>
      <c r="J30" s="85">
        <f t="shared" si="1"/>
        <v>0</v>
      </c>
      <c r="K30" s="306" t="s">
        <v>77</v>
      </c>
      <c r="L30" s="306"/>
      <c r="M30" s="353" t="s">
        <v>242</v>
      </c>
      <c r="N30" s="357"/>
      <c r="O30" s="357"/>
    </row>
    <row r="31" spans="1:16" s="64" customFormat="1" ht="19.8" x14ac:dyDescent="0.5">
      <c r="A31" s="73">
        <v>21</v>
      </c>
      <c r="B31" s="81" t="s">
        <v>93</v>
      </c>
      <c r="C31" s="81"/>
      <c r="D31" s="73" t="s">
        <v>90</v>
      </c>
      <c r="E31" s="82">
        <v>0</v>
      </c>
      <c r="F31" s="73">
        <v>0</v>
      </c>
      <c r="G31" s="84">
        <v>0</v>
      </c>
      <c r="H31" s="79">
        <v>0</v>
      </c>
      <c r="I31" s="84">
        <v>0</v>
      </c>
      <c r="J31" s="85">
        <f t="shared" si="1"/>
        <v>0</v>
      </c>
      <c r="K31" s="306" t="s">
        <v>77</v>
      </c>
      <c r="L31" s="306"/>
      <c r="M31" s="355" t="s">
        <v>243</v>
      </c>
      <c r="N31" s="306"/>
      <c r="O31" s="356"/>
    </row>
    <row r="32" spans="1:16" s="64" customFormat="1" ht="19.8" x14ac:dyDescent="0.5">
      <c r="A32" s="73">
        <v>22</v>
      </c>
      <c r="B32" s="81" t="s">
        <v>94</v>
      </c>
      <c r="C32" s="81"/>
      <c r="D32" s="73" t="s">
        <v>90</v>
      </c>
      <c r="E32" s="82">
        <v>467.29</v>
      </c>
      <c r="F32" s="73">
        <v>5</v>
      </c>
      <c r="G32" s="84">
        <v>0</v>
      </c>
      <c r="H32" s="79">
        <v>0</v>
      </c>
      <c r="I32" s="84">
        <v>0</v>
      </c>
      <c r="J32" s="85">
        <f t="shared" si="1"/>
        <v>467.29</v>
      </c>
      <c r="K32" s="306" t="s">
        <v>77</v>
      </c>
      <c r="L32" s="306"/>
      <c r="M32" s="355" t="s">
        <v>241</v>
      </c>
      <c r="N32" s="306"/>
      <c r="O32" s="356"/>
    </row>
    <row r="33" spans="1:15" s="64" customFormat="1" ht="19.8" x14ac:dyDescent="0.5">
      <c r="A33" s="73">
        <v>23</v>
      </c>
      <c r="B33" s="81" t="s">
        <v>95</v>
      </c>
      <c r="C33" s="81"/>
      <c r="D33" s="73" t="s">
        <v>90</v>
      </c>
      <c r="E33" s="82">
        <v>100</v>
      </c>
      <c r="F33" s="73">
        <v>5</v>
      </c>
      <c r="G33" s="84">
        <v>0</v>
      </c>
      <c r="H33" s="79">
        <v>0</v>
      </c>
      <c r="I33" s="84">
        <v>0</v>
      </c>
      <c r="J33" s="85">
        <f t="shared" si="1"/>
        <v>100</v>
      </c>
      <c r="K33" s="306" t="s">
        <v>77</v>
      </c>
      <c r="L33" s="306"/>
      <c r="M33" s="355" t="s">
        <v>242</v>
      </c>
      <c r="N33" s="306"/>
      <c r="O33" s="356"/>
    </row>
    <row r="34" spans="1:15" s="64" customFormat="1" ht="19.8" x14ac:dyDescent="0.5">
      <c r="A34" s="73">
        <v>24</v>
      </c>
      <c r="B34" s="81" t="s">
        <v>96</v>
      </c>
      <c r="C34" s="81"/>
      <c r="D34" s="73" t="s">
        <v>97</v>
      </c>
      <c r="E34" s="279">
        <v>476.64</v>
      </c>
      <c r="F34" s="73">
        <v>37</v>
      </c>
      <c r="G34" s="84">
        <v>0</v>
      </c>
      <c r="H34" s="79">
        <v>0</v>
      </c>
      <c r="I34" s="84">
        <v>0</v>
      </c>
      <c r="J34" s="85">
        <f t="shared" si="1"/>
        <v>476.64</v>
      </c>
      <c r="K34" s="306" t="s">
        <v>77</v>
      </c>
      <c r="L34" s="306"/>
      <c r="M34" s="355" t="s">
        <v>241</v>
      </c>
      <c r="N34" s="306"/>
      <c r="O34" s="356"/>
    </row>
    <row r="35" spans="1:15" s="64" customFormat="1" ht="19.8" x14ac:dyDescent="0.5">
      <c r="A35" s="73">
        <v>25</v>
      </c>
      <c r="B35" s="81" t="s">
        <v>98</v>
      </c>
      <c r="C35" s="81"/>
      <c r="D35" s="73" t="s">
        <v>97</v>
      </c>
      <c r="E35" s="279">
        <v>574.77</v>
      </c>
      <c r="F35" s="73">
        <v>37</v>
      </c>
      <c r="G35" s="84">
        <v>0</v>
      </c>
      <c r="H35" s="79">
        <v>0</v>
      </c>
      <c r="I35" s="84">
        <v>0</v>
      </c>
      <c r="J35" s="85">
        <f t="shared" si="1"/>
        <v>574.77</v>
      </c>
      <c r="K35" s="306" t="s">
        <v>77</v>
      </c>
      <c r="L35" s="306"/>
      <c r="M35" s="355" t="s">
        <v>241</v>
      </c>
      <c r="N35" s="306"/>
      <c r="O35" s="356"/>
    </row>
    <row r="36" spans="1:15" s="64" customFormat="1" ht="19.8" x14ac:dyDescent="0.5">
      <c r="A36" s="73">
        <v>26</v>
      </c>
      <c r="B36" s="81" t="s">
        <v>99</v>
      </c>
      <c r="C36" s="81"/>
      <c r="D36" s="73" t="s">
        <v>97</v>
      </c>
      <c r="E36" s="279">
        <v>831.78</v>
      </c>
      <c r="F36" s="73">
        <v>37</v>
      </c>
      <c r="G36" s="84">
        <v>0</v>
      </c>
      <c r="H36" s="79">
        <v>0</v>
      </c>
      <c r="I36" s="84">
        <v>0</v>
      </c>
      <c r="J36" s="85">
        <f t="shared" si="1"/>
        <v>831.78</v>
      </c>
      <c r="K36" s="306" t="s">
        <v>77</v>
      </c>
      <c r="L36" s="306"/>
      <c r="M36" s="355" t="s">
        <v>241</v>
      </c>
      <c r="N36" s="306"/>
      <c r="O36" s="356"/>
    </row>
    <row r="37" spans="1:15" s="64" customFormat="1" ht="19.8" x14ac:dyDescent="0.5">
      <c r="A37" s="73">
        <v>27</v>
      </c>
      <c r="B37" s="81" t="s">
        <v>100</v>
      </c>
      <c r="C37" s="81"/>
      <c r="D37" s="73" t="s">
        <v>97</v>
      </c>
      <c r="E37" s="279">
        <v>1429.91</v>
      </c>
      <c r="F37" s="73">
        <v>37</v>
      </c>
      <c r="G37" s="84">
        <v>0</v>
      </c>
      <c r="H37" s="79">
        <v>0</v>
      </c>
      <c r="I37" s="84">
        <v>0</v>
      </c>
      <c r="J37" s="85">
        <f t="shared" si="1"/>
        <v>1429.91</v>
      </c>
      <c r="K37" s="306" t="s">
        <v>77</v>
      </c>
      <c r="L37" s="306"/>
      <c r="M37" s="355" t="s">
        <v>241</v>
      </c>
      <c r="N37" s="306"/>
      <c r="O37" s="356"/>
    </row>
    <row r="38" spans="1:15" s="64" customFormat="1" ht="19.8" x14ac:dyDescent="0.5">
      <c r="A38" s="73">
        <v>28</v>
      </c>
      <c r="B38" s="81" t="s">
        <v>101</v>
      </c>
      <c r="C38" s="81"/>
      <c r="D38" s="73" t="s">
        <v>97</v>
      </c>
      <c r="E38" s="279">
        <v>2172.9</v>
      </c>
      <c r="F38" s="73">
        <v>37</v>
      </c>
      <c r="G38" s="84">
        <v>0</v>
      </c>
      <c r="H38" s="79">
        <v>0</v>
      </c>
      <c r="I38" s="84">
        <v>0</v>
      </c>
      <c r="J38" s="85">
        <f t="shared" si="1"/>
        <v>2172.9</v>
      </c>
      <c r="K38" s="306" t="s">
        <v>77</v>
      </c>
      <c r="L38" s="306"/>
      <c r="M38" s="355" t="s">
        <v>241</v>
      </c>
      <c r="N38" s="306"/>
      <c r="O38" s="356"/>
    </row>
    <row r="39" spans="1:15" s="64" customFormat="1" ht="19.8" x14ac:dyDescent="0.5">
      <c r="A39" s="83">
        <v>29</v>
      </c>
      <c r="B39" s="96" t="s">
        <v>102</v>
      </c>
      <c r="C39" s="81"/>
      <c r="D39" s="73" t="s">
        <v>103</v>
      </c>
      <c r="E39" s="279">
        <v>747.66</v>
      </c>
      <c r="F39" s="73">
        <v>37</v>
      </c>
      <c r="G39" s="84">
        <v>0</v>
      </c>
      <c r="H39" s="79">
        <v>0</v>
      </c>
      <c r="I39" s="84">
        <v>0</v>
      </c>
      <c r="J39" s="85">
        <f t="shared" si="1"/>
        <v>747.66</v>
      </c>
      <c r="K39" s="306" t="s">
        <v>77</v>
      </c>
      <c r="L39" s="306"/>
      <c r="M39" s="355" t="s">
        <v>241</v>
      </c>
      <c r="N39" s="306"/>
      <c r="O39" s="356"/>
    </row>
    <row r="40" spans="1:15" s="64" customFormat="1" ht="19.8" x14ac:dyDescent="0.5">
      <c r="A40" s="83">
        <v>30</v>
      </c>
      <c r="B40" s="96" t="s">
        <v>104</v>
      </c>
      <c r="C40" s="81"/>
      <c r="D40" s="73" t="s">
        <v>105</v>
      </c>
      <c r="E40" s="82">
        <v>271.02999999999997</v>
      </c>
      <c r="F40" s="73">
        <v>37</v>
      </c>
      <c r="G40" s="84">
        <v>0</v>
      </c>
      <c r="H40" s="79">
        <v>0</v>
      </c>
      <c r="I40" s="84">
        <v>0</v>
      </c>
      <c r="J40" s="85">
        <f t="shared" si="1"/>
        <v>271.02999999999997</v>
      </c>
      <c r="K40" s="306" t="s">
        <v>77</v>
      </c>
      <c r="L40" s="306"/>
      <c r="M40" s="355" t="s">
        <v>241</v>
      </c>
      <c r="N40" s="306"/>
      <c r="O40" s="356"/>
    </row>
    <row r="41" spans="1:15" s="64" customFormat="1" ht="19.8" x14ac:dyDescent="0.5">
      <c r="A41" s="73">
        <v>31</v>
      </c>
      <c r="B41" s="81" t="s">
        <v>106</v>
      </c>
      <c r="C41" s="81"/>
      <c r="D41" s="73" t="s">
        <v>103</v>
      </c>
      <c r="E41" s="82">
        <v>672.9</v>
      </c>
      <c r="F41" s="73">
        <v>37</v>
      </c>
      <c r="G41" s="84">
        <v>0</v>
      </c>
      <c r="H41" s="79">
        <v>0</v>
      </c>
      <c r="I41" s="84">
        <v>0</v>
      </c>
      <c r="J41" s="85">
        <f t="shared" si="1"/>
        <v>672.9</v>
      </c>
      <c r="K41" s="306" t="s">
        <v>77</v>
      </c>
      <c r="L41" s="306"/>
      <c r="M41" s="355" t="s">
        <v>241</v>
      </c>
      <c r="N41" s="306"/>
      <c r="O41" s="356"/>
    </row>
    <row r="42" spans="1:15" s="64" customFormat="1" ht="19.8" x14ac:dyDescent="0.5">
      <c r="A42" s="73">
        <v>32</v>
      </c>
      <c r="B42" s="81" t="s">
        <v>107</v>
      </c>
      <c r="C42" s="81"/>
      <c r="D42" s="73" t="s">
        <v>51</v>
      </c>
      <c r="E42" s="82">
        <v>0</v>
      </c>
      <c r="F42" s="73">
        <v>0</v>
      </c>
      <c r="G42" s="84">
        <v>0</v>
      </c>
      <c r="H42" s="79">
        <v>0</v>
      </c>
      <c r="I42" s="84">
        <v>0</v>
      </c>
      <c r="J42" s="85">
        <f t="shared" si="1"/>
        <v>0</v>
      </c>
      <c r="K42" s="306" t="s">
        <v>77</v>
      </c>
      <c r="L42" s="306"/>
      <c r="M42" s="355" t="s">
        <v>241</v>
      </c>
      <c r="N42" s="306"/>
      <c r="O42" s="356"/>
    </row>
    <row r="43" spans="1:15" s="64" customFormat="1" ht="19.8" x14ac:dyDescent="0.5">
      <c r="A43" s="73">
        <v>33</v>
      </c>
      <c r="B43" s="81" t="s">
        <v>108</v>
      </c>
      <c r="C43" s="81"/>
      <c r="D43" s="73" t="s">
        <v>51</v>
      </c>
      <c r="E43" s="82">
        <v>0</v>
      </c>
      <c r="F43" s="73">
        <v>0</v>
      </c>
      <c r="G43" s="84">
        <v>0</v>
      </c>
      <c r="H43" s="79">
        <v>0</v>
      </c>
      <c r="I43" s="84">
        <v>0</v>
      </c>
      <c r="J43" s="85">
        <f t="shared" si="1"/>
        <v>0</v>
      </c>
      <c r="K43" s="306" t="s">
        <v>77</v>
      </c>
      <c r="L43" s="306"/>
      <c r="M43" s="355" t="s">
        <v>241</v>
      </c>
      <c r="N43" s="306"/>
      <c r="O43" s="356"/>
    </row>
    <row r="44" spans="1:15" s="64" customFormat="1" ht="19.8" x14ac:dyDescent="0.5">
      <c r="A44" s="73">
        <v>34</v>
      </c>
      <c r="B44" s="81" t="s">
        <v>196</v>
      </c>
      <c r="C44" s="81"/>
      <c r="D44" s="73" t="s">
        <v>97</v>
      </c>
      <c r="E44" s="82">
        <v>538.34</v>
      </c>
      <c r="F44" s="73">
        <v>37</v>
      </c>
      <c r="G44" s="84">
        <v>0</v>
      </c>
      <c r="H44" s="79">
        <v>0</v>
      </c>
      <c r="I44" s="84">
        <v>0</v>
      </c>
      <c r="J44" s="85">
        <f t="shared" si="1"/>
        <v>538.34</v>
      </c>
      <c r="K44" s="306" t="s">
        <v>77</v>
      </c>
      <c r="L44" s="306"/>
      <c r="M44" s="355" t="s">
        <v>241</v>
      </c>
      <c r="N44" s="306"/>
      <c r="O44" s="356"/>
    </row>
    <row r="45" spans="1:15" s="64" customFormat="1" ht="19.8" x14ac:dyDescent="0.5">
      <c r="A45" s="73">
        <v>35</v>
      </c>
      <c r="B45" s="81" t="s">
        <v>109</v>
      </c>
      <c r="C45" s="81"/>
      <c r="D45" s="73" t="s">
        <v>97</v>
      </c>
      <c r="E45" s="82">
        <v>0</v>
      </c>
      <c r="F45" s="73">
        <v>0</v>
      </c>
      <c r="G45" s="84">
        <v>0</v>
      </c>
      <c r="H45" s="79">
        <v>0</v>
      </c>
      <c r="I45" s="84">
        <v>0</v>
      </c>
      <c r="J45" s="85">
        <f t="shared" si="1"/>
        <v>0</v>
      </c>
      <c r="K45" s="306" t="s">
        <v>77</v>
      </c>
      <c r="L45" s="306"/>
      <c r="M45" s="355" t="s">
        <v>241</v>
      </c>
      <c r="N45" s="306"/>
      <c r="O45" s="356"/>
    </row>
    <row r="46" spans="1:15" s="64" customFormat="1" ht="19.8" x14ac:dyDescent="0.5">
      <c r="A46" s="73">
        <v>36</v>
      </c>
      <c r="B46" s="81" t="s">
        <v>110</v>
      </c>
      <c r="C46" s="81"/>
      <c r="D46" s="73" t="s">
        <v>97</v>
      </c>
      <c r="E46" s="82">
        <v>0</v>
      </c>
      <c r="F46" s="73">
        <v>0</v>
      </c>
      <c r="G46" s="84">
        <v>0</v>
      </c>
      <c r="H46" s="79">
        <v>0</v>
      </c>
      <c r="I46" s="84">
        <v>0</v>
      </c>
      <c r="J46" s="85">
        <f t="shared" si="1"/>
        <v>0</v>
      </c>
      <c r="K46" s="306" t="s">
        <v>77</v>
      </c>
      <c r="L46" s="306"/>
      <c r="M46" s="355" t="s">
        <v>241</v>
      </c>
      <c r="N46" s="306"/>
      <c r="O46" s="356"/>
    </row>
    <row r="47" spans="1:15" s="64" customFormat="1" ht="19.8" x14ac:dyDescent="0.5">
      <c r="A47" s="73">
        <v>37</v>
      </c>
      <c r="B47" s="81" t="s">
        <v>197</v>
      </c>
      <c r="C47" s="81"/>
      <c r="D47" s="73" t="s">
        <v>43</v>
      </c>
      <c r="E47" s="82">
        <v>0</v>
      </c>
      <c r="F47" s="73">
        <v>37</v>
      </c>
      <c r="G47" s="84">
        <v>0</v>
      </c>
      <c r="H47" s="79">
        <v>0</v>
      </c>
      <c r="I47" s="84">
        <v>0</v>
      </c>
      <c r="J47" s="85">
        <f t="shared" si="1"/>
        <v>0</v>
      </c>
      <c r="K47" s="306" t="s">
        <v>77</v>
      </c>
      <c r="L47" s="306"/>
      <c r="M47" s="355" t="s">
        <v>241</v>
      </c>
      <c r="N47" s="306"/>
      <c r="O47" s="356"/>
    </row>
    <row r="48" spans="1:15" s="64" customFormat="1" ht="19.8" x14ac:dyDescent="0.5">
      <c r="A48" s="73">
        <v>38</v>
      </c>
      <c r="B48" s="81" t="s">
        <v>128</v>
      </c>
      <c r="C48" s="81"/>
      <c r="D48" s="73" t="s">
        <v>97</v>
      </c>
      <c r="E48" s="82">
        <v>0</v>
      </c>
      <c r="F48" s="73">
        <v>37</v>
      </c>
      <c r="G48" s="84">
        <v>0</v>
      </c>
      <c r="H48" s="79">
        <v>0</v>
      </c>
      <c r="I48" s="84">
        <v>0</v>
      </c>
      <c r="J48" s="85">
        <f t="shared" si="1"/>
        <v>0</v>
      </c>
      <c r="K48" s="306" t="s">
        <v>77</v>
      </c>
      <c r="L48" s="306"/>
      <c r="M48" s="355" t="s">
        <v>241</v>
      </c>
      <c r="N48" s="306"/>
      <c r="O48" s="356"/>
    </row>
    <row r="49" spans="1:16" s="64" customFormat="1" ht="19.8" x14ac:dyDescent="0.5">
      <c r="A49" s="73">
        <v>39</v>
      </c>
      <c r="B49" s="81" t="s">
        <v>129</v>
      </c>
      <c r="C49" s="81"/>
      <c r="D49" s="73" t="s">
        <v>90</v>
      </c>
      <c r="E49" s="82">
        <v>1775.7</v>
      </c>
      <c r="F49" s="73">
        <v>37</v>
      </c>
      <c r="G49" s="84">
        <v>0</v>
      </c>
      <c r="H49" s="79">
        <v>0</v>
      </c>
      <c r="I49" s="84">
        <v>0</v>
      </c>
      <c r="J49" s="85">
        <f t="shared" si="1"/>
        <v>1775.7</v>
      </c>
      <c r="K49" s="306" t="s">
        <v>77</v>
      </c>
      <c r="L49" s="306"/>
      <c r="M49" s="355" t="s">
        <v>241</v>
      </c>
      <c r="N49" s="306"/>
      <c r="O49" s="356"/>
    </row>
    <row r="50" spans="1:16" s="64" customFormat="1" ht="19.8" x14ac:dyDescent="0.5">
      <c r="A50" s="73">
        <v>40</v>
      </c>
      <c r="B50" s="81" t="s">
        <v>130</v>
      </c>
      <c r="C50" s="81"/>
      <c r="D50" s="73" t="s">
        <v>90</v>
      </c>
      <c r="E50" s="82">
        <v>1682.24</v>
      </c>
      <c r="F50" s="73">
        <v>37</v>
      </c>
      <c r="G50" s="84">
        <v>0</v>
      </c>
      <c r="H50" s="79">
        <v>0</v>
      </c>
      <c r="I50" s="84">
        <v>0</v>
      </c>
      <c r="J50" s="85">
        <f t="shared" si="1"/>
        <v>1682.24</v>
      </c>
      <c r="K50" s="306" t="s">
        <v>77</v>
      </c>
      <c r="L50" s="306"/>
      <c r="M50" s="355" t="s">
        <v>241</v>
      </c>
      <c r="N50" s="306"/>
      <c r="O50" s="356"/>
    </row>
    <row r="51" spans="1:16" s="64" customFormat="1" ht="19.8" x14ac:dyDescent="0.5">
      <c r="A51" s="87">
        <v>41</v>
      </c>
      <c r="B51" s="89" t="s">
        <v>111</v>
      </c>
      <c r="C51" s="89"/>
      <c r="D51" s="87" t="s">
        <v>7</v>
      </c>
      <c r="E51" s="99">
        <v>56.07</v>
      </c>
      <c r="F51" s="87">
        <v>37</v>
      </c>
      <c r="G51" s="100">
        <v>0</v>
      </c>
      <c r="H51" s="101">
        <v>0</v>
      </c>
      <c r="I51" s="100">
        <v>0</v>
      </c>
      <c r="J51" s="93">
        <f t="shared" si="1"/>
        <v>56.07</v>
      </c>
      <c r="K51" s="353" t="s">
        <v>77</v>
      </c>
      <c r="L51" s="354"/>
      <c r="M51" s="355" t="s">
        <v>241</v>
      </c>
      <c r="N51" s="306"/>
      <c r="O51" s="356"/>
      <c r="P51" s="86"/>
    </row>
    <row r="52" spans="1:16" s="64" customFormat="1" ht="19.8" x14ac:dyDescent="0.5">
      <c r="A52" s="65"/>
      <c r="B52" s="81"/>
      <c r="C52" s="81"/>
      <c r="D52" s="65"/>
      <c r="E52" s="82"/>
      <c r="F52" s="65"/>
      <c r="G52" s="84"/>
      <c r="H52" s="84"/>
      <c r="I52" s="84"/>
      <c r="J52" s="82"/>
      <c r="K52" s="81"/>
      <c r="L52" s="81"/>
      <c r="M52" s="65"/>
      <c r="N52" s="65"/>
      <c r="O52" s="65"/>
    </row>
    <row r="53" spans="1:16" s="64" customFormat="1" ht="19.8" x14ac:dyDescent="0.5">
      <c r="A53" s="65"/>
      <c r="D53" s="65"/>
      <c r="E53" s="66"/>
      <c r="J53" s="66"/>
    </row>
    <row r="54" spans="1:16" s="64" customFormat="1" ht="19.8" x14ac:dyDescent="0.5">
      <c r="A54" s="65"/>
      <c r="D54" s="65"/>
      <c r="E54" s="66"/>
      <c r="J54" s="66"/>
    </row>
    <row r="55" spans="1:16" s="64" customFormat="1" ht="19.8" x14ac:dyDescent="0.5">
      <c r="J55" s="84"/>
      <c r="L55" s="102" t="s">
        <v>263</v>
      </c>
    </row>
    <row r="56" spans="1:16" s="64" customFormat="1" ht="30.75" customHeight="1" x14ac:dyDescent="0.6">
      <c r="A56" s="347" t="s">
        <v>52</v>
      </c>
      <c r="B56" s="347"/>
      <c r="C56" s="347"/>
      <c r="D56" s="347"/>
      <c r="E56" s="347"/>
      <c r="F56" s="347"/>
      <c r="G56" s="347"/>
      <c r="H56" s="347"/>
      <c r="I56" s="347"/>
      <c r="J56" s="347"/>
      <c r="K56" s="347"/>
    </row>
    <row r="57" spans="1:16" s="64" customFormat="1" ht="20.399999999999999" x14ac:dyDescent="0.5">
      <c r="A57" s="103" t="s">
        <v>5</v>
      </c>
      <c r="B57" s="104"/>
      <c r="C57" s="105">
        <f>[1]สรุปราคากลาง!D59</f>
        <v>0</v>
      </c>
      <c r="D57" s="105"/>
      <c r="E57" s="105"/>
      <c r="F57" s="105"/>
      <c r="G57" s="105"/>
      <c r="H57" s="105"/>
      <c r="I57" s="105"/>
      <c r="J57" s="105"/>
      <c r="K57" s="105"/>
      <c r="L57" s="81"/>
    </row>
    <row r="58" spans="1:16" s="64" customFormat="1" ht="20.399999999999999" x14ac:dyDescent="0.5">
      <c r="A58" s="103"/>
      <c r="B58" s="104"/>
      <c r="C58" s="105">
        <f>[1]สรุปราคากลาง!D60</f>
        <v>0</v>
      </c>
      <c r="D58" s="105"/>
      <c r="E58" s="105"/>
      <c r="F58" s="105"/>
      <c r="G58" s="105"/>
      <c r="H58" s="105"/>
      <c r="I58" s="105"/>
      <c r="J58" s="105"/>
      <c r="K58" s="105"/>
      <c r="L58" s="81"/>
    </row>
    <row r="59" spans="1:16" s="64" customFormat="1" ht="20.399999999999999" x14ac:dyDescent="0.5">
      <c r="A59" s="103"/>
      <c r="B59" s="104"/>
      <c r="C59" s="331">
        <f>[1]สรุปราคากลาง!D61</f>
        <v>0</v>
      </c>
      <c r="D59" s="331"/>
      <c r="E59" s="331"/>
      <c r="F59" s="331"/>
      <c r="G59" s="331"/>
      <c r="H59" s="331"/>
      <c r="I59" s="331"/>
      <c r="J59" s="331"/>
      <c r="K59" s="331"/>
      <c r="L59" s="331"/>
    </row>
    <row r="60" spans="1:16" s="64" customFormat="1" ht="20.399999999999999" x14ac:dyDescent="0.5">
      <c r="A60" s="103" t="s">
        <v>0</v>
      </c>
      <c r="B60" s="104"/>
      <c r="C60" s="331">
        <f>[1]สรุปราคากลาง!D62</f>
        <v>9000</v>
      </c>
      <c r="D60" s="331"/>
      <c r="E60" s="331"/>
      <c r="F60" s="331"/>
      <c r="G60" s="331"/>
      <c r="H60" s="331"/>
      <c r="I60" s="331"/>
      <c r="J60" s="331"/>
      <c r="K60" s="331"/>
    </row>
    <row r="61" spans="1:16" s="64" customFormat="1" ht="20.399999999999999" x14ac:dyDescent="0.5">
      <c r="A61" s="103" t="s">
        <v>19</v>
      </c>
      <c r="B61" s="104"/>
      <c r="C61" s="331">
        <f>[1]สรุปราคากลาง!D63</f>
        <v>689.11111111111109</v>
      </c>
      <c r="D61" s="331"/>
      <c r="E61" s="331"/>
      <c r="F61" s="331"/>
      <c r="G61" s="331"/>
      <c r="H61" s="331"/>
      <c r="I61" s="331"/>
      <c r="J61" s="331"/>
      <c r="K61" s="331"/>
    </row>
    <row r="62" spans="1:16" s="64" customFormat="1" ht="20.399999999999999" x14ac:dyDescent="0.5">
      <c r="A62" s="103" t="s">
        <v>9</v>
      </c>
      <c r="B62" s="104"/>
      <c r="C62" s="348">
        <f>[1]สรุปราคากลาง!D65</f>
        <v>0</v>
      </c>
      <c r="D62" s="348"/>
      <c r="E62" s="348"/>
      <c r="F62" s="348"/>
      <c r="G62" s="348"/>
      <c r="H62" s="348"/>
      <c r="I62" s="348"/>
      <c r="J62" s="348"/>
      <c r="K62" s="105"/>
    </row>
    <row r="63" spans="1:16" s="64" customFormat="1" ht="19.8" x14ac:dyDescent="0.5">
      <c r="H63" s="64" t="s">
        <v>142</v>
      </c>
      <c r="J63" s="106" t="s">
        <v>17</v>
      </c>
      <c r="K63" s="67">
        <v>30.5</v>
      </c>
    </row>
    <row r="64" spans="1:16" s="64" customFormat="1" ht="20.399999999999999" x14ac:dyDescent="0.55000000000000004">
      <c r="A64" s="107" t="s">
        <v>155</v>
      </c>
      <c r="B64" s="108"/>
      <c r="C64" s="108"/>
      <c r="D64" s="108"/>
      <c r="E64" s="108"/>
      <c r="F64" s="108"/>
      <c r="G64" s="108"/>
    </row>
    <row r="65" spans="1:17" s="64" customFormat="1" ht="23.4" x14ac:dyDescent="0.6">
      <c r="A65" s="108" t="s">
        <v>156</v>
      </c>
      <c r="B65" s="108"/>
      <c r="C65" s="108"/>
      <c r="D65" s="108"/>
      <c r="E65" s="108"/>
      <c r="G65" s="109" t="s">
        <v>17</v>
      </c>
      <c r="H65" s="110">
        <v>11.06</v>
      </c>
      <c r="I65" s="109" t="s">
        <v>20</v>
      </c>
      <c r="K65" s="108"/>
      <c r="L65" s="111"/>
      <c r="N65" s="111"/>
    </row>
    <row r="66" spans="1:17" s="64" customFormat="1" ht="20.399999999999999" thickBot="1" x14ac:dyDescent="0.55000000000000004">
      <c r="A66" s="108"/>
      <c r="B66" s="108"/>
      <c r="D66" s="108" t="s">
        <v>38</v>
      </c>
      <c r="E66" s="109"/>
      <c r="F66" s="109"/>
      <c r="G66" s="109" t="s">
        <v>17</v>
      </c>
      <c r="H66" s="112">
        <f>H65</f>
        <v>11.06</v>
      </c>
      <c r="I66" s="109" t="s">
        <v>20</v>
      </c>
    </row>
    <row r="67" spans="1:17" s="64" customFormat="1" ht="20.399999999999999" thickTop="1" x14ac:dyDescent="0.5">
      <c r="C67" s="108"/>
      <c r="D67" s="108"/>
      <c r="F67" s="109"/>
      <c r="H67" s="108"/>
      <c r="I67" s="108"/>
    </row>
    <row r="68" spans="1:17" s="64" customFormat="1" ht="19.8" x14ac:dyDescent="0.5"/>
    <row r="69" spans="1:17" s="64" customFormat="1" ht="20.399999999999999" x14ac:dyDescent="0.55000000000000004">
      <c r="A69" s="107" t="s">
        <v>29</v>
      </c>
      <c r="B69" s="108"/>
      <c r="C69" s="108"/>
      <c r="D69" s="108"/>
      <c r="E69" s="108"/>
      <c r="F69" s="108"/>
      <c r="G69" s="108"/>
      <c r="H69" s="108"/>
      <c r="J69" s="108"/>
      <c r="K69" s="108"/>
      <c r="L69" s="108"/>
      <c r="M69" s="113"/>
      <c r="N69" s="109"/>
      <c r="O69" s="109"/>
      <c r="P69" s="114"/>
      <c r="Q69" s="109"/>
    </row>
    <row r="70" spans="1:17" s="64" customFormat="1" ht="19.8" x14ac:dyDescent="0.5">
      <c r="A70" s="108" t="s">
        <v>235</v>
      </c>
      <c r="B70" s="108"/>
      <c r="C70" s="108"/>
      <c r="D70" s="108"/>
      <c r="E70" s="108"/>
      <c r="F70" s="108"/>
      <c r="G70" s="109" t="s">
        <v>17</v>
      </c>
      <c r="H70" s="115">
        <v>80</v>
      </c>
      <c r="I70" s="109" t="s">
        <v>24</v>
      </c>
    </row>
    <row r="71" spans="1:17" s="64" customFormat="1" ht="19.8" x14ac:dyDescent="0.5">
      <c r="A71" s="108" t="s">
        <v>26</v>
      </c>
      <c r="B71" s="108"/>
      <c r="C71" s="116"/>
      <c r="D71" s="117">
        <v>47</v>
      </c>
      <c r="E71" s="108" t="s">
        <v>23</v>
      </c>
      <c r="F71" s="118">
        <v>153.88999999999999</v>
      </c>
      <c r="G71" s="109" t="s">
        <v>17</v>
      </c>
      <c r="H71" s="119">
        <f>F71</f>
        <v>153.88999999999999</v>
      </c>
      <c r="I71" s="109" t="s">
        <v>24</v>
      </c>
    </row>
    <row r="72" spans="1:17" s="64" customFormat="1" ht="19.8" x14ac:dyDescent="0.5">
      <c r="A72" s="108" t="s">
        <v>3</v>
      </c>
      <c r="B72" s="108"/>
      <c r="C72" s="108"/>
      <c r="D72" s="108"/>
      <c r="E72" s="108"/>
      <c r="F72" s="108"/>
      <c r="G72" s="109" t="s">
        <v>17</v>
      </c>
      <c r="H72" s="120">
        <f>H70+H71</f>
        <v>233.89</v>
      </c>
      <c r="I72" s="109" t="s">
        <v>24</v>
      </c>
    </row>
    <row r="73" spans="1:17" s="64" customFormat="1" ht="19.8" x14ac:dyDescent="0.5">
      <c r="A73" s="108" t="s">
        <v>30</v>
      </c>
      <c r="B73" s="108"/>
      <c r="C73" s="114"/>
      <c r="D73" s="118">
        <f>H72</f>
        <v>233.89</v>
      </c>
      <c r="E73" s="109" t="s">
        <v>22</v>
      </c>
      <c r="F73" s="117">
        <v>1.5</v>
      </c>
      <c r="G73" s="109" t="s">
        <v>17</v>
      </c>
      <c r="H73" s="120">
        <f>D73*F73</f>
        <v>350.83499999999998</v>
      </c>
      <c r="I73" s="109" t="s">
        <v>24</v>
      </c>
    </row>
    <row r="74" spans="1:17" s="64" customFormat="1" ht="19.8" x14ac:dyDescent="0.5">
      <c r="A74" s="108" t="s">
        <v>31</v>
      </c>
      <c r="B74" s="108"/>
      <c r="C74" s="108"/>
      <c r="D74" s="108"/>
      <c r="E74" s="108"/>
      <c r="F74" s="108"/>
      <c r="G74" s="109" t="s">
        <v>17</v>
      </c>
      <c r="H74" s="120">
        <v>24</v>
      </c>
      <c r="I74" s="109" t="s">
        <v>24</v>
      </c>
    </row>
    <row r="75" spans="1:17" s="64" customFormat="1" ht="19.8" x14ac:dyDescent="0.5">
      <c r="A75" s="108" t="s">
        <v>28</v>
      </c>
      <c r="B75" s="108"/>
      <c r="C75" s="108"/>
      <c r="D75" s="108"/>
      <c r="E75" s="108"/>
      <c r="F75" s="108"/>
      <c r="G75" s="109" t="s">
        <v>17</v>
      </c>
      <c r="H75" s="119">
        <v>83.44</v>
      </c>
      <c r="I75" s="109" t="s">
        <v>24</v>
      </c>
      <c r="L75" s="102"/>
    </row>
    <row r="76" spans="1:17" s="64" customFormat="1" ht="19.8" x14ac:dyDescent="0.5">
      <c r="A76" s="108"/>
      <c r="B76" s="108"/>
      <c r="C76" s="108"/>
      <c r="D76" s="108" t="s">
        <v>27</v>
      </c>
      <c r="E76" s="108"/>
      <c r="F76" s="108"/>
      <c r="G76" s="109" t="s">
        <v>17</v>
      </c>
      <c r="H76" s="121">
        <f>SUM(H73:H75)</f>
        <v>458.27499999999998</v>
      </c>
      <c r="I76" s="109" t="s">
        <v>24</v>
      </c>
    </row>
    <row r="77" spans="1:17" s="64" customFormat="1" ht="20.399999999999999" thickBot="1" x14ac:dyDescent="0.55000000000000004">
      <c r="A77" s="108"/>
      <c r="B77" s="108"/>
      <c r="C77" s="108"/>
      <c r="D77" s="108" t="s">
        <v>38</v>
      </c>
      <c r="E77" s="113"/>
      <c r="F77" s="108"/>
      <c r="G77" s="109" t="s">
        <v>17</v>
      </c>
      <c r="H77" s="122">
        <f>H76</f>
        <v>458.27499999999998</v>
      </c>
      <c r="I77" s="109" t="s">
        <v>24</v>
      </c>
    </row>
    <row r="78" spans="1:17" s="64" customFormat="1" ht="20.399999999999999" thickTop="1" x14ac:dyDescent="0.5">
      <c r="A78" s="108"/>
      <c r="B78" s="108"/>
      <c r="C78" s="108"/>
      <c r="D78" s="108"/>
      <c r="E78" s="113"/>
      <c r="F78" s="108"/>
      <c r="G78" s="109"/>
      <c r="H78" s="115"/>
      <c r="I78" s="109"/>
    </row>
    <row r="79" spans="1:17" s="64" customFormat="1" ht="19.8" x14ac:dyDescent="0.5"/>
    <row r="80" spans="1:17" s="64" customFormat="1" ht="20.399999999999999" x14ac:dyDescent="0.55000000000000004">
      <c r="A80" s="107" t="s">
        <v>264</v>
      </c>
      <c r="B80" s="123"/>
      <c r="C80" s="123"/>
      <c r="D80" s="123"/>
      <c r="E80" s="123"/>
      <c r="F80" s="123"/>
      <c r="G80" s="123"/>
      <c r="H80" s="123"/>
      <c r="I80" s="123"/>
    </row>
    <row r="81" spans="1:25" s="64" customFormat="1" ht="19.8" x14ac:dyDescent="0.5">
      <c r="A81" s="108" t="s">
        <v>265</v>
      </c>
      <c r="B81" s="108"/>
      <c r="C81" s="108"/>
      <c r="D81" s="108"/>
      <c r="E81" s="108"/>
      <c r="F81" s="108"/>
      <c r="G81" s="108"/>
      <c r="H81" s="114">
        <v>280.38</v>
      </c>
      <c r="I81" s="109" t="s">
        <v>24</v>
      </c>
    </row>
    <row r="82" spans="1:25" s="64" customFormat="1" ht="19.8" x14ac:dyDescent="0.5">
      <c r="A82" s="108" t="s">
        <v>26</v>
      </c>
      <c r="B82" s="108"/>
      <c r="C82" s="114"/>
      <c r="D82" s="117">
        <v>30</v>
      </c>
      <c r="E82" s="108" t="s">
        <v>23</v>
      </c>
      <c r="F82" s="124">
        <v>100.39</v>
      </c>
      <c r="G82" s="108"/>
      <c r="H82" s="125">
        <f>F82</f>
        <v>100.39</v>
      </c>
      <c r="I82" s="109" t="s">
        <v>24</v>
      </c>
      <c r="K82" s="108"/>
    </row>
    <row r="83" spans="1:25" s="64" customFormat="1" ht="19.8" x14ac:dyDescent="0.5">
      <c r="A83" s="108" t="s">
        <v>3</v>
      </c>
      <c r="B83" s="108"/>
      <c r="C83" s="108"/>
      <c r="D83" s="108"/>
      <c r="E83" s="108"/>
      <c r="F83" s="108"/>
      <c r="G83" s="108"/>
      <c r="H83" s="125">
        <f>H81+H82</f>
        <v>380.77</v>
      </c>
      <c r="I83" s="109" t="s">
        <v>24</v>
      </c>
      <c r="K83" s="108"/>
    </row>
    <row r="84" spans="1:25" s="64" customFormat="1" ht="19.8" x14ac:dyDescent="0.5">
      <c r="A84" s="108" t="s">
        <v>30</v>
      </c>
      <c r="B84" s="108"/>
      <c r="C84" s="114"/>
      <c r="D84" s="124">
        <f>H83</f>
        <v>380.77</v>
      </c>
      <c r="E84" s="109" t="s">
        <v>22</v>
      </c>
      <c r="F84" s="117">
        <v>1.4</v>
      </c>
      <c r="G84" s="108"/>
      <c r="H84" s="126">
        <f>D84*F84</f>
        <v>533.07799999999997</v>
      </c>
      <c r="I84" s="109" t="s">
        <v>24</v>
      </c>
      <c r="K84" s="108"/>
    </row>
    <row r="85" spans="1:25" s="64" customFormat="1" ht="19.8" x14ac:dyDescent="0.5">
      <c r="A85" s="108" t="s">
        <v>266</v>
      </c>
      <c r="B85" s="108"/>
      <c r="C85" s="108"/>
      <c r="D85" s="108"/>
      <c r="E85" s="108"/>
      <c r="F85" s="108"/>
      <c r="G85" s="108"/>
      <c r="H85" s="127">
        <f>43.68*0.75</f>
        <v>32.76</v>
      </c>
      <c r="I85" s="109" t="s">
        <v>24</v>
      </c>
    </row>
    <row r="86" spans="1:25" s="64" customFormat="1" ht="19.8" x14ac:dyDescent="0.5">
      <c r="A86" s="108"/>
      <c r="B86" s="108"/>
      <c r="C86" s="108"/>
      <c r="D86" s="108" t="s">
        <v>27</v>
      </c>
      <c r="E86" s="108"/>
      <c r="F86" s="108"/>
      <c r="G86" s="109" t="s">
        <v>17</v>
      </c>
      <c r="H86" s="114">
        <f>H84+H85</f>
        <v>565.83799999999997</v>
      </c>
      <c r="I86" s="109" t="s">
        <v>24</v>
      </c>
    </row>
    <row r="87" spans="1:25" s="64" customFormat="1" ht="20.399999999999999" thickBot="1" x14ac:dyDescent="0.55000000000000004">
      <c r="A87" s="108"/>
      <c r="B87" s="108"/>
      <c r="C87" s="108"/>
      <c r="D87" s="108"/>
      <c r="E87" s="113" t="s">
        <v>38</v>
      </c>
      <c r="F87" s="108"/>
      <c r="G87" s="109" t="s">
        <v>17</v>
      </c>
      <c r="H87" s="112">
        <f>H86</f>
        <v>565.83799999999997</v>
      </c>
      <c r="I87" s="109" t="s">
        <v>24</v>
      </c>
    </row>
    <row r="88" spans="1:25" s="64" customFormat="1" ht="20.399999999999999" thickTop="1" x14ac:dyDescent="0.5"/>
    <row r="89" spans="1:25" s="64" customFormat="1" ht="19.8" x14ac:dyDescent="0.5"/>
    <row r="90" spans="1:25" s="64" customFormat="1" ht="19.8" x14ac:dyDescent="0.5"/>
    <row r="91" spans="1:25" s="64" customFormat="1" ht="19.8" x14ac:dyDescent="0.5">
      <c r="G91" s="109"/>
      <c r="L91" s="102" t="s">
        <v>267</v>
      </c>
    </row>
    <row r="92" spans="1:25" s="64" customFormat="1" ht="20.399999999999999" x14ac:dyDescent="0.55000000000000004">
      <c r="A92" s="107"/>
      <c r="B92" s="108"/>
      <c r="C92" s="108"/>
      <c r="D92" s="108"/>
      <c r="E92" s="108"/>
      <c r="F92" s="108"/>
    </row>
    <row r="93" spans="1:25" s="64" customFormat="1" ht="20.399999999999999" x14ac:dyDescent="0.55000000000000004">
      <c r="A93" s="107" t="s">
        <v>268</v>
      </c>
      <c r="B93" s="108"/>
      <c r="C93" s="108"/>
      <c r="D93" s="108"/>
      <c r="E93" s="108"/>
      <c r="F93" s="108"/>
      <c r="G93" s="128"/>
      <c r="J93" s="129" t="s">
        <v>35</v>
      </c>
      <c r="K93" s="130">
        <v>15</v>
      </c>
      <c r="L93" s="123" t="s">
        <v>21</v>
      </c>
      <c r="N93" s="107" t="s">
        <v>268</v>
      </c>
      <c r="O93" s="108"/>
      <c r="P93" s="108"/>
      <c r="Q93" s="108"/>
      <c r="R93" s="108"/>
      <c r="S93" s="108"/>
      <c r="T93" s="128"/>
      <c r="W93" s="129" t="s">
        <v>35</v>
      </c>
      <c r="X93" s="130">
        <v>15</v>
      </c>
      <c r="Y93" s="123" t="s">
        <v>21</v>
      </c>
    </row>
    <row r="94" spans="1:25" s="64" customFormat="1" ht="19.8" x14ac:dyDescent="0.5">
      <c r="A94" s="108" t="s">
        <v>269</v>
      </c>
      <c r="B94" s="108"/>
      <c r="C94" s="131">
        <v>1</v>
      </c>
      <c r="D94" s="132" t="s">
        <v>258</v>
      </c>
      <c r="E94" s="132"/>
      <c r="F94" s="109" t="s">
        <v>270</v>
      </c>
      <c r="G94" s="131">
        <v>10</v>
      </c>
      <c r="H94" s="132" t="s">
        <v>258</v>
      </c>
      <c r="I94" s="133"/>
      <c r="J94" s="109" t="s">
        <v>271</v>
      </c>
      <c r="K94" s="134">
        <f>$C$38*$G$38</f>
        <v>0</v>
      </c>
      <c r="L94" s="65" t="s">
        <v>8</v>
      </c>
      <c r="N94" s="108" t="s">
        <v>269</v>
      </c>
      <c r="O94" s="108"/>
      <c r="P94" s="131">
        <v>1.2</v>
      </c>
      <c r="Q94" s="132" t="s">
        <v>258</v>
      </c>
      <c r="R94" s="132"/>
      <c r="S94" s="109" t="s">
        <v>270</v>
      </c>
      <c r="T94" s="131">
        <v>10</v>
      </c>
      <c r="U94" s="132" t="s">
        <v>258</v>
      </c>
      <c r="V94" s="133"/>
      <c r="W94" s="109" t="s">
        <v>271</v>
      </c>
      <c r="X94" s="134">
        <f>P94*T94</f>
        <v>12</v>
      </c>
      <c r="Y94" s="65" t="s">
        <v>8</v>
      </c>
    </row>
    <row r="95" spans="1:25" s="64" customFormat="1" ht="19.8" x14ac:dyDescent="0.5">
      <c r="A95" s="108" t="s">
        <v>272</v>
      </c>
      <c r="B95" s="108"/>
      <c r="C95" s="108"/>
      <c r="D95" s="108"/>
      <c r="G95" s="135"/>
      <c r="I95" s="108"/>
      <c r="J95" s="109" t="s">
        <v>271</v>
      </c>
      <c r="K95" s="127">
        <f>1*1449*0.15</f>
        <v>217.35</v>
      </c>
      <c r="L95" s="136" t="s">
        <v>6</v>
      </c>
      <c r="N95" s="108" t="s">
        <v>272</v>
      </c>
      <c r="O95" s="108"/>
      <c r="P95" s="108"/>
      <c r="Q95" s="108"/>
      <c r="T95" s="135"/>
      <c r="V95" s="108"/>
      <c r="W95" s="109" t="s">
        <v>271</v>
      </c>
      <c r="X95" s="127">
        <f>1.2*756*0.15</f>
        <v>136.07999999999998</v>
      </c>
      <c r="Y95" s="136" t="s">
        <v>6</v>
      </c>
    </row>
    <row r="96" spans="1:25" s="64" customFormat="1" ht="19.8" x14ac:dyDescent="0.5">
      <c r="A96" s="108" t="s">
        <v>273</v>
      </c>
      <c r="B96" s="108"/>
      <c r="C96" s="108"/>
      <c r="D96" s="350">
        <v>150000</v>
      </c>
      <c r="E96" s="350"/>
      <c r="F96" s="109" t="s">
        <v>33</v>
      </c>
      <c r="G96" s="351">
        <f>IF($G$39&lt;5000,5000,$G$38)</f>
        <v>5000</v>
      </c>
      <c r="H96" s="351"/>
      <c r="I96" s="108"/>
      <c r="J96" s="109" t="s">
        <v>271</v>
      </c>
      <c r="K96" s="137">
        <v>0</v>
      </c>
      <c r="L96" s="109" t="s">
        <v>24</v>
      </c>
      <c r="N96" s="108" t="s">
        <v>273</v>
      </c>
      <c r="O96" s="108"/>
      <c r="P96" s="108"/>
      <c r="Q96" s="350">
        <v>150000</v>
      </c>
      <c r="R96" s="350"/>
      <c r="S96" s="109" t="s">
        <v>33</v>
      </c>
      <c r="T96" s="351">
        <f>IF($G$39&lt;5000,5000,$G$38)</f>
        <v>5000</v>
      </c>
      <c r="U96" s="351"/>
      <c r="V96" s="108"/>
      <c r="W96" s="109" t="s">
        <v>271</v>
      </c>
      <c r="X96" s="137">
        <v>0</v>
      </c>
      <c r="Y96" s="109" t="s">
        <v>24</v>
      </c>
    </row>
    <row r="97" spans="1:25" s="64" customFormat="1" ht="19.8" x14ac:dyDescent="0.5">
      <c r="A97" s="108" t="s">
        <v>274</v>
      </c>
      <c r="B97" s="108"/>
      <c r="C97" s="108"/>
      <c r="D97" s="136"/>
      <c r="E97" s="136"/>
      <c r="F97" s="109"/>
      <c r="G97" s="138"/>
      <c r="H97" s="138"/>
      <c r="I97" s="108"/>
      <c r="J97" s="109"/>
      <c r="K97" s="139"/>
      <c r="L97" s="109"/>
      <c r="N97" s="108" t="s">
        <v>274</v>
      </c>
      <c r="O97" s="108"/>
      <c r="P97" s="108"/>
      <c r="Q97" s="136"/>
      <c r="R97" s="136"/>
      <c r="S97" s="109"/>
      <c r="T97" s="138"/>
      <c r="U97" s="138"/>
      <c r="V97" s="108"/>
      <c r="W97" s="109"/>
      <c r="X97" s="139"/>
      <c r="Y97" s="109"/>
    </row>
    <row r="98" spans="1:25" s="64" customFormat="1" ht="21.75" customHeight="1" x14ac:dyDescent="0.5">
      <c r="A98" s="108" t="s">
        <v>275</v>
      </c>
      <c r="B98" s="108"/>
      <c r="C98" s="108"/>
      <c r="D98" s="109" t="s">
        <v>17</v>
      </c>
      <c r="F98" s="140"/>
      <c r="G98" s="109" t="s">
        <v>40</v>
      </c>
      <c r="H98" s="117">
        <v>30</v>
      </c>
      <c r="I98" s="114"/>
      <c r="J98" s="109" t="s">
        <v>271</v>
      </c>
      <c r="K98" s="141">
        <v>1775.7</v>
      </c>
      <c r="L98" s="109" t="s">
        <v>24</v>
      </c>
      <c r="N98" s="108" t="s">
        <v>275</v>
      </c>
      <c r="O98" s="108"/>
      <c r="P98" s="108"/>
      <c r="Q98" s="109" t="s">
        <v>17</v>
      </c>
      <c r="S98" s="140"/>
      <c r="T98" s="109" t="s">
        <v>40</v>
      </c>
      <c r="U98" s="117">
        <v>30</v>
      </c>
      <c r="V98" s="114"/>
      <c r="W98" s="109" t="s">
        <v>271</v>
      </c>
      <c r="X98" s="141">
        <v>1775.7</v>
      </c>
      <c r="Y98" s="109" t="s">
        <v>24</v>
      </c>
    </row>
    <row r="99" spans="1:25" s="64" customFormat="1" ht="21.75" customHeight="1" x14ac:dyDescent="0.55000000000000004">
      <c r="A99" s="108" t="s">
        <v>222</v>
      </c>
      <c r="B99" s="108"/>
      <c r="C99" s="108"/>
      <c r="D99" s="108"/>
      <c r="E99" s="114"/>
      <c r="F99" s="142">
        <f>K94</f>
        <v>0</v>
      </c>
      <c r="G99" s="108" t="s">
        <v>276</v>
      </c>
      <c r="H99" s="128"/>
      <c r="I99" s="128"/>
      <c r="J99" s="109" t="s">
        <v>271</v>
      </c>
      <c r="K99" s="127">
        <f>K94</f>
        <v>0</v>
      </c>
      <c r="L99" s="109" t="s">
        <v>276</v>
      </c>
      <c r="N99" s="108" t="s">
        <v>222</v>
      </c>
      <c r="O99" s="108"/>
      <c r="P99" s="108"/>
      <c r="Q99" s="108"/>
      <c r="R99" s="114"/>
      <c r="S99" s="142">
        <f>X94</f>
        <v>12</v>
      </c>
      <c r="T99" s="108" t="s">
        <v>276</v>
      </c>
      <c r="U99" s="128"/>
      <c r="V99" s="128"/>
      <c r="W99" s="109" t="s">
        <v>271</v>
      </c>
      <c r="X99" s="127">
        <f>X94</f>
        <v>12</v>
      </c>
      <c r="Y99" s="109" t="s">
        <v>276</v>
      </c>
    </row>
    <row r="100" spans="1:25" s="64" customFormat="1" ht="21.75" customHeight="1" x14ac:dyDescent="0.55000000000000004">
      <c r="A100" s="108" t="s">
        <v>277</v>
      </c>
      <c r="B100" s="108"/>
      <c r="C100" s="109" t="s">
        <v>271</v>
      </c>
      <c r="D100" s="117">
        <f>K94</f>
        <v>0</v>
      </c>
      <c r="E100" s="143" t="s">
        <v>22</v>
      </c>
      <c r="F100" s="117">
        <f>K93</f>
        <v>15</v>
      </c>
      <c r="G100" s="109" t="s">
        <v>33</v>
      </c>
      <c r="H100" s="131">
        <v>100</v>
      </c>
      <c r="I100" s="128"/>
      <c r="J100" s="109" t="s">
        <v>271</v>
      </c>
      <c r="K100" s="127" t="e">
        <f>$D$44*$F$44/100</f>
        <v>#VALUE!</v>
      </c>
      <c r="L100" s="136" t="s">
        <v>6</v>
      </c>
      <c r="N100" s="108" t="s">
        <v>277</v>
      </c>
      <c r="O100" s="108"/>
      <c r="P100" s="109" t="s">
        <v>271</v>
      </c>
      <c r="Q100" s="117">
        <f>X94</f>
        <v>12</v>
      </c>
      <c r="R100" s="143" t="s">
        <v>22</v>
      </c>
      <c r="S100" s="117">
        <f>X93</f>
        <v>15</v>
      </c>
      <c r="T100" s="109" t="s">
        <v>33</v>
      </c>
      <c r="U100" s="131">
        <v>100</v>
      </c>
      <c r="V100" s="128"/>
      <c r="W100" s="109" t="s">
        <v>271</v>
      </c>
      <c r="X100" s="127">
        <f>Q100*S100/U100</f>
        <v>1.8</v>
      </c>
      <c r="Y100" s="136" t="s">
        <v>6</v>
      </c>
    </row>
    <row r="101" spans="1:25" s="64" customFormat="1" ht="19.8" x14ac:dyDescent="0.5">
      <c r="A101" s="108" t="s">
        <v>275</v>
      </c>
      <c r="B101" s="108"/>
      <c r="C101" s="108"/>
      <c r="D101" s="144" t="e">
        <f>K100</f>
        <v>#VALUE!</v>
      </c>
      <c r="E101" s="136" t="s">
        <v>25</v>
      </c>
      <c r="F101" s="145">
        <f>K98</f>
        <v>1775.7</v>
      </c>
      <c r="G101" s="352"/>
      <c r="H101" s="352"/>
      <c r="I101" s="108"/>
      <c r="J101" s="109" t="s">
        <v>271</v>
      </c>
      <c r="K101" s="146" t="e">
        <f>$D$45*$F$45</f>
        <v>#VALUE!</v>
      </c>
      <c r="L101" s="109" t="s">
        <v>32</v>
      </c>
      <c r="N101" s="108" t="s">
        <v>275</v>
      </c>
      <c r="O101" s="108"/>
      <c r="P101" s="108"/>
      <c r="Q101" s="144">
        <f>X100</f>
        <v>1.8</v>
      </c>
      <c r="R101" s="136" t="s">
        <v>25</v>
      </c>
      <c r="S101" s="145">
        <f>X98</f>
        <v>1775.7</v>
      </c>
      <c r="T101" s="352"/>
      <c r="U101" s="352"/>
      <c r="V101" s="108"/>
      <c r="W101" s="109" t="s">
        <v>271</v>
      </c>
      <c r="X101" s="146">
        <f>Q101*S101</f>
        <v>3196.26</v>
      </c>
      <c r="Y101" s="109" t="s">
        <v>32</v>
      </c>
    </row>
    <row r="102" spans="1:25" s="64" customFormat="1" ht="19.8" x14ac:dyDescent="0.5">
      <c r="A102" s="108" t="s">
        <v>278</v>
      </c>
      <c r="B102" s="108"/>
      <c r="C102" s="114"/>
      <c r="D102" s="136"/>
      <c r="E102" s="109"/>
      <c r="F102" s="109"/>
      <c r="G102" s="136"/>
      <c r="H102" s="136"/>
      <c r="I102" s="108"/>
      <c r="J102" s="109"/>
      <c r="K102" s="147"/>
      <c r="L102" s="109"/>
      <c r="N102" s="108" t="s">
        <v>278</v>
      </c>
      <c r="O102" s="108"/>
      <c r="P102" s="114"/>
      <c r="Q102" s="136"/>
      <c r="R102" s="109"/>
      <c r="S102" s="109"/>
      <c r="T102" s="136"/>
      <c r="U102" s="136"/>
      <c r="V102" s="108"/>
      <c r="W102" s="109"/>
      <c r="X102" s="147"/>
      <c r="Y102" s="109"/>
    </row>
    <row r="103" spans="1:25" s="64" customFormat="1" ht="19.8" x14ac:dyDescent="0.5">
      <c r="C103" s="109" t="s">
        <v>271</v>
      </c>
      <c r="D103" s="148">
        <v>1</v>
      </c>
      <c r="E103" s="143" t="s">
        <v>22</v>
      </c>
      <c r="F103" s="131">
        <v>13.96</v>
      </c>
      <c r="G103" s="143" t="s">
        <v>22</v>
      </c>
      <c r="H103" s="149" t="e">
        <f>K100</f>
        <v>#VALUE!</v>
      </c>
      <c r="I103" s="108"/>
      <c r="J103" s="109" t="s">
        <v>17</v>
      </c>
      <c r="K103" s="150" t="e">
        <f>$D$47*$F$47*$H$47</f>
        <v>#VALUE!</v>
      </c>
      <c r="L103" s="109" t="s">
        <v>32</v>
      </c>
      <c r="P103" s="109" t="s">
        <v>271</v>
      </c>
      <c r="Q103" s="148">
        <v>1</v>
      </c>
      <c r="R103" s="143" t="s">
        <v>22</v>
      </c>
      <c r="S103" s="131">
        <v>13.96</v>
      </c>
      <c r="T103" s="143" t="s">
        <v>22</v>
      </c>
      <c r="U103" s="149">
        <f>X100</f>
        <v>1.8</v>
      </c>
      <c r="V103" s="108"/>
      <c r="W103" s="109" t="s">
        <v>17</v>
      </c>
      <c r="X103" s="150">
        <f>Q103*S103*U103</f>
        <v>25.128000000000004</v>
      </c>
      <c r="Y103" s="109" t="s">
        <v>32</v>
      </c>
    </row>
    <row r="104" spans="1:25" s="64" customFormat="1" ht="19.8" x14ac:dyDescent="0.5">
      <c r="A104" s="108" t="s">
        <v>279</v>
      </c>
      <c r="B104" s="108"/>
      <c r="C104" s="149">
        <f>K99</f>
        <v>0</v>
      </c>
      <c r="D104" s="109" t="s">
        <v>276</v>
      </c>
      <c r="E104" s="143" t="s">
        <v>22</v>
      </c>
      <c r="F104" s="117">
        <f>[1]ข้อมูลราคาวัสดุ!J77</f>
        <v>0</v>
      </c>
      <c r="G104" s="349" t="s">
        <v>34</v>
      </c>
      <c r="H104" s="349"/>
      <c r="J104" s="109" t="s">
        <v>17</v>
      </c>
      <c r="K104" s="151">
        <f>$C$48*$F$48</f>
        <v>0</v>
      </c>
      <c r="L104" s="109" t="s">
        <v>32</v>
      </c>
      <c r="M104" s="108"/>
      <c r="N104" s="108" t="s">
        <v>279</v>
      </c>
      <c r="O104" s="108"/>
      <c r="P104" s="149">
        <f>X99</f>
        <v>12</v>
      </c>
      <c r="Q104" s="109" t="s">
        <v>276</v>
      </c>
      <c r="R104" s="143" t="s">
        <v>22</v>
      </c>
      <c r="S104" s="117">
        <v>28</v>
      </c>
      <c r="T104" s="349" t="s">
        <v>34</v>
      </c>
      <c r="U104" s="349"/>
      <c r="W104" s="109" t="s">
        <v>17</v>
      </c>
      <c r="X104" s="151">
        <f>P104*S104</f>
        <v>336</v>
      </c>
      <c r="Y104" s="109" t="s">
        <v>32</v>
      </c>
    </row>
    <row r="105" spans="1:25" s="64" customFormat="1" ht="19.8" x14ac:dyDescent="0.5">
      <c r="A105" s="108" t="s">
        <v>280</v>
      </c>
      <c r="B105" s="108"/>
      <c r="C105" s="149">
        <f>K99</f>
        <v>0</v>
      </c>
      <c r="D105" s="109" t="s">
        <v>276</v>
      </c>
      <c r="E105" s="143" t="s">
        <v>22</v>
      </c>
      <c r="F105" s="117">
        <v>5</v>
      </c>
      <c r="G105" s="349" t="s">
        <v>34</v>
      </c>
      <c r="H105" s="349"/>
      <c r="J105" s="109" t="s">
        <v>17</v>
      </c>
      <c r="K105" s="151">
        <f>$C$49*$F$49</f>
        <v>0</v>
      </c>
      <c r="L105" s="109" t="s">
        <v>32</v>
      </c>
      <c r="M105" s="108"/>
      <c r="N105" s="108" t="s">
        <v>280</v>
      </c>
      <c r="O105" s="108"/>
      <c r="P105" s="149">
        <f>X99</f>
        <v>12</v>
      </c>
      <c r="Q105" s="109" t="s">
        <v>276</v>
      </c>
      <c r="R105" s="143" t="s">
        <v>22</v>
      </c>
      <c r="S105" s="117">
        <v>5</v>
      </c>
      <c r="T105" s="349" t="s">
        <v>34</v>
      </c>
      <c r="U105" s="349"/>
      <c r="W105" s="109" t="s">
        <v>17</v>
      </c>
      <c r="X105" s="151">
        <f>P105*S105</f>
        <v>60</v>
      </c>
      <c r="Y105" s="109" t="s">
        <v>32</v>
      </c>
    </row>
    <row r="106" spans="1:25" s="64" customFormat="1" ht="19.8" x14ac:dyDescent="0.5">
      <c r="A106" s="108" t="s">
        <v>281</v>
      </c>
      <c r="B106" s="108"/>
      <c r="C106" s="109"/>
      <c r="F106" s="117">
        <v>21.94</v>
      </c>
      <c r="G106" s="143" t="s">
        <v>22</v>
      </c>
      <c r="H106" s="117">
        <f>G94</f>
        <v>10</v>
      </c>
      <c r="J106" s="109" t="s">
        <v>17</v>
      </c>
      <c r="K106" s="152">
        <f>$F$50*$H$50</f>
        <v>0</v>
      </c>
      <c r="L106" s="109" t="s">
        <v>32</v>
      </c>
      <c r="M106" s="108"/>
      <c r="N106" s="108" t="s">
        <v>281</v>
      </c>
      <c r="O106" s="108"/>
      <c r="P106" s="109"/>
      <c r="S106" s="117">
        <v>21.94</v>
      </c>
      <c r="T106" s="143" t="s">
        <v>22</v>
      </c>
      <c r="U106" s="117">
        <f>T94</f>
        <v>10</v>
      </c>
      <c r="W106" s="109" t="s">
        <v>17</v>
      </c>
      <c r="X106" s="152">
        <f>$F$50*$H$50</f>
        <v>0</v>
      </c>
      <c r="Y106" s="109" t="s">
        <v>32</v>
      </c>
    </row>
    <row r="107" spans="1:25" s="64" customFormat="1" ht="19.8" x14ac:dyDescent="0.5">
      <c r="A107" s="108" t="s">
        <v>282</v>
      </c>
      <c r="B107" s="108"/>
      <c r="C107" s="108"/>
      <c r="F107" s="117">
        <v>12.84</v>
      </c>
      <c r="G107" s="65" t="s">
        <v>22</v>
      </c>
      <c r="H107" s="148">
        <f>K99</f>
        <v>0</v>
      </c>
      <c r="J107" s="109" t="s">
        <v>17</v>
      </c>
      <c r="K107" s="119">
        <f>$F$51*$H$51</f>
        <v>0</v>
      </c>
      <c r="L107" s="109" t="s">
        <v>32</v>
      </c>
      <c r="M107" s="108"/>
      <c r="N107" s="108" t="s">
        <v>282</v>
      </c>
      <c r="O107" s="108"/>
      <c r="P107" s="108"/>
      <c r="S107" s="117">
        <v>12.84</v>
      </c>
      <c r="T107" s="65" t="s">
        <v>22</v>
      </c>
      <c r="U107" s="148">
        <f>X99</f>
        <v>12</v>
      </c>
      <c r="W107" s="109" t="s">
        <v>17</v>
      </c>
      <c r="X107" s="119">
        <f>$F$51*$H$51</f>
        <v>0</v>
      </c>
      <c r="Y107" s="109" t="s">
        <v>32</v>
      </c>
    </row>
    <row r="108" spans="1:25" s="64" customFormat="1" ht="19.8" x14ac:dyDescent="0.5">
      <c r="A108" s="108" t="s">
        <v>283</v>
      </c>
      <c r="B108" s="108"/>
      <c r="C108" s="108"/>
      <c r="F108" s="117">
        <v>9</v>
      </c>
      <c r="G108" s="65" t="s">
        <v>22</v>
      </c>
      <c r="H108" s="148">
        <f>K99</f>
        <v>0</v>
      </c>
      <c r="J108" s="109" t="s">
        <v>17</v>
      </c>
      <c r="K108" s="119">
        <f>$F$52*$H$52</f>
        <v>0</v>
      </c>
      <c r="L108" s="109" t="s">
        <v>32</v>
      </c>
      <c r="M108" s="108"/>
      <c r="N108" s="108" t="s">
        <v>283</v>
      </c>
      <c r="O108" s="108"/>
      <c r="P108" s="108"/>
      <c r="S108" s="117">
        <v>9</v>
      </c>
      <c r="T108" s="65" t="s">
        <v>22</v>
      </c>
      <c r="U108" s="148">
        <f>X99</f>
        <v>12</v>
      </c>
      <c r="W108" s="109" t="s">
        <v>17</v>
      </c>
      <c r="X108" s="119">
        <f>$F$52*$H$52</f>
        <v>0</v>
      </c>
      <c r="Y108" s="109" t="s">
        <v>32</v>
      </c>
    </row>
    <row r="109" spans="1:25" s="64" customFormat="1" ht="19.8" x14ac:dyDescent="0.5">
      <c r="A109" s="108" t="s">
        <v>27</v>
      </c>
      <c r="B109" s="108"/>
      <c r="C109" s="108"/>
      <c r="D109" s="108"/>
      <c r="E109" s="108"/>
      <c r="F109" s="108"/>
      <c r="J109" s="109" t="s">
        <v>17</v>
      </c>
      <c r="K109" s="121" t="e">
        <f>SUM(K101:K103)+K104+K105+K106+K107+K108</f>
        <v>#VALUE!</v>
      </c>
      <c r="L109" s="109" t="s">
        <v>32</v>
      </c>
      <c r="M109" s="108"/>
      <c r="N109" s="108" t="s">
        <v>27</v>
      </c>
      <c r="O109" s="108"/>
      <c r="P109" s="108"/>
      <c r="Q109" s="108"/>
      <c r="R109" s="108"/>
      <c r="S109" s="108"/>
      <c r="W109" s="109" t="s">
        <v>17</v>
      </c>
      <c r="X109" s="121">
        <f>SUM(X101:X103)+X104+X105+X106+X107+X108</f>
        <v>3617.3880000000004</v>
      </c>
      <c r="Y109" s="109" t="s">
        <v>32</v>
      </c>
    </row>
    <row r="110" spans="1:25" s="64" customFormat="1" ht="20.399999999999999" thickBot="1" x14ac:dyDescent="0.55000000000000004">
      <c r="A110" s="132" t="s">
        <v>38</v>
      </c>
      <c r="B110" s="108"/>
      <c r="C110" s="108"/>
      <c r="D110" s="153" t="e">
        <f>K109</f>
        <v>#VALUE!</v>
      </c>
      <c r="E110" s="154" t="s">
        <v>33</v>
      </c>
      <c r="F110" s="117">
        <f>K94</f>
        <v>0</v>
      </c>
      <c r="J110" s="109" t="s">
        <v>17</v>
      </c>
      <c r="K110" s="122" t="e">
        <f>D110/F110</f>
        <v>#VALUE!</v>
      </c>
      <c r="L110" s="109" t="s">
        <v>34</v>
      </c>
      <c r="M110" s="108"/>
      <c r="N110" s="132" t="s">
        <v>38</v>
      </c>
      <c r="O110" s="108"/>
      <c r="P110" s="108"/>
      <c r="Q110" s="153">
        <f>X109</f>
        <v>3617.3880000000004</v>
      </c>
      <c r="R110" s="154" t="s">
        <v>33</v>
      </c>
      <c r="S110" s="117">
        <f>X94</f>
        <v>12</v>
      </c>
      <c r="W110" s="109" t="s">
        <v>17</v>
      </c>
      <c r="X110" s="122">
        <f>Q110/S110</f>
        <v>301.44900000000001</v>
      </c>
      <c r="Y110" s="109" t="s">
        <v>34</v>
      </c>
    </row>
    <row r="111" spans="1:25" s="64" customFormat="1" ht="20.399999999999999" thickTop="1" x14ac:dyDescent="0.5">
      <c r="A111" s="132"/>
      <c r="B111" s="108"/>
      <c r="C111" s="108"/>
      <c r="D111" s="116"/>
      <c r="E111" s="154"/>
      <c r="F111" s="154"/>
      <c r="G111" s="109"/>
      <c r="H111" s="115"/>
      <c r="I111" s="109"/>
      <c r="J111" s="108"/>
      <c r="K111" s="108"/>
      <c r="L111" s="108"/>
      <c r="M111" s="108"/>
    </row>
    <row r="112" spans="1:25" s="64" customFormat="1" ht="19.8" x14ac:dyDescent="0.5">
      <c r="A112" s="132"/>
      <c r="B112" s="108"/>
      <c r="C112" s="108"/>
      <c r="D112" s="116"/>
      <c r="E112" s="154"/>
      <c r="F112" s="154"/>
      <c r="G112" s="109"/>
      <c r="H112" s="115"/>
      <c r="I112" s="109"/>
      <c r="J112" s="108"/>
      <c r="K112" s="108"/>
      <c r="L112" s="108"/>
      <c r="M112" s="108"/>
    </row>
    <row r="113" spans="1:13" s="64" customFormat="1" ht="20.399999999999999" x14ac:dyDescent="0.55000000000000004">
      <c r="A113" s="107" t="s">
        <v>284</v>
      </c>
      <c r="B113" s="108"/>
      <c r="C113" s="108"/>
      <c r="D113" s="108"/>
      <c r="E113" s="108"/>
      <c r="F113" s="108"/>
      <c r="G113" s="108"/>
      <c r="H113" s="108"/>
      <c r="I113" s="108"/>
      <c r="J113" s="108"/>
      <c r="K113" s="108"/>
      <c r="L113" s="108"/>
      <c r="M113" s="108"/>
    </row>
    <row r="114" spans="1:13" s="64" customFormat="1" ht="19.8" x14ac:dyDescent="0.5">
      <c r="A114" s="108" t="s">
        <v>285</v>
      </c>
      <c r="B114" s="108"/>
      <c r="C114" s="108"/>
      <c r="D114" s="117">
        <v>1</v>
      </c>
      <c r="E114" s="108" t="s">
        <v>286</v>
      </c>
      <c r="F114" s="108"/>
      <c r="G114" s="108"/>
      <c r="H114" s="108"/>
      <c r="I114" s="108"/>
      <c r="J114" s="108"/>
      <c r="K114" s="108"/>
      <c r="L114" s="108"/>
      <c r="M114" s="108"/>
    </row>
    <row r="115" spans="1:13" s="64" customFormat="1" ht="19.8" x14ac:dyDescent="0.5">
      <c r="A115" s="108" t="s">
        <v>287</v>
      </c>
      <c r="B115" s="108"/>
      <c r="C115" s="108"/>
      <c r="D115" s="155">
        <f>((D114/0.5)*0.5)*1.39</f>
        <v>1.39</v>
      </c>
      <c r="E115" s="109" t="s">
        <v>7</v>
      </c>
      <c r="F115" s="109" t="s">
        <v>25</v>
      </c>
      <c r="H115" s="156">
        <f>20771.41/1000</f>
        <v>20.771409999999999</v>
      </c>
      <c r="I115" s="65" t="s">
        <v>37</v>
      </c>
      <c r="J115" s="109" t="s">
        <v>271</v>
      </c>
      <c r="K115" s="157">
        <f t="shared" ref="K115:K121" si="2">D115*H115</f>
        <v>28.872259899999996</v>
      </c>
      <c r="L115" s="109" t="s">
        <v>32</v>
      </c>
      <c r="M115" s="108"/>
    </row>
    <row r="116" spans="1:13" s="64" customFormat="1" ht="19.8" x14ac:dyDescent="0.5">
      <c r="A116" s="108" t="s">
        <v>288</v>
      </c>
      <c r="B116" s="108"/>
      <c r="C116" s="108"/>
      <c r="D116" s="155">
        <f>D114/0.5</f>
        <v>2</v>
      </c>
      <c r="E116" s="109" t="s">
        <v>42</v>
      </c>
      <c r="F116" s="109" t="s">
        <v>25</v>
      </c>
      <c r="H116" s="155">
        <v>10</v>
      </c>
      <c r="J116" s="109" t="s">
        <v>271</v>
      </c>
      <c r="K116" s="157">
        <f t="shared" si="2"/>
        <v>20</v>
      </c>
      <c r="L116" s="109" t="s">
        <v>32</v>
      </c>
      <c r="M116" s="108"/>
    </row>
    <row r="117" spans="1:13" s="64" customFormat="1" ht="19.8" x14ac:dyDescent="0.5">
      <c r="A117" s="108" t="s">
        <v>289</v>
      </c>
      <c r="B117" s="108"/>
      <c r="C117" s="108"/>
      <c r="D117" s="155" t="e">
        <f>$D$58*$K$37/100</f>
        <v>#VALUE!</v>
      </c>
      <c r="E117" s="109" t="s">
        <v>8</v>
      </c>
      <c r="F117" s="109" t="s">
        <v>25</v>
      </c>
      <c r="H117" s="155">
        <v>400</v>
      </c>
      <c r="J117" s="109" t="s">
        <v>271</v>
      </c>
      <c r="K117" s="157" t="e">
        <f t="shared" si="2"/>
        <v>#VALUE!</v>
      </c>
      <c r="L117" s="109" t="s">
        <v>32</v>
      </c>
      <c r="M117" s="108"/>
    </row>
    <row r="118" spans="1:13" s="64" customFormat="1" ht="19.8" x14ac:dyDescent="0.5">
      <c r="A118" s="108" t="s">
        <v>290</v>
      </c>
      <c r="B118" s="108"/>
      <c r="C118" s="108"/>
      <c r="D118" s="158">
        <f>D114*0.025*0.025</f>
        <v>6.2500000000000012E-4</v>
      </c>
      <c r="E118" s="109" t="s">
        <v>291</v>
      </c>
      <c r="F118" s="109" t="s">
        <v>25</v>
      </c>
      <c r="H118" s="155">
        <v>45</v>
      </c>
      <c r="J118" s="109" t="s">
        <v>271</v>
      </c>
      <c r="K118" s="159">
        <f t="shared" si="2"/>
        <v>2.8125000000000004E-2</v>
      </c>
      <c r="L118" s="109" t="s">
        <v>32</v>
      </c>
      <c r="M118" s="108"/>
    </row>
    <row r="119" spans="1:13" s="64" customFormat="1" ht="19.8" x14ac:dyDescent="0.5">
      <c r="A119" s="108" t="s">
        <v>292</v>
      </c>
      <c r="B119" s="108"/>
      <c r="C119" s="108"/>
      <c r="D119" s="155">
        <f>D114</f>
        <v>1</v>
      </c>
      <c r="E119" s="109" t="s">
        <v>43</v>
      </c>
      <c r="F119" s="109" t="s">
        <v>25</v>
      </c>
      <c r="H119" s="155">
        <v>13.43</v>
      </c>
      <c r="J119" s="109" t="s">
        <v>271</v>
      </c>
      <c r="K119" s="159">
        <f t="shared" si="2"/>
        <v>13.43</v>
      </c>
      <c r="L119" s="109" t="s">
        <v>32</v>
      </c>
      <c r="M119" s="108"/>
    </row>
    <row r="120" spans="1:13" s="64" customFormat="1" ht="19.8" x14ac:dyDescent="0.5">
      <c r="A120" s="108" t="s">
        <v>293</v>
      </c>
      <c r="B120" s="108"/>
      <c r="C120" s="108"/>
      <c r="D120" s="155">
        <v>0</v>
      </c>
      <c r="E120" s="109" t="s">
        <v>43</v>
      </c>
      <c r="F120" s="109" t="s">
        <v>25</v>
      </c>
      <c r="H120" s="155">
        <v>0</v>
      </c>
      <c r="J120" s="109" t="s">
        <v>271</v>
      </c>
      <c r="K120" s="159">
        <f t="shared" si="2"/>
        <v>0</v>
      </c>
      <c r="L120" s="109" t="s">
        <v>32</v>
      </c>
      <c r="M120" s="108"/>
    </row>
    <row r="121" spans="1:13" s="64" customFormat="1" ht="19.8" x14ac:dyDescent="0.5">
      <c r="A121" s="108" t="s">
        <v>118</v>
      </c>
      <c r="B121" s="108"/>
      <c r="C121" s="108"/>
      <c r="D121" s="155" t="e">
        <f>$D$58*$K$37/100</f>
        <v>#VALUE!</v>
      </c>
      <c r="E121" s="109" t="s">
        <v>8</v>
      </c>
      <c r="F121" s="109" t="s">
        <v>25</v>
      </c>
      <c r="H121" s="155">
        <v>264.07</v>
      </c>
      <c r="J121" s="109" t="s">
        <v>271</v>
      </c>
      <c r="K121" s="160" t="e">
        <f t="shared" si="2"/>
        <v>#VALUE!</v>
      </c>
      <c r="L121" s="109" t="s">
        <v>32</v>
      </c>
      <c r="M121" s="108"/>
    </row>
    <row r="122" spans="1:13" s="64" customFormat="1" ht="19.8" x14ac:dyDescent="0.5">
      <c r="A122" s="108" t="s">
        <v>27</v>
      </c>
      <c r="B122" s="108"/>
      <c r="C122" s="108"/>
      <c r="D122" s="108"/>
      <c r="F122" s="108"/>
      <c r="G122" s="108"/>
      <c r="H122" s="108"/>
      <c r="J122" s="109" t="s">
        <v>271</v>
      </c>
      <c r="K122" s="127" t="e">
        <f>SUM(K115:K118)</f>
        <v>#VALUE!</v>
      </c>
      <c r="L122" s="109" t="s">
        <v>32</v>
      </c>
      <c r="M122" s="108"/>
    </row>
    <row r="123" spans="1:13" s="64" customFormat="1" ht="20.399999999999999" thickBot="1" x14ac:dyDescent="0.55000000000000004">
      <c r="A123" s="108" t="s">
        <v>38</v>
      </c>
      <c r="B123" s="108"/>
      <c r="C123" s="108"/>
      <c r="D123" s="148">
        <f>$K$66</f>
        <v>0</v>
      </c>
      <c r="E123" s="109" t="s">
        <v>33</v>
      </c>
      <c r="F123" s="148">
        <f>$D$58</f>
        <v>0</v>
      </c>
      <c r="H123" s="136"/>
      <c r="J123" s="109" t="s">
        <v>271</v>
      </c>
      <c r="K123" s="161" t="e">
        <f>ROUND(D123/F123,2)</f>
        <v>#DIV/0!</v>
      </c>
      <c r="L123" s="109" t="s">
        <v>294</v>
      </c>
      <c r="M123" s="108"/>
    </row>
    <row r="124" spans="1:13" s="64" customFormat="1" ht="20.399999999999999" thickTop="1" x14ac:dyDescent="0.5">
      <c r="A124" s="132"/>
      <c r="B124" s="108"/>
      <c r="C124" s="108"/>
      <c r="D124" s="116"/>
      <c r="E124" s="154"/>
      <c r="F124" s="154"/>
      <c r="G124" s="109"/>
      <c r="H124" s="115"/>
      <c r="I124" s="109"/>
      <c r="J124" s="108"/>
      <c r="K124" s="108"/>
      <c r="L124" s="108"/>
      <c r="M124" s="108"/>
    </row>
    <row r="125" spans="1:13" s="64" customFormat="1" ht="19.8" x14ac:dyDescent="0.5">
      <c r="A125" s="132"/>
      <c r="B125" s="108"/>
      <c r="C125" s="108"/>
      <c r="D125" s="116"/>
      <c r="E125" s="154"/>
      <c r="F125" s="154"/>
      <c r="G125" s="109"/>
      <c r="H125" s="115"/>
      <c r="I125" s="109"/>
      <c r="J125" s="108"/>
      <c r="K125" s="108"/>
      <c r="L125" s="108"/>
      <c r="M125" s="108"/>
    </row>
    <row r="126" spans="1:13" s="64" customFormat="1" ht="19.8" x14ac:dyDescent="0.5">
      <c r="A126" s="132"/>
      <c r="B126" s="108"/>
      <c r="C126" s="108"/>
      <c r="D126" s="116"/>
      <c r="E126" s="154"/>
      <c r="F126" s="154"/>
      <c r="G126" s="109"/>
      <c r="H126" s="115"/>
      <c r="I126" s="109"/>
      <c r="J126" s="108"/>
      <c r="K126" s="108"/>
      <c r="L126" s="108"/>
      <c r="M126" s="108"/>
    </row>
    <row r="127" spans="1:13" s="64" customFormat="1" ht="19.8" x14ac:dyDescent="0.5">
      <c r="A127" s="132"/>
      <c r="B127" s="108"/>
      <c r="C127" s="108"/>
      <c r="D127" s="116"/>
      <c r="E127" s="154"/>
      <c r="F127" s="154"/>
      <c r="G127" s="109"/>
      <c r="H127" s="115"/>
      <c r="I127" s="109"/>
      <c r="J127" s="108"/>
      <c r="K127" s="108"/>
      <c r="L127" s="108"/>
      <c r="M127" s="108"/>
    </row>
    <row r="128" spans="1:13" s="64" customFormat="1" ht="19.8" x14ac:dyDescent="0.5">
      <c r="A128" s="132"/>
      <c r="B128" s="108"/>
      <c r="C128" s="108"/>
      <c r="D128" s="116"/>
      <c r="E128" s="154"/>
      <c r="F128" s="154"/>
      <c r="G128" s="109"/>
      <c r="H128" s="115"/>
      <c r="I128" s="109"/>
      <c r="J128" s="108"/>
      <c r="K128" s="108"/>
      <c r="L128" s="102" t="s">
        <v>295</v>
      </c>
      <c r="M128" s="108"/>
    </row>
    <row r="129" spans="1:13" s="64" customFormat="1" ht="19.8" x14ac:dyDescent="0.5">
      <c r="A129" s="132"/>
      <c r="B129" s="108"/>
      <c r="C129" s="108"/>
      <c r="D129" s="116"/>
      <c r="E129" s="154"/>
      <c r="F129" s="154"/>
      <c r="G129" s="109"/>
      <c r="H129" s="115"/>
      <c r="I129" s="109"/>
      <c r="J129" s="108"/>
      <c r="K129" s="108"/>
      <c r="L129" s="102"/>
      <c r="M129" s="108"/>
    </row>
    <row r="130" spans="1:13" s="64" customFormat="1" ht="20.399999999999999" x14ac:dyDescent="0.55000000000000004">
      <c r="A130" s="107" t="s">
        <v>296</v>
      </c>
      <c r="B130" s="108"/>
      <c r="C130" s="108"/>
      <c r="D130" s="108"/>
      <c r="E130" s="108"/>
      <c r="F130" s="108"/>
      <c r="G130" s="108"/>
      <c r="H130" s="108"/>
      <c r="I130" s="108"/>
      <c r="J130" s="108"/>
      <c r="K130" s="108"/>
      <c r="L130" s="108"/>
      <c r="M130" s="108"/>
    </row>
    <row r="131" spans="1:13" s="64" customFormat="1" ht="19.8" x14ac:dyDescent="0.5">
      <c r="A131" s="108" t="s">
        <v>285</v>
      </c>
      <c r="B131" s="108"/>
      <c r="C131" s="108"/>
      <c r="D131" s="117">
        <v>1</v>
      </c>
      <c r="E131" s="108" t="s">
        <v>286</v>
      </c>
      <c r="F131" s="108"/>
      <c r="G131" s="108"/>
      <c r="H131" s="108"/>
      <c r="I131" s="108"/>
      <c r="J131" s="108"/>
      <c r="K131" s="108"/>
      <c r="L131" s="108"/>
      <c r="M131" s="108"/>
    </row>
    <row r="132" spans="1:13" s="64" customFormat="1" ht="19.8" x14ac:dyDescent="0.5">
      <c r="A132" s="108" t="s">
        <v>287</v>
      </c>
      <c r="B132" s="108"/>
      <c r="C132" s="108"/>
      <c r="D132" s="155">
        <f>((D131/0.5)*0.5)*1.39</f>
        <v>1.39</v>
      </c>
      <c r="E132" s="109" t="s">
        <v>7</v>
      </c>
      <c r="F132" s="109" t="s">
        <v>25</v>
      </c>
      <c r="H132" s="156">
        <f>24277.04/1000</f>
        <v>24.27704</v>
      </c>
      <c r="J132" s="109" t="s">
        <v>271</v>
      </c>
      <c r="K132" s="157">
        <f>D132*H132</f>
        <v>33.745085599999996</v>
      </c>
      <c r="L132" s="109" t="s">
        <v>32</v>
      </c>
      <c r="M132" s="108"/>
    </row>
    <row r="133" spans="1:13" s="64" customFormat="1" ht="19.8" x14ac:dyDescent="0.5">
      <c r="A133" s="108" t="s">
        <v>297</v>
      </c>
      <c r="B133" s="108"/>
      <c r="C133" s="108"/>
      <c r="D133" s="155">
        <f>$D$75</f>
        <v>0</v>
      </c>
      <c r="E133" s="109" t="s">
        <v>43</v>
      </c>
      <c r="F133" s="109" t="s">
        <v>25</v>
      </c>
      <c r="H133" s="155">
        <v>14.25</v>
      </c>
      <c r="J133" s="109" t="s">
        <v>271</v>
      </c>
      <c r="K133" s="157">
        <f>D133*H133</f>
        <v>0</v>
      </c>
      <c r="L133" s="109" t="s">
        <v>32</v>
      </c>
      <c r="M133" s="108"/>
    </row>
    <row r="134" spans="1:13" s="64" customFormat="1" ht="19.8" x14ac:dyDescent="0.5">
      <c r="A134" s="108" t="s">
        <v>298</v>
      </c>
      <c r="B134" s="108"/>
      <c r="C134" s="108"/>
      <c r="D134" s="155">
        <f>D131/0.5</f>
        <v>2</v>
      </c>
      <c r="E134" s="109" t="s">
        <v>42</v>
      </c>
      <c r="F134" s="109" t="s">
        <v>25</v>
      </c>
      <c r="H134" s="155">
        <v>4</v>
      </c>
      <c r="J134" s="109" t="s">
        <v>271</v>
      </c>
      <c r="K134" s="157">
        <f>D134*H134</f>
        <v>8</v>
      </c>
      <c r="L134" s="109" t="s">
        <v>32</v>
      </c>
      <c r="M134" s="108"/>
    </row>
    <row r="135" spans="1:13" s="64" customFormat="1" ht="19.8" x14ac:dyDescent="0.5">
      <c r="A135" s="108" t="s">
        <v>290</v>
      </c>
      <c r="B135" s="108"/>
      <c r="C135" s="108"/>
      <c r="D135" s="158">
        <f>D131*0.01*(0.15/4)</f>
        <v>3.7500000000000001E-4</v>
      </c>
      <c r="E135" s="109" t="s">
        <v>291</v>
      </c>
      <c r="F135" s="109" t="s">
        <v>25</v>
      </c>
      <c r="H135" s="155">
        <v>45</v>
      </c>
      <c r="J135" s="109" t="s">
        <v>271</v>
      </c>
      <c r="K135" s="159">
        <v>0</v>
      </c>
      <c r="L135" s="109" t="s">
        <v>32</v>
      </c>
      <c r="M135" s="108"/>
    </row>
    <row r="136" spans="1:13" s="64" customFormat="1" ht="19.8" x14ac:dyDescent="0.5">
      <c r="A136" s="108" t="s">
        <v>293</v>
      </c>
      <c r="B136" s="108"/>
      <c r="C136" s="108"/>
      <c r="D136" s="155">
        <v>0</v>
      </c>
      <c r="E136" s="109" t="s">
        <v>43</v>
      </c>
      <c r="F136" s="109" t="s">
        <v>25</v>
      </c>
      <c r="H136" s="155">
        <v>0</v>
      </c>
      <c r="J136" s="109" t="s">
        <v>271</v>
      </c>
      <c r="K136" s="159">
        <f t="shared" ref="K136" si="3">D136*H136</f>
        <v>0</v>
      </c>
      <c r="L136" s="109" t="s">
        <v>32</v>
      </c>
      <c r="M136" s="108"/>
    </row>
    <row r="137" spans="1:13" s="64" customFormat="1" ht="19.8" x14ac:dyDescent="0.5">
      <c r="A137" s="108" t="s">
        <v>27</v>
      </c>
      <c r="B137" s="108"/>
      <c r="C137" s="108"/>
      <c r="D137" s="108"/>
      <c r="F137" s="108"/>
      <c r="G137" s="108"/>
      <c r="H137" s="108"/>
      <c r="J137" s="109" t="s">
        <v>271</v>
      </c>
      <c r="K137" s="127">
        <f>SUM(K132:K136)</f>
        <v>41.745085599999996</v>
      </c>
      <c r="L137" s="109" t="s">
        <v>32</v>
      </c>
      <c r="M137" s="108"/>
    </row>
    <row r="138" spans="1:13" s="64" customFormat="1" ht="20.399999999999999" thickBot="1" x14ac:dyDescent="0.55000000000000004">
      <c r="A138" s="108" t="s">
        <v>38</v>
      </c>
      <c r="B138" s="108"/>
      <c r="C138" s="108"/>
      <c r="D138" s="148">
        <f>$K$81</f>
        <v>0</v>
      </c>
      <c r="E138" s="109" t="s">
        <v>33</v>
      </c>
      <c r="F138" s="148">
        <f>$D$75</f>
        <v>0</v>
      </c>
      <c r="H138" s="136"/>
      <c r="J138" s="109" t="s">
        <v>271</v>
      </c>
      <c r="K138" s="161" t="e">
        <f>ROUND(D138/F138,2)</f>
        <v>#DIV/0!</v>
      </c>
      <c r="L138" s="109" t="s">
        <v>294</v>
      </c>
      <c r="M138" s="108"/>
    </row>
    <row r="139" spans="1:13" s="64" customFormat="1" ht="20.399999999999999" thickTop="1" x14ac:dyDescent="0.5">
      <c r="A139" s="132"/>
      <c r="B139" s="108"/>
      <c r="C139" s="108"/>
      <c r="D139" s="116"/>
      <c r="E139" s="154"/>
      <c r="F139" s="154"/>
      <c r="G139" s="109"/>
      <c r="H139" s="115"/>
      <c r="I139" s="109"/>
      <c r="J139" s="108"/>
      <c r="K139" s="108"/>
      <c r="L139" s="108"/>
      <c r="M139" s="108"/>
    </row>
    <row r="140" spans="1:13" s="64" customFormat="1" ht="19.8" x14ac:dyDescent="0.5">
      <c r="A140" s="132"/>
      <c r="B140" s="108"/>
      <c r="C140" s="108"/>
      <c r="D140" s="116"/>
      <c r="E140" s="154"/>
      <c r="F140" s="154"/>
      <c r="G140" s="109"/>
      <c r="H140" s="115"/>
      <c r="I140" s="109"/>
      <c r="J140" s="108"/>
      <c r="K140" s="108"/>
      <c r="L140" s="108"/>
      <c r="M140" s="108"/>
    </row>
    <row r="141" spans="1:13" s="64" customFormat="1" ht="20.399999999999999" x14ac:dyDescent="0.55000000000000004">
      <c r="A141" s="107" t="s">
        <v>299</v>
      </c>
      <c r="B141" s="108"/>
      <c r="C141" s="108"/>
      <c r="D141" s="108"/>
      <c r="E141" s="108"/>
      <c r="F141" s="109"/>
      <c r="G141" s="108"/>
      <c r="H141" s="108"/>
      <c r="I141" s="108"/>
      <c r="J141" s="108"/>
      <c r="K141" s="108"/>
      <c r="L141" s="108"/>
      <c r="M141" s="108"/>
    </row>
    <row r="142" spans="1:13" s="64" customFormat="1" ht="19.8" x14ac:dyDescent="0.5">
      <c r="A142" s="108" t="s">
        <v>300</v>
      </c>
      <c r="B142" s="108"/>
      <c r="C142" s="108"/>
      <c r="D142" s="117">
        <v>10</v>
      </c>
      <c r="E142" s="108" t="s">
        <v>286</v>
      </c>
      <c r="G142" s="108"/>
      <c r="H142" s="108"/>
      <c r="I142" s="108"/>
      <c r="J142" s="108"/>
      <c r="K142" s="108"/>
      <c r="L142" s="108"/>
      <c r="M142" s="108"/>
    </row>
    <row r="143" spans="1:13" s="64" customFormat="1" ht="19.8" x14ac:dyDescent="0.5">
      <c r="A143" s="108" t="s">
        <v>301</v>
      </c>
      <c r="B143" s="108"/>
      <c r="C143" s="108"/>
      <c r="D143" s="155">
        <f>((D142/0.5)*0.5)*1.58</f>
        <v>15.8</v>
      </c>
      <c r="E143" s="109" t="s">
        <v>7</v>
      </c>
      <c r="F143" s="109" t="s">
        <v>25</v>
      </c>
      <c r="H143" s="156">
        <f>21003.5/1000</f>
        <v>21.003499999999999</v>
      </c>
      <c r="J143" s="109" t="s">
        <v>271</v>
      </c>
      <c r="K143" s="157">
        <f>D143*H143</f>
        <v>331.8553</v>
      </c>
      <c r="L143" s="109" t="s">
        <v>32</v>
      </c>
      <c r="M143" s="108"/>
    </row>
    <row r="144" spans="1:13" s="64" customFormat="1" ht="19.8" x14ac:dyDescent="0.5">
      <c r="A144" s="108" t="s">
        <v>297</v>
      </c>
      <c r="B144" s="108"/>
      <c r="C144" s="108"/>
      <c r="D144" s="155">
        <f>$D$75</f>
        <v>0</v>
      </c>
      <c r="E144" s="109" t="s">
        <v>43</v>
      </c>
      <c r="F144" s="109" t="s">
        <v>25</v>
      </c>
      <c r="H144" s="155">
        <v>22.16</v>
      </c>
      <c r="J144" s="109" t="s">
        <v>271</v>
      </c>
      <c r="K144" s="157">
        <f>D144*H144</f>
        <v>0</v>
      </c>
      <c r="L144" s="109" t="s">
        <v>32</v>
      </c>
      <c r="M144" s="108"/>
    </row>
    <row r="145" spans="1:17" s="64" customFormat="1" ht="19.8" x14ac:dyDescent="0.5">
      <c r="A145" s="108" t="s">
        <v>290</v>
      </c>
      <c r="B145" s="108"/>
      <c r="C145" s="108"/>
      <c r="D145" s="158" t="e">
        <f>$D$86*0.01*(0.15/4)</f>
        <v>#VALUE!</v>
      </c>
      <c r="E145" s="109" t="s">
        <v>291</v>
      </c>
      <c r="F145" s="109" t="s">
        <v>25</v>
      </c>
      <c r="H145" s="155">
        <v>45</v>
      </c>
      <c r="J145" s="109" t="s">
        <v>271</v>
      </c>
      <c r="K145" s="159" t="e">
        <f t="shared" ref="K145" si="4">D145*H145</f>
        <v>#VALUE!</v>
      </c>
      <c r="L145" s="109" t="s">
        <v>32</v>
      </c>
      <c r="M145" s="108"/>
    </row>
    <row r="146" spans="1:17" s="64" customFormat="1" ht="19.8" x14ac:dyDescent="0.5">
      <c r="A146" s="108" t="s">
        <v>27</v>
      </c>
      <c r="B146" s="108"/>
      <c r="C146" s="108"/>
      <c r="D146" s="108"/>
      <c r="F146" s="108"/>
      <c r="G146" s="108"/>
      <c r="J146" s="109" t="s">
        <v>271</v>
      </c>
      <c r="K146" s="127" t="e">
        <f>SUM(K143:K145)</f>
        <v>#VALUE!</v>
      </c>
      <c r="L146" s="109" t="s">
        <v>32</v>
      </c>
      <c r="M146" s="108"/>
    </row>
    <row r="147" spans="1:17" s="64" customFormat="1" ht="20.399999999999999" thickBot="1" x14ac:dyDescent="0.55000000000000004">
      <c r="A147" s="108" t="s">
        <v>38</v>
      </c>
      <c r="B147" s="108"/>
      <c r="C147" s="108"/>
      <c r="D147" s="148">
        <f>$K$90</f>
        <v>0</v>
      </c>
      <c r="E147" s="109" t="s">
        <v>33</v>
      </c>
      <c r="F147" s="156">
        <f>D142</f>
        <v>10</v>
      </c>
      <c r="J147" s="109" t="s">
        <v>271</v>
      </c>
      <c r="K147" s="161">
        <f>ROUND(D147/F147,2)</f>
        <v>0</v>
      </c>
      <c r="L147" s="109" t="s">
        <v>294</v>
      </c>
      <c r="M147" s="108"/>
    </row>
    <row r="148" spans="1:17" s="64" customFormat="1" ht="20.399999999999999" thickTop="1" x14ac:dyDescent="0.5">
      <c r="A148" s="132"/>
      <c r="B148" s="108"/>
      <c r="C148" s="108"/>
      <c r="D148" s="116"/>
      <c r="E148" s="154"/>
      <c r="F148" s="154"/>
      <c r="G148" s="109"/>
      <c r="H148" s="115"/>
      <c r="I148" s="109"/>
      <c r="J148" s="108"/>
      <c r="K148" s="108"/>
      <c r="L148" s="108"/>
      <c r="M148" s="108"/>
    </row>
    <row r="149" spans="1:17" s="64" customFormat="1" ht="19.8" x14ac:dyDescent="0.5">
      <c r="B149" s="108"/>
      <c r="C149" s="108"/>
      <c r="F149" s="108"/>
      <c r="I149" s="109"/>
      <c r="J149" s="115"/>
      <c r="K149" s="109"/>
    </row>
    <row r="150" spans="1:17" s="64" customFormat="1" ht="20.399999999999999" x14ac:dyDescent="0.55000000000000004">
      <c r="A150" s="107" t="s">
        <v>302</v>
      </c>
      <c r="B150" s="108"/>
      <c r="C150" s="108"/>
      <c r="D150" s="108"/>
      <c r="E150" s="108"/>
      <c r="F150" s="108"/>
      <c r="G150" s="108"/>
      <c r="H150" s="108"/>
      <c r="J150" s="108"/>
      <c r="K150" s="108"/>
      <c r="L150" s="108"/>
      <c r="N150" s="108"/>
    </row>
    <row r="151" spans="1:17" s="64" customFormat="1" ht="19.8" x14ac:dyDescent="0.5">
      <c r="A151" s="108" t="s">
        <v>235</v>
      </c>
      <c r="B151" s="108"/>
      <c r="C151" s="108"/>
      <c r="D151" s="108"/>
      <c r="E151" s="108"/>
      <c r="F151" s="108"/>
      <c r="G151" s="109" t="s">
        <v>17</v>
      </c>
      <c r="H151" s="115">
        <v>80</v>
      </c>
      <c r="I151" s="109" t="s">
        <v>24</v>
      </c>
      <c r="M151" s="108"/>
      <c r="N151" s="108"/>
      <c r="O151" s="108"/>
      <c r="P151" s="135"/>
      <c r="Q151" s="109"/>
    </row>
    <row r="152" spans="1:17" s="64" customFormat="1" ht="19.8" x14ac:dyDescent="0.5">
      <c r="A152" s="108" t="s">
        <v>26</v>
      </c>
      <c r="B152" s="108"/>
      <c r="C152" s="116"/>
      <c r="D152" s="117">
        <v>47</v>
      </c>
      <c r="E152" s="108" t="s">
        <v>23</v>
      </c>
      <c r="F152" s="118">
        <v>153.88999999999999</v>
      </c>
      <c r="G152" s="109" t="s">
        <v>17</v>
      </c>
      <c r="H152" s="119">
        <f>F152</f>
        <v>153.88999999999999</v>
      </c>
      <c r="I152" s="109" t="s">
        <v>24</v>
      </c>
      <c r="M152" s="108"/>
      <c r="N152" s="109"/>
      <c r="O152" s="135"/>
      <c r="P152" s="135"/>
      <c r="Q152" s="109"/>
    </row>
    <row r="153" spans="1:17" s="64" customFormat="1" ht="19.8" x14ac:dyDescent="0.5">
      <c r="A153" s="108" t="s">
        <v>3</v>
      </c>
      <c r="B153" s="108"/>
      <c r="C153" s="108"/>
      <c r="D153" s="108"/>
      <c r="E153" s="108"/>
      <c r="F153" s="108"/>
      <c r="G153" s="109" t="s">
        <v>17</v>
      </c>
      <c r="H153" s="120">
        <f>H151+H152</f>
        <v>233.89</v>
      </c>
      <c r="I153" s="109" t="s">
        <v>24</v>
      </c>
      <c r="M153" s="108"/>
      <c r="N153" s="109"/>
      <c r="O153" s="114"/>
      <c r="P153" s="135"/>
      <c r="Q153" s="109"/>
    </row>
    <row r="154" spans="1:17" s="64" customFormat="1" ht="19.8" x14ac:dyDescent="0.5">
      <c r="A154" s="108" t="s">
        <v>30</v>
      </c>
      <c r="B154" s="108"/>
      <c r="C154" s="114"/>
      <c r="D154" s="118">
        <f>H153</f>
        <v>233.89</v>
      </c>
      <c r="E154" s="109" t="s">
        <v>22</v>
      </c>
      <c r="F154" s="117">
        <v>1.7</v>
      </c>
      <c r="G154" s="109" t="s">
        <v>17</v>
      </c>
      <c r="H154" s="120">
        <f>D154*F154</f>
        <v>397.61299999999994</v>
      </c>
      <c r="I154" s="109" t="s">
        <v>24</v>
      </c>
      <c r="P154" s="135"/>
      <c r="Q154" s="109"/>
    </row>
    <row r="155" spans="1:17" s="64" customFormat="1" ht="19.8" x14ac:dyDescent="0.5">
      <c r="A155" s="108" t="s">
        <v>31</v>
      </c>
      <c r="B155" s="108"/>
      <c r="C155" s="108"/>
      <c r="D155" s="108"/>
      <c r="E155" s="108"/>
      <c r="F155" s="108"/>
      <c r="G155" s="109" t="s">
        <v>17</v>
      </c>
      <c r="H155" s="120">
        <v>24</v>
      </c>
      <c r="I155" s="109" t="s">
        <v>24</v>
      </c>
      <c r="P155" s="135"/>
      <c r="Q155" s="109"/>
    </row>
    <row r="156" spans="1:17" s="64" customFormat="1" ht="19.8" x14ac:dyDescent="0.5">
      <c r="A156" s="108" t="s">
        <v>28</v>
      </c>
      <c r="B156" s="108"/>
      <c r="C156" s="108"/>
      <c r="D156" s="108"/>
      <c r="E156" s="108"/>
      <c r="F156" s="108"/>
      <c r="G156" s="109" t="s">
        <v>17</v>
      </c>
      <c r="H156" s="119">
        <v>83.44</v>
      </c>
      <c r="I156" s="109" t="s">
        <v>24</v>
      </c>
      <c r="L156" s="102"/>
      <c r="P156" s="135"/>
      <c r="Q156" s="109"/>
    </row>
    <row r="157" spans="1:17" s="64" customFormat="1" ht="19.8" x14ac:dyDescent="0.5">
      <c r="A157" s="108"/>
      <c r="B157" s="108"/>
      <c r="C157" s="108"/>
      <c r="D157" s="108" t="s">
        <v>27</v>
      </c>
      <c r="E157" s="108"/>
      <c r="F157" s="108"/>
      <c r="G157" s="109" t="s">
        <v>17</v>
      </c>
      <c r="H157" s="121">
        <f>SUM(H154:H156)</f>
        <v>505.05299999999994</v>
      </c>
      <c r="I157" s="109" t="s">
        <v>24</v>
      </c>
      <c r="P157" s="135"/>
      <c r="Q157" s="109"/>
    </row>
    <row r="158" spans="1:17" s="64" customFormat="1" ht="20.399999999999999" thickBot="1" x14ac:dyDescent="0.55000000000000004">
      <c r="A158" s="108"/>
      <c r="B158" s="108"/>
      <c r="C158" s="108"/>
      <c r="D158" s="108" t="s">
        <v>38</v>
      </c>
      <c r="E158" s="113"/>
      <c r="F158" s="108"/>
      <c r="G158" s="109" t="s">
        <v>17</v>
      </c>
      <c r="H158" s="122">
        <f>H157</f>
        <v>505.05299999999994</v>
      </c>
      <c r="I158" s="109" t="s">
        <v>24</v>
      </c>
      <c r="P158" s="135"/>
      <c r="Q158" s="109"/>
    </row>
    <row r="159" spans="1:17" s="64" customFormat="1" ht="20.399999999999999" thickTop="1" x14ac:dyDescent="0.5">
      <c r="B159" s="108"/>
      <c r="C159" s="108"/>
      <c r="D159" s="108"/>
      <c r="E159" s="108"/>
      <c r="F159" s="108"/>
      <c r="G159" s="108"/>
      <c r="H159" s="108"/>
      <c r="I159" s="108"/>
      <c r="J159" s="108"/>
      <c r="K159" s="108"/>
      <c r="L159" s="132"/>
      <c r="P159" s="135"/>
      <c r="Q159" s="109"/>
    </row>
    <row r="160" spans="1:17" s="64" customFormat="1" ht="19.8" x14ac:dyDescent="0.5"/>
    <row r="161" spans="1:12" s="64" customFormat="1" ht="19.8" x14ac:dyDescent="0.5"/>
    <row r="162" spans="1:12" s="64" customFormat="1" ht="19.8" x14ac:dyDescent="0.5"/>
    <row r="163" spans="1:12" s="64" customFormat="1" ht="19.8" x14ac:dyDescent="0.5"/>
    <row r="164" spans="1:12" s="64" customFormat="1" ht="19.8" x14ac:dyDescent="0.5"/>
    <row r="165" spans="1:12" s="64" customFormat="1" ht="19.8" x14ac:dyDescent="0.5">
      <c r="L165" s="102" t="s">
        <v>303</v>
      </c>
    </row>
    <row r="166" spans="1:12" s="64" customFormat="1" ht="19.8" x14ac:dyDescent="0.5"/>
    <row r="167" spans="1:12" s="64" customFormat="1" ht="20.399999999999999" x14ac:dyDescent="0.55000000000000004">
      <c r="A167" s="107" t="s">
        <v>44</v>
      </c>
      <c r="B167" s="107"/>
      <c r="C167" s="162"/>
      <c r="D167" s="163"/>
      <c r="E167" s="107"/>
      <c r="F167" s="107"/>
      <c r="G167" s="109"/>
      <c r="H167" s="115"/>
      <c r="I167" s="109"/>
      <c r="K167" s="108"/>
    </row>
    <row r="168" spans="1:12" s="64" customFormat="1" ht="20.399999999999999" x14ac:dyDescent="0.55000000000000004">
      <c r="A168" s="107" t="s">
        <v>45</v>
      </c>
      <c r="B168" s="107"/>
      <c r="C168" s="107"/>
      <c r="D168" s="107"/>
      <c r="E168" s="107"/>
      <c r="F168" s="107"/>
      <c r="G168" s="109"/>
      <c r="H168" s="82"/>
      <c r="I168" s="109"/>
      <c r="K168" s="108"/>
      <c r="L168" s="108"/>
    </row>
    <row r="169" spans="1:12" s="64" customFormat="1" ht="19.8" x14ac:dyDescent="0.5">
      <c r="A169" s="108" t="s">
        <v>46</v>
      </c>
      <c r="B169" s="108"/>
      <c r="C169" s="131">
        <v>6</v>
      </c>
      <c r="D169" s="108" t="s">
        <v>47</v>
      </c>
      <c r="E169" s="64" t="s">
        <v>25</v>
      </c>
      <c r="F169" s="131">
        <v>39</v>
      </c>
      <c r="G169" s="109" t="s">
        <v>17</v>
      </c>
      <c r="H169" s="152">
        <f>C169*F169</f>
        <v>234</v>
      </c>
      <c r="I169" s="143" t="s">
        <v>20</v>
      </c>
      <c r="L169" s="109"/>
    </row>
    <row r="170" spans="1:12" s="64" customFormat="1" ht="19.8" x14ac:dyDescent="0.5">
      <c r="A170" s="108" t="s">
        <v>48</v>
      </c>
      <c r="B170" s="108"/>
      <c r="C170" s="155">
        <v>0.41699999999999998</v>
      </c>
      <c r="D170" s="108" t="s">
        <v>47</v>
      </c>
      <c r="E170" s="64" t="s">
        <v>25</v>
      </c>
      <c r="F170" s="164">
        <v>60</v>
      </c>
      <c r="G170" s="109" t="s">
        <v>17</v>
      </c>
      <c r="H170" s="119">
        <f>C170*F170</f>
        <v>25.02</v>
      </c>
      <c r="I170" s="136" t="s">
        <v>20</v>
      </c>
      <c r="L170" s="109"/>
    </row>
    <row r="171" spans="1:12" s="64" customFormat="1" ht="19.8" x14ac:dyDescent="0.5">
      <c r="A171" s="108" t="s">
        <v>49</v>
      </c>
      <c r="B171" s="108"/>
      <c r="C171" s="131">
        <v>1</v>
      </c>
      <c r="D171" s="108" t="s">
        <v>8</v>
      </c>
      <c r="E171" s="64" t="s">
        <v>25</v>
      </c>
      <c r="F171" s="164">
        <v>11.43</v>
      </c>
      <c r="G171" s="109" t="s">
        <v>17</v>
      </c>
      <c r="H171" s="119">
        <f>C171*F171</f>
        <v>11.43</v>
      </c>
      <c r="I171" s="109" t="s">
        <v>20</v>
      </c>
      <c r="L171" s="109"/>
    </row>
    <row r="172" spans="1:12" s="64" customFormat="1" ht="19.8" x14ac:dyDescent="0.5">
      <c r="A172" s="64" t="s">
        <v>137</v>
      </c>
      <c r="F172" s="164">
        <v>10</v>
      </c>
      <c r="G172" s="109" t="s">
        <v>17</v>
      </c>
      <c r="H172" s="119">
        <f>F172</f>
        <v>10</v>
      </c>
      <c r="I172" s="109" t="s">
        <v>20</v>
      </c>
      <c r="L172" s="109"/>
    </row>
    <row r="173" spans="1:12" s="64" customFormat="1" ht="19.8" x14ac:dyDescent="0.5">
      <c r="A173" s="108" t="s">
        <v>50</v>
      </c>
      <c r="B173" s="108"/>
      <c r="C173" s="108"/>
      <c r="D173" s="108"/>
      <c r="E173" s="108"/>
      <c r="F173" s="108"/>
      <c r="G173" s="109" t="s">
        <v>17</v>
      </c>
      <c r="H173" s="119">
        <v>0</v>
      </c>
      <c r="I173" s="109" t="s">
        <v>20</v>
      </c>
      <c r="L173" s="109"/>
    </row>
    <row r="174" spans="1:12" s="64" customFormat="1" ht="20.399999999999999" thickBot="1" x14ac:dyDescent="0.55000000000000004">
      <c r="A174" s="108"/>
      <c r="B174" s="108"/>
      <c r="C174" s="108"/>
      <c r="D174" s="132" t="s">
        <v>38</v>
      </c>
      <c r="E174" s="108"/>
      <c r="F174" s="108"/>
      <c r="G174" s="109" t="s">
        <v>17</v>
      </c>
      <c r="H174" s="165">
        <f>SUM(H169:H173)</f>
        <v>280.45</v>
      </c>
      <c r="I174" s="109" t="s">
        <v>20</v>
      </c>
      <c r="J174" s="109"/>
      <c r="K174" s="109"/>
      <c r="L174" s="109"/>
    </row>
    <row r="175" spans="1:12" s="64" customFormat="1" ht="20.399999999999999" thickTop="1" x14ac:dyDescent="0.5"/>
    <row r="176" spans="1:12" s="64" customFormat="1" ht="19.8" x14ac:dyDescent="0.5"/>
    <row r="177" s="64" customFormat="1" ht="19.8" x14ac:dyDescent="0.5"/>
    <row r="178" s="64" customFormat="1" ht="19.8" x14ac:dyDescent="0.5"/>
    <row r="179" s="64" customFormat="1" ht="19.8" x14ac:dyDescent="0.5"/>
    <row r="180" s="64" customFormat="1" ht="19.8" x14ac:dyDescent="0.5"/>
    <row r="181" s="64" customFormat="1" ht="19.8" x14ac:dyDescent="0.5"/>
    <row r="182" s="64" customFormat="1" ht="19.8" x14ac:dyDescent="0.5"/>
    <row r="183" s="64" customFormat="1" ht="19.8" x14ac:dyDescent="0.5"/>
    <row r="184" s="64" customFormat="1" ht="19.8" x14ac:dyDescent="0.5"/>
    <row r="185" s="64" customFormat="1" ht="19.8" x14ac:dyDescent="0.5"/>
    <row r="186" s="64" customFormat="1" ht="19.8" x14ac:dyDescent="0.5"/>
    <row r="187" s="64" customFormat="1" ht="19.8" x14ac:dyDescent="0.5"/>
    <row r="188" s="64" customFormat="1" ht="19.8" x14ac:dyDescent="0.5"/>
    <row r="189" s="64" customFormat="1" ht="19.8" x14ac:dyDescent="0.5"/>
    <row r="190" s="64" customFormat="1" ht="19.8" x14ac:dyDescent="0.5"/>
    <row r="191" s="64" customFormat="1" ht="19.8" x14ac:dyDescent="0.5"/>
    <row r="192" s="1" customFormat="1" x14ac:dyDescent="0.35"/>
    <row r="193" s="1" customFormat="1" x14ac:dyDescent="0.35"/>
    <row r="194" s="1" customFormat="1" x14ac:dyDescent="0.35"/>
    <row r="195" s="1" customFormat="1" x14ac:dyDescent="0.35"/>
    <row r="196" s="1" customFormat="1" x14ac:dyDescent="0.35"/>
    <row r="197" s="1" customFormat="1" x14ac:dyDescent="0.35"/>
    <row r="198" s="1" customFormat="1" x14ac:dyDescent="0.35"/>
    <row r="199" s="1" customFormat="1" x14ac:dyDescent="0.35"/>
  </sheetData>
  <mergeCells count="104">
    <mergeCell ref="M50:O50"/>
    <mergeCell ref="M29:O29"/>
    <mergeCell ref="M30:O30"/>
    <mergeCell ref="M31:O31"/>
    <mergeCell ref="M32:O32"/>
    <mergeCell ref="M39:O39"/>
    <mergeCell ref="M40:O40"/>
    <mergeCell ref="M41:O41"/>
    <mergeCell ref="M42:O42"/>
    <mergeCell ref="M34:O34"/>
    <mergeCell ref="M35:O35"/>
    <mergeCell ref="M36:O36"/>
    <mergeCell ref="M37:O37"/>
    <mergeCell ref="M21:O21"/>
    <mergeCell ref="M22:O22"/>
    <mergeCell ref="M33:O33"/>
    <mergeCell ref="K15:L15"/>
    <mergeCell ref="K16:L16"/>
    <mergeCell ref="K35:L35"/>
    <mergeCell ref="K36:L36"/>
    <mergeCell ref="K37:L37"/>
    <mergeCell ref="M51:O51"/>
    <mergeCell ref="M43:O43"/>
    <mergeCell ref="M47:O47"/>
    <mergeCell ref="M48:O48"/>
    <mergeCell ref="M44:O44"/>
    <mergeCell ref="M45:O45"/>
    <mergeCell ref="M46:O46"/>
    <mergeCell ref="K38:L38"/>
    <mergeCell ref="M38:O38"/>
    <mergeCell ref="K39:L39"/>
    <mergeCell ref="K40:L40"/>
    <mergeCell ref="K41:L41"/>
    <mergeCell ref="K42:L42"/>
    <mergeCell ref="K43:L43"/>
    <mergeCell ref="K49:L49"/>
    <mergeCell ref="M49:O49"/>
    <mergeCell ref="A1:O1"/>
    <mergeCell ref="K10:L10"/>
    <mergeCell ref="K11:L11"/>
    <mergeCell ref="K12:L12"/>
    <mergeCell ref="M10:O10"/>
    <mergeCell ref="M11:O11"/>
    <mergeCell ref="M12:O12"/>
    <mergeCell ref="K14:L14"/>
    <mergeCell ref="M9:O9"/>
    <mergeCell ref="A8:A9"/>
    <mergeCell ref="B8:C9"/>
    <mergeCell ref="D8:D9"/>
    <mergeCell ref="K8:L9"/>
    <mergeCell ref="K13:L13"/>
    <mergeCell ref="M8:O8"/>
    <mergeCell ref="K17:L17"/>
    <mergeCell ref="K18:L18"/>
    <mergeCell ref="K19:L19"/>
    <mergeCell ref="K28:L28"/>
    <mergeCell ref="M13:O13"/>
    <mergeCell ref="M14:O14"/>
    <mergeCell ref="M15:O15"/>
    <mergeCell ref="M16:O16"/>
    <mergeCell ref="M17:O17"/>
    <mergeCell ref="K20:L20"/>
    <mergeCell ref="K21:L21"/>
    <mergeCell ref="K22:L22"/>
    <mergeCell ref="K23:L23"/>
    <mergeCell ref="K25:L25"/>
    <mergeCell ref="M23:O23"/>
    <mergeCell ref="K27:L27"/>
    <mergeCell ref="M25:O25"/>
    <mergeCell ref="M26:O26"/>
    <mergeCell ref="M27:O27"/>
    <mergeCell ref="K26:L26"/>
    <mergeCell ref="M28:O28"/>
    <mergeCell ref="M18:O18"/>
    <mergeCell ref="M19:O19"/>
    <mergeCell ref="M20:O20"/>
    <mergeCell ref="K29:L29"/>
    <mergeCell ref="K30:L30"/>
    <mergeCell ref="K31:L31"/>
    <mergeCell ref="A56:K56"/>
    <mergeCell ref="C59:L59"/>
    <mergeCell ref="C60:K60"/>
    <mergeCell ref="C61:K61"/>
    <mergeCell ref="C62:J62"/>
    <mergeCell ref="K51:L51"/>
    <mergeCell ref="K44:L44"/>
    <mergeCell ref="K45:L45"/>
    <mergeCell ref="K46:L46"/>
    <mergeCell ref="K47:L47"/>
    <mergeCell ref="K48:L48"/>
    <mergeCell ref="K32:L32"/>
    <mergeCell ref="K33:L33"/>
    <mergeCell ref="K34:L34"/>
    <mergeCell ref="K50:L50"/>
    <mergeCell ref="G104:H104"/>
    <mergeCell ref="T104:U104"/>
    <mergeCell ref="G105:H105"/>
    <mergeCell ref="T105:U105"/>
    <mergeCell ref="D96:E96"/>
    <mergeCell ref="G96:H96"/>
    <mergeCell ref="Q96:R96"/>
    <mergeCell ref="T96:U96"/>
    <mergeCell ref="G101:H101"/>
    <mergeCell ref="T101:U101"/>
  </mergeCells>
  <conditionalFormatting sqref="G93 J93">
    <cfRule type="cellIs" dxfId="5" priority="2" stopIfTrue="1" operator="equal">
      <formula>0</formula>
    </cfRule>
  </conditionalFormatting>
  <conditionalFormatting sqref="T93 W93">
    <cfRule type="cellIs" dxfId="4" priority="1" stopIfTrue="1" operator="equal">
      <formula>0</formula>
    </cfRule>
  </conditionalFormatting>
  <dataValidations count="3">
    <dataValidation allowBlank="1" showInputMessage="1" showErrorMessage="1" prompt="จากค่าวัสดุคอนกรีต ค.2 " sqref="F98 S98" xr:uid="{00000000-0002-0000-0200-000000000000}"/>
    <dataValidation allowBlank="1" showInputMessage="1" showErrorMessage="1" prompt="ระยะรอยต่อคอนกรีตที่นำมาคิด" sqref="H106 U106" xr:uid="{00000000-0002-0000-0200-000001000000}"/>
    <dataValidation allowBlank="1" showInputMessage="1" showErrorMessage="1" prompt="จากบัญชีค่าดำเนินการค่าเสื่อมราคา" sqref="F106:F108 D96:D97 S106:S108 Q96:Q97" xr:uid="{00000000-0002-0000-0200-000002000000}"/>
  </dataValidations>
  <pageMargins left="0.62992125984251968" right="0.23622047244094491" top="0.35433070866141736" bottom="0.35433070866141736" header="0.31496062992125984" footer="0.31496062992125984"/>
  <pageSetup paperSize="9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O28"/>
  <sheetViews>
    <sheetView workbookViewId="0">
      <selection activeCell="F8" sqref="F8"/>
    </sheetView>
  </sheetViews>
  <sheetFormatPr defaultRowHeight="21" x14ac:dyDescent="0.6"/>
  <cols>
    <col min="1" max="1" width="4.625" customWidth="1"/>
    <col min="2" max="2" width="5" customWidth="1"/>
    <col min="3" max="3" width="11.625" customWidth="1"/>
    <col min="4" max="4" width="6" customWidth="1"/>
    <col min="5" max="5" width="4.75" customWidth="1"/>
    <col min="6" max="6" width="8.25" customWidth="1"/>
    <col min="7" max="7" width="5.125" customWidth="1"/>
    <col min="9" max="12" width="10.25" customWidth="1"/>
    <col min="13" max="13" width="10.75" customWidth="1"/>
  </cols>
  <sheetData>
    <row r="1" spans="1:15" x14ac:dyDescent="0.6">
      <c r="A1" s="6"/>
      <c r="B1" s="370" t="s">
        <v>198</v>
      </c>
      <c r="C1" s="370"/>
      <c r="D1" s="370"/>
      <c r="E1" s="370"/>
      <c r="F1" s="370"/>
      <c r="G1" s="370"/>
      <c r="H1" s="370"/>
      <c r="I1" s="370"/>
      <c r="J1" s="370"/>
      <c r="K1" s="370"/>
      <c r="L1" s="370"/>
      <c r="M1" s="370"/>
    </row>
    <row r="2" spans="1:15" x14ac:dyDescent="0.6">
      <c r="A2" s="6"/>
      <c r="B2" s="371" t="s">
        <v>199</v>
      </c>
      <c r="C2" s="371"/>
      <c r="D2" s="371"/>
      <c r="E2" s="371"/>
      <c r="F2" s="371"/>
      <c r="G2" s="371"/>
      <c r="H2" s="371"/>
      <c r="I2" s="371"/>
      <c r="J2" s="371"/>
      <c r="K2" s="371"/>
      <c r="L2" s="371"/>
      <c r="M2" s="371"/>
    </row>
    <row r="3" spans="1:15" x14ac:dyDescent="0.6">
      <c r="A3" s="6"/>
      <c r="B3" s="7" t="s">
        <v>200</v>
      </c>
      <c r="C3" s="55"/>
      <c r="D3" s="55"/>
      <c r="E3" s="55"/>
      <c r="F3" s="55"/>
      <c r="G3" s="55"/>
      <c r="H3" s="8"/>
      <c r="I3" s="8"/>
      <c r="J3" s="8"/>
      <c r="K3" s="8"/>
      <c r="L3" s="8"/>
      <c r="M3" s="6"/>
    </row>
    <row r="4" spans="1:15" x14ac:dyDescent="0.6">
      <c r="A4" s="6"/>
      <c r="B4" s="372" t="s">
        <v>201</v>
      </c>
      <c r="C4" s="373"/>
      <c r="D4" s="373"/>
      <c r="E4" s="373"/>
      <c r="F4" s="373"/>
      <c r="G4" s="373"/>
      <c r="H4" s="374"/>
      <c r="I4" s="9" t="s">
        <v>202</v>
      </c>
      <c r="J4" s="9" t="s">
        <v>203</v>
      </c>
      <c r="K4" s="9" t="s">
        <v>204</v>
      </c>
      <c r="L4" s="9" t="s">
        <v>205</v>
      </c>
      <c r="M4" s="9" t="s">
        <v>206</v>
      </c>
    </row>
    <row r="5" spans="1:15" x14ac:dyDescent="0.6">
      <c r="A5" s="6"/>
      <c r="B5" s="366" t="s">
        <v>113</v>
      </c>
      <c r="C5" s="366"/>
      <c r="D5" s="366"/>
      <c r="E5" s="366"/>
      <c r="F5" s="366"/>
      <c r="G5" s="366"/>
      <c r="H5" s="366"/>
      <c r="I5" s="10" t="s">
        <v>207</v>
      </c>
      <c r="J5" s="10" t="s">
        <v>208</v>
      </c>
      <c r="K5" s="10" t="s">
        <v>209</v>
      </c>
      <c r="L5" s="10" t="s">
        <v>210</v>
      </c>
      <c r="M5" s="10" t="s">
        <v>211</v>
      </c>
      <c r="O5" s="40"/>
    </row>
    <row r="6" spans="1:15" x14ac:dyDescent="0.6">
      <c r="A6" s="6"/>
      <c r="B6" s="11">
        <v>1</v>
      </c>
      <c r="C6" s="12" t="s">
        <v>212</v>
      </c>
      <c r="D6" s="13">
        <v>1.05</v>
      </c>
      <c r="E6" s="14" t="s">
        <v>22</v>
      </c>
      <c r="F6" s="15">
        <f>ข้อมูลราคาวัสดุ!J21</f>
        <v>3140.19</v>
      </c>
      <c r="G6" s="16" t="s">
        <v>17</v>
      </c>
      <c r="H6" s="17">
        <f>TRUNC(D6*F6,2)</f>
        <v>3297.19</v>
      </c>
      <c r="I6" s="18">
        <f>400*$H$6/1000</f>
        <v>1318.876</v>
      </c>
      <c r="J6" s="18">
        <f>350*$H$6/1000</f>
        <v>1154.0165</v>
      </c>
      <c r="K6" s="18">
        <f>320*$H$6/1000</f>
        <v>1055.1007999999999</v>
      </c>
      <c r="L6" s="18">
        <f>290*$H$6/1000</f>
        <v>956.18509999999992</v>
      </c>
      <c r="M6" s="19">
        <f>240*$H$6/1000</f>
        <v>791.32560000000001</v>
      </c>
    </row>
    <row r="7" spans="1:15" x14ac:dyDescent="0.6">
      <c r="A7" s="6"/>
      <c r="B7" s="20">
        <v>2</v>
      </c>
      <c r="C7" s="21" t="s">
        <v>213</v>
      </c>
      <c r="D7" s="22">
        <v>1.2</v>
      </c>
      <c r="E7" s="23" t="s">
        <v>22</v>
      </c>
      <c r="F7" s="24">
        <f>ข้อมูลราคาวัสดุ!J29</f>
        <v>560.75</v>
      </c>
      <c r="G7" s="25" t="s">
        <v>17</v>
      </c>
      <c r="H7" s="17">
        <f>TRUNC(D7*F7,2)</f>
        <v>672.9</v>
      </c>
      <c r="I7" s="26">
        <f>734*$H$7/1679</f>
        <v>294.16831447290053</v>
      </c>
      <c r="J7" s="26">
        <f>800*$H$7/1679</f>
        <v>320.61941631923764</v>
      </c>
      <c r="K7" s="26">
        <f>835*$H$7/1679</f>
        <v>334.64651578320428</v>
      </c>
      <c r="L7" s="26">
        <f>868*$H$7/1679</f>
        <v>347.87206670637283</v>
      </c>
      <c r="M7" s="26">
        <f>728*$H$7/1679</f>
        <v>291.76366885050624</v>
      </c>
      <c r="N7" s="56"/>
    </row>
    <row r="8" spans="1:15" x14ac:dyDescent="0.6">
      <c r="A8" s="6"/>
      <c r="B8" s="20">
        <v>3</v>
      </c>
      <c r="C8" s="21" t="s">
        <v>214</v>
      </c>
      <c r="D8" s="22">
        <v>1.1499999999999999</v>
      </c>
      <c r="E8" s="23" t="s">
        <v>22</v>
      </c>
      <c r="F8" s="24" t="e">
        <f>#REF!</f>
        <v>#REF!</v>
      </c>
      <c r="G8" s="25" t="s">
        <v>17</v>
      </c>
      <c r="H8" s="17" t="e">
        <f>TRUNC(D8*F8,2)</f>
        <v>#REF!</v>
      </c>
      <c r="I8" s="26" t="e">
        <f>1019*$H$8/1565</f>
        <v>#REF!</v>
      </c>
      <c r="J8" s="26" t="e">
        <f>1030*$H$8/1565</f>
        <v>#REF!</v>
      </c>
      <c r="K8" s="26" t="e">
        <f>1070*$H$8/1565</f>
        <v>#REF!</v>
      </c>
      <c r="L8" s="26" t="e">
        <f>1015*$H$8/1565</f>
        <v>#REF!</v>
      </c>
      <c r="M8" s="26" t="e">
        <f>1218*$H$8/1565</f>
        <v>#REF!</v>
      </c>
      <c r="N8" s="56"/>
    </row>
    <row r="9" spans="1:15" x14ac:dyDescent="0.6">
      <c r="A9" s="6"/>
      <c r="B9" s="28">
        <v>4</v>
      </c>
      <c r="C9" s="29" t="s">
        <v>215</v>
      </c>
      <c r="D9" s="29"/>
      <c r="E9" s="29"/>
      <c r="F9" s="29"/>
      <c r="G9" s="29"/>
      <c r="H9" s="30"/>
      <c r="I9" s="31">
        <v>0</v>
      </c>
      <c r="J9" s="31">
        <v>0</v>
      </c>
      <c r="K9" s="31">
        <v>0</v>
      </c>
      <c r="L9" s="31">
        <v>0</v>
      </c>
      <c r="M9" s="32">
        <v>0</v>
      </c>
    </row>
    <row r="10" spans="1:15" x14ac:dyDescent="0.6">
      <c r="A10" s="6"/>
      <c r="B10" s="367" t="s">
        <v>3</v>
      </c>
      <c r="C10" s="368"/>
      <c r="D10" s="368"/>
      <c r="E10" s="368"/>
      <c r="F10" s="368"/>
      <c r="G10" s="368"/>
      <c r="H10" s="369"/>
      <c r="I10" s="33" t="e">
        <f>SUM(I6:I9)</f>
        <v>#REF!</v>
      </c>
      <c r="J10" s="33" t="e">
        <f>SUM(J6:J9)</f>
        <v>#REF!</v>
      </c>
      <c r="K10" s="33" t="e">
        <f>SUM(K6:K9)</f>
        <v>#REF!</v>
      </c>
      <c r="L10" s="33" t="e">
        <f>SUM(L6:L9)</f>
        <v>#REF!</v>
      </c>
      <c r="M10" s="34" t="e">
        <f>SUM(M6:M9)</f>
        <v>#REF!</v>
      </c>
    </row>
    <row r="11" spans="1:15" x14ac:dyDescent="0.6">
      <c r="A11" s="6"/>
      <c r="B11" s="8"/>
      <c r="C11" s="6"/>
      <c r="D11" s="6"/>
      <c r="E11" s="6"/>
      <c r="F11" s="6"/>
      <c r="G11" s="6"/>
      <c r="H11" s="6"/>
      <c r="I11" s="8"/>
      <c r="J11" s="8"/>
      <c r="K11" s="8"/>
      <c r="L11" s="8"/>
      <c r="M11" s="6"/>
    </row>
    <row r="12" spans="1:15" x14ac:dyDescent="0.6">
      <c r="A12" s="6"/>
      <c r="B12" s="7" t="s">
        <v>112</v>
      </c>
      <c r="C12" s="6"/>
      <c r="D12" s="6"/>
      <c r="E12" s="6"/>
      <c r="F12" s="6"/>
      <c r="G12" s="6"/>
      <c r="H12" s="6"/>
      <c r="I12" s="8"/>
      <c r="J12" s="8"/>
      <c r="K12" s="8"/>
      <c r="L12" s="8"/>
      <c r="M12" s="6"/>
    </row>
    <row r="13" spans="1:15" x14ac:dyDescent="0.6">
      <c r="A13" s="6"/>
      <c r="B13" s="372" t="s">
        <v>201</v>
      </c>
      <c r="C13" s="373"/>
      <c r="D13" s="373"/>
      <c r="E13" s="373"/>
      <c r="F13" s="373"/>
      <c r="G13" s="373"/>
      <c r="H13" s="374"/>
      <c r="I13" s="9" t="s">
        <v>202</v>
      </c>
      <c r="J13" s="9" t="s">
        <v>203</v>
      </c>
      <c r="K13" s="9" t="s">
        <v>204</v>
      </c>
      <c r="L13" s="9" t="s">
        <v>205</v>
      </c>
      <c r="M13" s="9" t="s">
        <v>206</v>
      </c>
    </row>
    <row r="14" spans="1:15" x14ac:dyDescent="0.6">
      <c r="A14" s="6"/>
      <c r="B14" s="366" t="s">
        <v>113</v>
      </c>
      <c r="C14" s="366"/>
      <c r="D14" s="366"/>
      <c r="E14" s="366"/>
      <c r="F14" s="366"/>
      <c r="G14" s="366"/>
      <c r="H14" s="366"/>
      <c r="I14" s="10" t="s">
        <v>114</v>
      </c>
      <c r="J14" s="10" t="s">
        <v>115</v>
      </c>
      <c r="K14" s="10" t="s">
        <v>116</v>
      </c>
      <c r="L14" s="10" t="s">
        <v>236</v>
      </c>
      <c r="M14" s="10" t="s">
        <v>117</v>
      </c>
    </row>
    <row r="15" spans="1:15" x14ac:dyDescent="0.6">
      <c r="A15" s="6"/>
      <c r="B15" s="11">
        <v>1</v>
      </c>
      <c r="C15" s="12" t="s">
        <v>212</v>
      </c>
      <c r="D15" s="35">
        <v>1.05</v>
      </c>
      <c r="E15" s="14" t="s">
        <v>22</v>
      </c>
      <c r="F15" s="15">
        <f>F6</f>
        <v>3140.19</v>
      </c>
      <c r="G15" s="16" t="s">
        <v>17</v>
      </c>
      <c r="H15" s="17">
        <f t="shared" ref="H15:H17" si="0">TRUNC(D15*F15,2)</f>
        <v>3297.19</v>
      </c>
      <c r="I15" s="18">
        <f>0.4*$H$15</f>
        <v>1318.8760000000002</v>
      </c>
      <c r="J15" s="19">
        <f>0.35*$H$15</f>
        <v>1154.0165</v>
      </c>
      <c r="K15" s="18">
        <f>0.32*$H$15</f>
        <v>1055.1007999999999</v>
      </c>
      <c r="L15" s="18">
        <f>0.29*$H$15</f>
        <v>956.18509999999992</v>
      </c>
      <c r="M15" s="19">
        <f>0.24*$H$15</f>
        <v>791.32560000000001</v>
      </c>
    </row>
    <row r="16" spans="1:15" x14ac:dyDescent="0.6">
      <c r="A16" s="6"/>
      <c r="B16" s="20">
        <v>2</v>
      </c>
      <c r="C16" s="21" t="s">
        <v>213</v>
      </c>
      <c r="D16" s="36">
        <v>1.2</v>
      </c>
      <c r="E16" s="23" t="s">
        <v>22</v>
      </c>
      <c r="F16" s="24">
        <f>F7</f>
        <v>560.75</v>
      </c>
      <c r="G16" s="25" t="s">
        <v>17</v>
      </c>
      <c r="H16" s="17">
        <f t="shared" si="0"/>
        <v>672.9</v>
      </c>
      <c r="I16" s="26">
        <f>0.524*$H$16</f>
        <v>352.59960000000001</v>
      </c>
      <c r="J16" s="27">
        <f>0.572*$H$16</f>
        <v>384.89879999999994</v>
      </c>
      <c r="K16" s="26">
        <f>0.596*$H$16</f>
        <v>401.04839999999996</v>
      </c>
      <c r="L16" s="26">
        <f>0.62*$H$16</f>
        <v>417.19799999999998</v>
      </c>
      <c r="M16" s="27">
        <f>0.52*$H$16</f>
        <v>349.90800000000002</v>
      </c>
    </row>
    <row r="17" spans="1:13" x14ac:dyDescent="0.6">
      <c r="A17" s="6"/>
      <c r="B17" s="20">
        <v>3</v>
      </c>
      <c r="C17" s="21" t="s">
        <v>214</v>
      </c>
      <c r="D17" s="36">
        <v>1.1499999999999999</v>
      </c>
      <c r="E17" s="23" t="s">
        <v>22</v>
      </c>
      <c r="F17" s="24" t="e">
        <f>F8</f>
        <v>#REF!</v>
      </c>
      <c r="G17" s="25" t="s">
        <v>17</v>
      </c>
      <c r="H17" s="17" t="e">
        <f t="shared" si="0"/>
        <v>#REF!</v>
      </c>
      <c r="I17" s="26" t="e">
        <f>0.728*$H$17</f>
        <v>#REF!</v>
      </c>
      <c r="J17" s="27" t="e">
        <f>0.736*$H$17</f>
        <v>#REF!</v>
      </c>
      <c r="K17" s="26" t="e">
        <f>0.764*$H$17</f>
        <v>#REF!</v>
      </c>
      <c r="L17" s="26" t="e">
        <f>0.725*$H$17</f>
        <v>#REF!</v>
      </c>
      <c r="M17" s="27" t="e">
        <f>0.87*$H$17</f>
        <v>#REF!</v>
      </c>
    </row>
    <row r="18" spans="1:13" x14ac:dyDescent="0.6">
      <c r="A18" s="6"/>
      <c r="B18" s="28">
        <v>4</v>
      </c>
      <c r="C18" s="29" t="s">
        <v>215</v>
      </c>
      <c r="D18" s="29"/>
      <c r="E18" s="29"/>
      <c r="F18" s="29"/>
      <c r="G18" s="29"/>
      <c r="H18" s="30"/>
      <c r="I18" s="31">
        <v>0</v>
      </c>
      <c r="J18" s="32">
        <v>0</v>
      </c>
      <c r="K18" s="31">
        <v>0</v>
      </c>
      <c r="L18" s="31">
        <v>0</v>
      </c>
      <c r="M18" s="32">
        <v>0</v>
      </c>
    </row>
    <row r="19" spans="1:13" x14ac:dyDescent="0.6">
      <c r="A19" s="6"/>
      <c r="B19" s="367" t="s">
        <v>3</v>
      </c>
      <c r="C19" s="368"/>
      <c r="D19" s="368"/>
      <c r="E19" s="368"/>
      <c r="F19" s="368"/>
      <c r="G19" s="368"/>
      <c r="H19" s="369"/>
      <c r="I19" s="33" t="e">
        <f>SUM(I15:I18)</f>
        <v>#REF!</v>
      </c>
      <c r="J19" s="34" t="e">
        <f>SUM(J15:J18)</f>
        <v>#REF!</v>
      </c>
      <c r="K19" s="33" t="e">
        <f>SUM(K15:K18)</f>
        <v>#REF!</v>
      </c>
      <c r="L19" s="33" t="e">
        <f>SUM(L15:L18)</f>
        <v>#REF!</v>
      </c>
      <c r="M19" s="34" t="e">
        <f>SUM(M15:M18)</f>
        <v>#REF!</v>
      </c>
    </row>
    <row r="20" spans="1:13" x14ac:dyDescent="0.6">
      <c r="A20" s="6"/>
      <c r="B20" s="37"/>
      <c r="C20" s="6"/>
      <c r="D20" s="6"/>
      <c r="E20" s="6"/>
      <c r="F20" s="6"/>
      <c r="G20" s="6"/>
      <c r="H20" s="6"/>
      <c r="I20" s="8"/>
      <c r="J20" s="8"/>
      <c r="K20" s="8"/>
      <c r="L20" s="8"/>
      <c r="M20" s="6"/>
    </row>
    <row r="21" spans="1:13" x14ac:dyDescent="0.6">
      <c r="A21" s="38" t="s">
        <v>4</v>
      </c>
      <c r="B21" s="6"/>
      <c r="C21" s="6"/>
      <c r="D21" s="6"/>
      <c r="E21" s="6"/>
      <c r="F21" s="6"/>
      <c r="G21" s="6"/>
      <c r="H21" s="8"/>
      <c r="I21" s="8"/>
      <c r="J21" s="8"/>
      <c r="K21" s="8"/>
      <c r="L21" s="6"/>
    </row>
    <row r="22" spans="1:13" x14ac:dyDescent="0.6">
      <c r="A22" s="6" t="s">
        <v>216</v>
      </c>
      <c r="B22" s="6"/>
      <c r="C22" s="6"/>
      <c r="D22" s="6"/>
      <c r="E22" s="6"/>
      <c r="F22" s="6"/>
      <c r="G22" s="8"/>
      <c r="H22" s="8"/>
      <c r="I22" s="8"/>
      <c r="J22" s="8"/>
      <c r="K22" s="6"/>
    </row>
    <row r="23" spans="1:13" x14ac:dyDescent="0.6">
      <c r="A23" s="6" t="s">
        <v>217</v>
      </c>
      <c r="B23" s="6"/>
      <c r="C23" s="6"/>
      <c r="D23" s="6"/>
      <c r="E23" s="6"/>
      <c r="F23" s="6"/>
      <c r="G23" s="8"/>
      <c r="H23" s="8"/>
      <c r="I23" s="8"/>
      <c r="J23" s="8"/>
      <c r="K23" s="6"/>
    </row>
    <row r="24" spans="1:13" x14ac:dyDescent="0.6">
      <c r="A24" s="6" t="s">
        <v>218</v>
      </c>
      <c r="B24" s="39"/>
      <c r="C24" s="39"/>
      <c r="D24" s="39"/>
      <c r="E24" s="39"/>
      <c r="F24" s="39"/>
      <c r="G24" s="39"/>
      <c r="H24" s="39"/>
      <c r="I24" s="39"/>
      <c r="J24" s="39"/>
      <c r="K24" s="39"/>
    </row>
    <row r="25" spans="1:13" x14ac:dyDescent="0.6">
      <c r="A25" s="6" t="s">
        <v>219</v>
      </c>
      <c r="B25" s="6"/>
      <c r="C25" s="6"/>
      <c r="D25" s="6"/>
      <c r="E25" s="6"/>
      <c r="F25" s="6"/>
      <c r="G25" s="8"/>
      <c r="H25" s="8"/>
      <c r="I25" s="8"/>
      <c r="J25" s="8"/>
      <c r="K25" s="6"/>
    </row>
    <row r="26" spans="1:13" x14ac:dyDescent="0.6">
      <c r="A26" s="8"/>
      <c r="B26" s="6"/>
      <c r="C26" s="6"/>
      <c r="D26" s="6"/>
      <c r="E26" s="6"/>
      <c r="F26" s="6"/>
      <c r="G26" s="6"/>
      <c r="H26" s="8"/>
      <c r="I26" s="8"/>
      <c r="J26" s="8"/>
      <c r="K26" s="8"/>
      <c r="L26" s="6"/>
    </row>
    <row r="27" spans="1:13" x14ac:dyDescent="0.6">
      <c r="A27" s="37" t="s">
        <v>220</v>
      </c>
      <c r="B27" s="6"/>
      <c r="C27" s="6"/>
      <c r="D27" s="6"/>
      <c r="E27" s="6"/>
      <c r="F27" s="6"/>
      <c r="G27" s="6"/>
      <c r="H27" s="8"/>
      <c r="I27" s="8"/>
      <c r="J27" s="8"/>
      <c r="K27" s="8"/>
      <c r="L27" s="6"/>
    </row>
    <row r="28" spans="1:13" x14ac:dyDescent="0.6">
      <c r="A28" s="8"/>
      <c r="B28" s="37" t="s">
        <v>221</v>
      </c>
      <c r="C28" s="6"/>
      <c r="D28" s="6"/>
      <c r="E28" s="6"/>
      <c r="F28" s="6"/>
      <c r="G28" s="6"/>
      <c r="H28" s="8"/>
      <c r="I28" s="8"/>
      <c r="J28" s="8"/>
      <c r="K28" s="8"/>
      <c r="L28" s="6"/>
    </row>
  </sheetData>
  <mergeCells count="8">
    <mergeCell ref="B14:H14"/>
    <mergeCell ref="B19:H19"/>
    <mergeCell ref="B1:M1"/>
    <mergeCell ref="B2:M2"/>
    <mergeCell ref="B4:H4"/>
    <mergeCell ref="B5:H5"/>
    <mergeCell ref="B10:H10"/>
    <mergeCell ref="B13:H13"/>
  </mergeCells>
  <conditionalFormatting sqref="I4:I10 J8:M8">
    <cfRule type="expression" dxfId="3" priority="1">
      <formula>$BC$2=$I$4</formula>
    </cfRule>
  </conditionalFormatting>
  <conditionalFormatting sqref="J4:J10 K7:M7">
    <cfRule type="expression" dxfId="2" priority="2">
      <formula>$BC$2=$J$4</formula>
    </cfRule>
  </conditionalFormatting>
  <conditionalFormatting sqref="K4:K10">
    <cfRule type="expression" dxfId="1" priority="3">
      <formula>$BC$2=$K$4</formula>
    </cfRule>
  </conditionalFormatting>
  <conditionalFormatting sqref="L4:L10">
    <cfRule type="expression" dxfId="0" priority="4">
      <formula>$BC$2=$L$4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2" tint="-0.499984740745262"/>
  </sheetPr>
  <dimension ref="A1:J24"/>
  <sheetViews>
    <sheetView workbookViewId="0">
      <selection activeCell="Q7" sqref="Q7"/>
    </sheetView>
  </sheetViews>
  <sheetFormatPr defaultColWidth="9.125" defaultRowHeight="21" x14ac:dyDescent="0.6"/>
  <cols>
    <col min="1" max="16384" width="9.125" style="40"/>
  </cols>
  <sheetData>
    <row r="1" spans="1:10" x14ac:dyDescent="0.6">
      <c r="A1" s="375" t="s">
        <v>118</v>
      </c>
      <c r="B1" s="375"/>
      <c r="C1" s="375"/>
      <c r="D1" s="375"/>
      <c r="E1" s="375"/>
      <c r="F1" s="375"/>
      <c r="G1" s="375"/>
      <c r="H1" s="375"/>
      <c r="I1" s="375"/>
      <c r="J1" s="375"/>
    </row>
    <row r="2" spans="1:10" x14ac:dyDescent="0.6">
      <c r="A2" s="41" t="s">
        <v>232</v>
      </c>
      <c r="B2" s="42"/>
      <c r="C2" s="43"/>
      <c r="D2" s="43"/>
      <c r="E2" s="44"/>
      <c r="F2" s="43"/>
      <c r="G2" s="45"/>
      <c r="H2" s="44"/>
      <c r="I2" s="46"/>
      <c r="J2" s="47"/>
    </row>
    <row r="3" spans="1:10" x14ac:dyDescent="0.6">
      <c r="A3" s="48" t="s">
        <v>222</v>
      </c>
      <c r="B3" s="42"/>
      <c r="C3" s="43"/>
      <c r="D3" s="45">
        <v>1</v>
      </c>
      <c r="E3" s="49" t="s">
        <v>8</v>
      </c>
      <c r="F3" s="44"/>
      <c r="G3" s="49"/>
      <c r="H3" s="50"/>
      <c r="I3" s="51"/>
      <c r="J3" s="50"/>
    </row>
    <row r="4" spans="1:10" x14ac:dyDescent="0.6">
      <c r="A4" s="48" t="s">
        <v>223</v>
      </c>
      <c r="B4" s="48"/>
      <c r="C4" s="52"/>
      <c r="D4" s="53">
        <v>1</v>
      </c>
      <c r="E4" s="49" t="s">
        <v>224</v>
      </c>
      <c r="F4" s="54">
        <v>448.6</v>
      </c>
      <c r="G4" s="49" t="s">
        <v>32</v>
      </c>
      <c r="H4" s="43" t="s">
        <v>17</v>
      </c>
      <c r="I4" s="45">
        <f>ROUND(F4*D4,2)</f>
        <v>448.6</v>
      </c>
      <c r="J4" s="46" t="s">
        <v>34</v>
      </c>
    </row>
    <row r="5" spans="1:10" x14ac:dyDescent="0.6">
      <c r="A5" s="48" t="s">
        <v>225</v>
      </c>
      <c r="B5" s="42"/>
      <c r="C5" s="52"/>
      <c r="D5" s="53">
        <v>0.3</v>
      </c>
      <c r="E5" s="49" t="s">
        <v>224</v>
      </c>
      <c r="F5" s="54">
        <v>439.25</v>
      </c>
      <c r="G5" s="49" t="s">
        <v>32</v>
      </c>
      <c r="H5" s="43" t="s">
        <v>17</v>
      </c>
      <c r="I5" s="45">
        <f>ROUND(F5*D5,2)</f>
        <v>131.78</v>
      </c>
      <c r="J5" s="46" t="s">
        <v>34</v>
      </c>
    </row>
    <row r="6" spans="1:10" x14ac:dyDescent="0.6">
      <c r="A6" s="48" t="s">
        <v>227</v>
      </c>
      <c r="B6" s="42"/>
      <c r="C6" s="52"/>
      <c r="D6" s="53">
        <v>0.3</v>
      </c>
      <c r="E6" s="49" t="s">
        <v>226</v>
      </c>
      <c r="F6" s="54">
        <v>35</v>
      </c>
      <c r="G6" s="49" t="s">
        <v>32</v>
      </c>
      <c r="H6" s="43" t="s">
        <v>17</v>
      </c>
      <c r="I6" s="45">
        <f>ROUND(F6*D6,2)</f>
        <v>10.5</v>
      </c>
      <c r="J6" s="46" t="s">
        <v>34</v>
      </c>
    </row>
    <row r="7" spans="1:10" x14ac:dyDescent="0.6">
      <c r="A7" s="48" t="s">
        <v>228</v>
      </c>
      <c r="B7" s="42"/>
      <c r="C7" s="52"/>
      <c r="D7" s="53">
        <v>0.25</v>
      </c>
      <c r="E7" s="49" t="s">
        <v>229</v>
      </c>
      <c r="F7" s="54">
        <v>57.94</v>
      </c>
      <c r="G7" s="49" t="s">
        <v>32</v>
      </c>
      <c r="H7" s="43" t="s">
        <v>17</v>
      </c>
      <c r="I7" s="45">
        <f>ROUND(F7*D7,2)</f>
        <v>14.49</v>
      </c>
      <c r="J7" s="46" t="s">
        <v>34</v>
      </c>
    </row>
    <row r="8" spans="1:10" x14ac:dyDescent="0.6">
      <c r="A8" s="48"/>
      <c r="B8" s="42"/>
      <c r="C8" s="52"/>
      <c r="D8" s="53"/>
      <c r="E8" s="49"/>
      <c r="F8" s="54" t="s">
        <v>3</v>
      </c>
      <c r="G8" s="49"/>
      <c r="H8" s="43" t="s">
        <v>17</v>
      </c>
      <c r="I8" s="45">
        <f>I4+I5+I6+I7</f>
        <v>605.37</v>
      </c>
      <c r="J8" s="46" t="s">
        <v>34</v>
      </c>
    </row>
    <row r="9" spans="1:10" x14ac:dyDescent="0.6">
      <c r="A9" s="48" t="s">
        <v>230</v>
      </c>
      <c r="B9" s="42"/>
      <c r="C9" s="52"/>
      <c r="D9" s="53"/>
      <c r="E9" s="49">
        <f>I8</f>
        <v>605.37</v>
      </c>
      <c r="F9" s="54" t="s">
        <v>33</v>
      </c>
      <c r="G9" s="49">
        <v>4</v>
      </c>
      <c r="H9" s="43" t="s">
        <v>17</v>
      </c>
      <c r="I9" s="45">
        <f>E9/G9</f>
        <v>151.3425</v>
      </c>
      <c r="J9" s="46" t="s">
        <v>34</v>
      </c>
    </row>
    <row r="10" spans="1:10" x14ac:dyDescent="0.6">
      <c r="A10" s="48" t="s">
        <v>119</v>
      </c>
      <c r="B10" s="42"/>
      <c r="C10" s="52"/>
      <c r="D10" s="53"/>
      <c r="E10" s="49"/>
      <c r="F10" s="54"/>
      <c r="G10" s="49"/>
      <c r="H10" s="43" t="s">
        <v>17</v>
      </c>
      <c r="I10" s="45">
        <v>133</v>
      </c>
      <c r="J10" s="46" t="s">
        <v>34</v>
      </c>
    </row>
    <row r="11" spans="1:10" x14ac:dyDescent="0.6">
      <c r="A11" s="48" t="s">
        <v>120</v>
      </c>
      <c r="B11" s="42"/>
      <c r="C11" s="52"/>
      <c r="D11" s="53"/>
      <c r="E11" s="49"/>
      <c r="F11" s="54"/>
      <c r="G11" s="49"/>
      <c r="H11" s="43" t="s">
        <v>17</v>
      </c>
      <c r="I11" s="45">
        <v>10</v>
      </c>
      <c r="J11" s="46" t="s">
        <v>34</v>
      </c>
    </row>
    <row r="12" spans="1:10" x14ac:dyDescent="0.6">
      <c r="A12" s="42"/>
      <c r="B12" s="48"/>
      <c r="C12" s="42"/>
      <c r="D12" s="42"/>
      <c r="E12" s="42"/>
      <c r="F12" s="42"/>
      <c r="G12" s="52" t="s">
        <v>3</v>
      </c>
      <c r="H12" s="43" t="s">
        <v>17</v>
      </c>
      <c r="I12" s="45">
        <f>ROUND(SUM(I9:I11),2)</f>
        <v>294.33999999999997</v>
      </c>
      <c r="J12" s="46" t="s">
        <v>34</v>
      </c>
    </row>
    <row r="14" spans="1:10" x14ac:dyDescent="0.6">
      <c r="A14" s="41" t="s">
        <v>233</v>
      </c>
      <c r="B14" s="42"/>
      <c r="C14" s="43"/>
      <c r="D14" s="43"/>
      <c r="E14" s="44"/>
      <c r="F14" s="43"/>
      <c r="G14" s="45"/>
      <c r="H14" s="44"/>
      <c r="I14" s="46"/>
      <c r="J14" s="47"/>
    </row>
    <row r="15" spans="1:10" x14ac:dyDescent="0.6">
      <c r="A15" s="48" t="s">
        <v>222</v>
      </c>
      <c r="B15" s="42"/>
      <c r="C15" s="43"/>
      <c r="D15" s="45">
        <v>1</v>
      </c>
      <c r="E15" s="49" t="s">
        <v>8</v>
      </c>
      <c r="F15" s="44"/>
      <c r="G15" s="49"/>
      <c r="H15" s="50"/>
      <c r="I15" s="51"/>
      <c r="J15" s="50"/>
    </row>
    <row r="16" spans="1:10" x14ac:dyDescent="0.6">
      <c r="A16" s="48" t="s">
        <v>223</v>
      </c>
      <c r="B16" s="48"/>
      <c r="C16" s="52"/>
      <c r="D16" s="53">
        <v>1</v>
      </c>
      <c r="E16" s="49" t="s">
        <v>224</v>
      </c>
      <c r="F16" s="54">
        <v>448.6</v>
      </c>
      <c r="G16" s="49" t="s">
        <v>32</v>
      </c>
      <c r="H16" s="43" t="s">
        <v>17</v>
      </c>
      <c r="I16" s="45">
        <f>ROUND(F16*D16,2)</f>
        <v>448.6</v>
      </c>
      <c r="J16" s="46" t="s">
        <v>34</v>
      </c>
    </row>
    <row r="17" spans="1:10" x14ac:dyDescent="0.6">
      <c r="A17" s="48" t="s">
        <v>225</v>
      </c>
      <c r="B17" s="42"/>
      <c r="C17" s="52"/>
      <c r="D17" s="53">
        <v>0.3</v>
      </c>
      <c r="E17" s="49" t="s">
        <v>224</v>
      </c>
      <c r="F17" s="54">
        <v>439.25</v>
      </c>
      <c r="G17" s="49" t="s">
        <v>32</v>
      </c>
      <c r="H17" s="43" t="s">
        <v>17</v>
      </c>
      <c r="I17" s="45">
        <f>ROUND(F17*D17,2)</f>
        <v>131.78</v>
      </c>
      <c r="J17" s="46" t="s">
        <v>34</v>
      </c>
    </row>
    <row r="18" spans="1:10" x14ac:dyDescent="0.6">
      <c r="A18" s="48" t="s">
        <v>227</v>
      </c>
      <c r="B18" s="42"/>
      <c r="C18" s="52"/>
      <c r="D18" s="53">
        <v>0.3</v>
      </c>
      <c r="E18" s="49" t="s">
        <v>226</v>
      </c>
      <c r="F18" s="54">
        <v>35</v>
      </c>
      <c r="G18" s="49" t="s">
        <v>32</v>
      </c>
      <c r="H18" s="43" t="s">
        <v>17</v>
      </c>
      <c r="I18" s="45">
        <f>ROUND(F18*D18,2)</f>
        <v>10.5</v>
      </c>
      <c r="J18" s="46" t="s">
        <v>34</v>
      </c>
    </row>
    <row r="19" spans="1:10" x14ac:dyDescent="0.6">
      <c r="A19" s="48" t="s">
        <v>228</v>
      </c>
      <c r="B19" s="42"/>
      <c r="C19" s="52"/>
      <c r="D19" s="53">
        <v>0.25</v>
      </c>
      <c r="E19" s="49" t="s">
        <v>229</v>
      </c>
      <c r="F19" s="54">
        <v>57.94</v>
      </c>
      <c r="G19" s="49" t="s">
        <v>32</v>
      </c>
      <c r="H19" s="43" t="s">
        <v>17</v>
      </c>
      <c r="I19" s="45">
        <f>ROUND(F19*D19,2)</f>
        <v>14.49</v>
      </c>
      <c r="J19" s="46" t="s">
        <v>34</v>
      </c>
    </row>
    <row r="20" spans="1:10" x14ac:dyDescent="0.6">
      <c r="A20" s="48"/>
      <c r="B20" s="42"/>
      <c r="C20" s="52"/>
      <c r="D20" s="53"/>
      <c r="E20" s="49"/>
      <c r="F20" s="54" t="s">
        <v>3</v>
      </c>
      <c r="G20" s="49"/>
      <c r="H20" s="43" t="s">
        <v>17</v>
      </c>
      <c r="I20" s="45">
        <f>I16+I17+I18+I19</f>
        <v>605.37</v>
      </c>
      <c r="J20" s="46" t="s">
        <v>34</v>
      </c>
    </row>
    <row r="21" spans="1:10" x14ac:dyDescent="0.6">
      <c r="A21" s="48" t="s">
        <v>231</v>
      </c>
      <c r="B21" s="42"/>
      <c r="C21" s="52"/>
      <c r="D21" s="53"/>
      <c r="E21" s="49">
        <f>I20</f>
        <v>605.37</v>
      </c>
      <c r="F21" s="54" t="s">
        <v>33</v>
      </c>
      <c r="G21" s="49">
        <v>5</v>
      </c>
      <c r="H21" s="43" t="s">
        <v>17</v>
      </c>
      <c r="I21" s="45">
        <f>E21/G21</f>
        <v>121.074</v>
      </c>
      <c r="J21" s="46" t="s">
        <v>34</v>
      </c>
    </row>
    <row r="22" spans="1:10" x14ac:dyDescent="0.6">
      <c r="A22" s="48" t="s">
        <v>119</v>
      </c>
      <c r="B22" s="42"/>
      <c r="C22" s="52"/>
      <c r="D22" s="53"/>
      <c r="E22" s="49"/>
      <c r="F22" s="54"/>
      <c r="G22" s="49"/>
      <c r="H22" s="43" t="s">
        <v>17</v>
      </c>
      <c r="I22" s="45">
        <v>133</v>
      </c>
      <c r="J22" s="46" t="s">
        <v>34</v>
      </c>
    </row>
    <row r="23" spans="1:10" x14ac:dyDescent="0.6">
      <c r="A23" s="48" t="s">
        <v>120</v>
      </c>
      <c r="B23" s="42"/>
      <c r="C23" s="52"/>
      <c r="D23" s="53"/>
      <c r="E23" s="49"/>
      <c r="F23" s="54"/>
      <c r="G23" s="49"/>
      <c r="H23" s="43" t="s">
        <v>17</v>
      </c>
      <c r="I23" s="45">
        <v>10</v>
      </c>
      <c r="J23" s="46" t="s">
        <v>34</v>
      </c>
    </row>
    <row r="24" spans="1:10" x14ac:dyDescent="0.6">
      <c r="A24" s="42"/>
      <c r="B24" s="48"/>
      <c r="C24" s="42"/>
      <c r="D24" s="42"/>
      <c r="E24" s="42"/>
      <c r="F24" s="42"/>
      <c r="G24" s="52" t="s">
        <v>3</v>
      </c>
      <c r="H24" s="43" t="s">
        <v>17</v>
      </c>
      <c r="I24" s="45">
        <f>ROUND(SUM(I21:I23),2)</f>
        <v>264.07</v>
      </c>
      <c r="J24" s="46" t="s">
        <v>34</v>
      </c>
    </row>
  </sheetData>
  <mergeCells count="1">
    <mergeCell ref="A1:J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5</vt:i4>
      </vt:variant>
      <vt:variant>
        <vt:lpstr>ช่วงที่มีชื่อ</vt:lpstr>
      </vt:variant>
      <vt:variant>
        <vt:i4>2</vt:i4>
      </vt:variant>
    </vt:vector>
  </HeadingPairs>
  <TitlesOfParts>
    <vt:vector size="7" baseType="lpstr">
      <vt:lpstr>สรุปราคากลาง</vt:lpstr>
      <vt:lpstr>ค่างานต้นทุนต่อหน่วย</vt:lpstr>
      <vt:lpstr>ข้อมูลราคาวัสดุ</vt:lpstr>
      <vt:lpstr>ข้อมูลคอนกรีต</vt:lpstr>
      <vt:lpstr>ไม้แบบ</vt:lpstr>
      <vt:lpstr>ค่างานต้นทุนต่อหน่วย!Print_Area</vt:lpstr>
      <vt:lpstr>สรุปราคากลาง!Print_Area</vt:lpstr>
    </vt:vector>
  </TitlesOfParts>
  <Company>Boonseanrang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Kiattiwat@Porntida</dc:creator>
  <cp:lastModifiedBy>Wiangchai</cp:lastModifiedBy>
  <cp:lastPrinted>2025-01-08T02:10:50Z</cp:lastPrinted>
  <dcterms:created xsi:type="dcterms:W3CDTF">2005-03-05T09:54:06Z</dcterms:created>
  <dcterms:modified xsi:type="dcterms:W3CDTF">2025-01-20T06:06:28Z</dcterms:modified>
</cp:coreProperties>
</file>