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ปี68e-bidding\สนามกีฬาชุมชน ทต.คำพราน\"/>
    </mc:Choice>
  </mc:AlternateContent>
  <xr:revisionPtr revIDLastSave="0" documentId="13_ncr:1_{B4A6095C-71D8-4817-B43E-D411DEB251FE}" xr6:coauthVersionLast="47" xr6:coauthVersionMax="47" xr10:uidLastSave="{00000000-0000-0000-0000-000000000000}"/>
  <bookViews>
    <workbookView xWindow="-120" yWindow="-120" windowWidth="20730" windowHeight="11160" firstSheet="5" activeTab="8" xr2:uid="{C247C358-74C1-46BB-8CD7-BDB5024CF5E0}"/>
  </bookViews>
  <sheets>
    <sheet name="ปร.5 - ราคากลาง" sheetId="13" state="hidden" r:id="rId1"/>
    <sheet name="ปร.5" sheetId="1" r:id="rId2"/>
    <sheet name="Sheet1" sheetId="14" r:id="rId3"/>
    <sheet name="ปร.4 งานก่อสร้าง" sheetId="9" r:id="rId4"/>
    <sheet name="งานโครงสร้าง" sheetId="4" r:id="rId5"/>
    <sheet name="งานสถาปัตยกรรม" sheetId="5" r:id="rId6"/>
    <sheet name="งานระบบไฟฟ้าและแสงสว่าง" sheetId="6" r:id="rId7"/>
    <sheet name="งานระบบสุขาภิบาล" sheetId="7" r:id="rId8"/>
    <sheet name="ครุภัณฑ์" sheetId="11" r:id="rId9"/>
    <sheet name="ค่าใช้จ่ายพิเศษ" sheetId="10" r:id="rId10"/>
    <sheet name="JOISTS" sheetId="12" r:id="rId11"/>
    <sheet name="Data ปร.4" sheetId="2" state="hidden" r:id="rId12"/>
  </sheets>
  <definedNames>
    <definedName name="_xlnm.Print_Area" localSheetId="5">งานสถาปัตยกรรม!$A$1:$I$66</definedName>
    <definedName name="_xlnm.Print_Area" localSheetId="1">ปร.5!$A$1:$I$41</definedName>
    <definedName name="_xlnm.Print_Titles" localSheetId="11">'Data ปร.4'!$1:$9</definedName>
    <definedName name="_xlnm.Print_Titles" localSheetId="8">ครุภัณฑ์!$1:$8</definedName>
    <definedName name="_xlnm.Print_Titles" localSheetId="9">ค่าใช้จ่ายพิเศษ!$1:$8</definedName>
    <definedName name="_xlnm.Print_Titles" localSheetId="4">งานโครงสร้าง!$1:$8</definedName>
    <definedName name="_xlnm.Print_Titles" localSheetId="6">งานระบบไฟฟ้าและแสงสว่าง!$1:$8</definedName>
    <definedName name="_xlnm.Print_Titles" localSheetId="7">งานระบบสุขาภิบาล!$1:$8</definedName>
    <definedName name="_xlnm.Print_Titles" localSheetId="5">งานสถาปัตยกรรม!$1:$8</definedName>
    <definedName name="_xlnm.Print_Titles" localSheetId="3">'ปร.4 งานก่อสร้าง'!$1:$8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F17" i="1" l="1"/>
  <c r="C19" i="1" l="1"/>
  <c r="C22" i="4" l="1"/>
  <c r="H22" i="4" s="1"/>
  <c r="E22" i="4"/>
  <c r="F22" i="4" l="1"/>
  <c r="I22" i="4" s="1"/>
  <c r="E21" i="4"/>
  <c r="A6" i="10"/>
  <c r="A5" i="10"/>
  <c r="A4" i="10"/>
  <c r="A6" i="11"/>
  <c r="A5" i="11"/>
  <c r="A4" i="11"/>
  <c r="A6" i="7"/>
  <c r="A5" i="7"/>
  <c r="A4" i="7"/>
  <c r="A6" i="6"/>
  <c r="A5" i="6"/>
  <c r="A4" i="6"/>
  <c r="A6" i="5"/>
  <c r="A5" i="5"/>
  <c r="A4" i="5"/>
  <c r="A6" i="4"/>
  <c r="A5" i="4"/>
  <c r="A4" i="4"/>
  <c r="A6" i="9"/>
  <c r="H12" i="7"/>
  <c r="H13" i="7"/>
  <c r="H14" i="7"/>
  <c r="H15" i="7"/>
  <c r="H16" i="7"/>
  <c r="H17" i="7"/>
  <c r="H19" i="7"/>
  <c r="H21" i="7"/>
  <c r="H11" i="7"/>
  <c r="F12" i="7"/>
  <c r="F13" i="7"/>
  <c r="F14" i="7"/>
  <c r="F15" i="7"/>
  <c r="F16" i="7"/>
  <c r="F18" i="7"/>
  <c r="F20" i="7"/>
  <c r="F22" i="7"/>
  <c r="F11" i="7"/>
  <c r="H65" i="5"/>
  <c r="F65" i="5"/>
  <c r="H61" i="5"/>
  <c r="H62" i="5"/>
  <c r="H60" i="5"/>
  <c r="F61" i="5"/>
  <c r="F62" i="5"/>
  <c r="F60" i="5"/>
  <c r="H56" i="5"/>
  <c r="H57" i="5"/>
  <c r="H55" i="5"/>
  <c r="H51" i="5"/>
  <c r="H52" i="5"/>
  <c r="H50" i="5"/>
  <c r="F56" i="5"/>
  <c r="F57" i="5"/>
  <c r="F51" i="5"/>
  <c r="F52" i="5"/>
  <c r="F50" i="5"/>
  <c r="H32" i="5"/>
  <c r="H33" i="5"/>
  <c r="H34" i="5"/>
  <c r="H38" i="5"/>
  <c r="H41" i="5"/>
  <c r="H31" i="5"/>
  <c r="F32" i="5"/>
  <c r="F33" i="5"/>
  <c r="F34" i="5"/>
  <c r="F38" i="5"/>
  <c r="F41" i="5"/>
  <c r="F31" i="5"/>
  <c r="H24" i="5"/>
  <c r="H25" i="5"/>
  <c r="H26" i="5"/>
  <c r="H27" i="5"/>
  <c r="H28" i="5"/>
  <c r="H23" i="5"/>
  <c r="F24" i="5"/>
  <c r="F25" i="5"/>
  <c r="F26" i="5"/>
  <c r="F27" i="5"/>
  <c r="F28" i="5"/>
  <c r="F23" i="5"/>
  <c r="H20" i="5"/>
  <c r="F20" i="5"/>
  <c r="H76" i="4"/>
  <c r="H63" i="4"/>
  <c r="H64" i="4"/>
  <c r="H65" i="4"/>
  <c r="H53" i="4"/>
  <c r="H37" i="4"/>
  <c r="H38" i="4"/>
  <c r="H44" i="4"/>
  <c r="H28" i="4"/>
  <c r="F76" i="4"/>
  <c r="F63" i="4"/>
  <c r="F64" i="4"/>
  <c r="F65" i="4"/>
  <c r="F53" i="4"/>
  <c r="F37" i="4"/>
  <c r="F38" i="4"/>
  <c r="F44" i="4"/>
  <c r="F28" i="4"/>
  <c r="E55" i="5" l="1"/>
  <c r="F55" i="5" s="1"/>
  <c r="E17" i="7"/>
  <c r="F17" i="7" s="1"/>
  <c r="G17" i="5"/>
  <c r="B16" i="5"/>
  <c r="H66" i="5"/>
  <c r="H16" i="5" s="1"/>
  <c r="F66" i="5"/>
  <c r="F16" i="5" s="1"/>
  <c r="I65" i="5" l="1"/>
  <c r="I66" i="5" s="1"/>
  <c r="I16" i="5" s="1"/>
  <c r="H14" i="10"/>
  <c r="H15" i="10" s="1"/>
  <c r="F14" i="10"/>
  <c r="I12" i="9"/>
  <c r="H12" i="9"/>
  <c r="F12" i="9"/>
  <c r="I15" i="6"/>
  <c r="H15" i="6"/>
  <c r="F15" i="6"/>
  <c r="C62" i="5"/>
  <c r="C61" i="5"/>
  <c r="C60" i="5"/>
  <c r="I14" i="10" l="1"/>
  <c r="C21" i="4"/>
  <c r="B15" i="5"/>
  <c r="B14" i="5"/>
  <c r="B13" i="5"/>
  <c r="B12" i="5"/>
  <c r="B11" i="5"/>
  <c r="B10" i="5"/>
  <c r="C19" i="4"/>
  <c r="B15" i="4"/>
  <c r="B14" i="4"/>
  <c r="B13" i="4"/>
  <c r="B12" i="4"/>
  <c r="B11" i="4"/>
  <c r="B10" i="4"/>
  <c r="D11" i="13"/>
  <c r="F11" i="13" s="1"/>
  <c r="H21" i="4" l="1"/>
  <c r="F21" i="4"/>
  <c r="H19" i="4"/>
  <c r="F19" i="4"/>
  <c r="H63" i="5"/>
  <c r="H15" i="5" s="1"/>
  <c r="I62" i="5"/>
  <c r="I61" i="5"/>
  <c r="H57" i="11"/>
  <c r="H11" i="11"/>
  <c r="H12" i="11"/>
  <c r="H13" i="11"/>
  <c r="H14" i="11"/>
  <c r="H15" i="11"/>
  <c r="H16" i="11"/>
  <c r="H17" i="11"/>
  <c r="H18" i="11"/>
  <c r="H19" i="11"/>
  <c r="H20" i="11"/>
  <c r="I20" i="11"/>
  <c r="H21" i="11"/>
  <c r="H22" i="11"/>
  <c r="I22" i="11"/>
  <c r="H23" i="11"/>
  <c r="H24" i="11"/>
  <c r="H25" i="11"/>
  <c r="H26" i="11"/>
  <c r="I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F11" i="11"/>
  <c r="F12" i="11"/>
  <c r="I12" i="11" s="1"/>
  <c r="F13" i="11"/>
  <c r="F14" i="11"/>
  <c r="I14" i="11" s="1"/>
  <c r="F15" i="11"/>
  <c r="I15" i="11" s="1"/>
  <c r="F16" i="11"/>
  <c r="I16" i="11" s="1"/>
  <c r="F17" i="11"/>
  <c r="I17" i="11" s="1"/>
  <c r="F18" i="11"/>
  <c r="I18" i="11" s="1"/>
  <c r="F19" i="11"/>
  <c r="F20" i="11"/>
  <c r="F21" i="11"/>
  <c r="I21" i="11" s="1"/>
  <c r="F22" i="11"/>
  <c r="F23" i="11"/>
  <c r="I23" i="11" s="1"/>
  <c r="F24" i="11"/>
  <c r="I24" i="11" s="1"/>
  <c r="F25" i="11"/>
  <c r="F26" i="11"/>
  <c r="F27" i="11"/>
  <c r="I27" i="11" s="1"/>
  <c r="F28" i="11"/>
  <c r="I28" i="11" s="1"/>
  <c r="F29" i="11"/>
  <c r="I29" i="11" s="1"/>
  <c r="F30" i="11"/>
  <c r="I30" i="11" s="1"/>
  <c r="F31" i="11"/>
  <c r="F32" i="11"/>
  <c r="I32" i="11" s="1"/>
  <c r="F33" i="11"/>
  <c r="I33" i="11" s="1"/>
  <c r="F34" i="11"/>
  <c r="I34" i="11" s="1"/>
  <c r="F35" i="11"/>
  <c r="I35" i="11" s="1"/>
  <c r="F36" i="11"/>
  <c r="I36" i="11" s="1"/>
  <c r="F37" i="11"/>
  <c r="F38" i="11"/>
  <c r="I38" i="11" s="1"/>
  <c r="F39" i="11"/>
  <c r="I39" i="11" s="1"/>
  <c r="F40" i="11"/>
  <c r="I40" i="11" s="1"/>
  <c r="F41" i="11"/>
  <c r="I41" i="11" s="1"/>
  <c r="F42" i="11"/>
  <c r="I42" i="11" s="1"/>
  <c r="F43" i="11"/>
  <c r="F44" i="11"/>
  <c r="I44" i="11" s="1"/>
  <c r="F45" i="11"/>
  <c r="I45" i="11" s="1"/>
  <c r="F46" i="11"/>
  <c r="I46" i="11" s="1"/>
  <c r="F47" i="11"/>
  <c r="I47" i="11" s="1"/>
  <c r="F48" i="11"/>
  <c r="I48" i="11" s="1"/>
  <c r="F49" i="11"/>
  <c r="F50" i="11"/>
  <c r="I50" i="11" s="1"/>
  <c r="F51" i="11"/>
  <c r="I51" i="11" s="1"/>
  <c r="F52" i="11"/>
  <c r="I52" i="11" s="1"/>
  <c r="F53" i="11"/>
  <c r="I53" i="11" s="1"/>
  <c r="F54" i="11"/>
  <c r="I54" i="11" s="1"/>
  <c r="F55" i="11"/>
  <c r="F56" i="11"/>
  <c r="I56" i="11" s="1"/>
  <c r="I10" i="11"/>
  <c r="H10" i="11"/>
  <c r="F10" i="11"/>
  <c r="I60" i="5" l="1"/>
  <c r="I63" i="5" s="1"/>
  <c r="I15" i="5" s="1"/>
  <c r="F63" i="5"/>
  <c r="F15" i="5" s="1"/>
  <c r="I19" i="4"/>
  <c r="I55" i="11"/>
  <c r="I49" i="11"/>
  <c r="I43" i="11"/>
  <c r="I37" i="11"/>
  <c r="I31" i="11"/>
  <c r="I25" i="11"/>
  <c r="I19" i="11"/>
  <c r="I13" i="11"/>
  <c r="F57" i="11"/>
  <c r="I11" i="11"/>
  <c r="I57" i="11" l="1"/>
  <c r="D13" i="1" s="1"/>
  <c r="F13" i="1" s="1"/>
  <c r="C50" i="4"/>
  <c r="C51" i="4"/>
  <c r="C15" i="7"/>
  <c r="C20" i="5"/>
  <c r="C28" i="5"/>
  <c r="C41" i="5"/>
  <c r="C34" i="5"/>
  <c r="C33" i="5"/>
  <c r="C31" i="5"/>
  <c r="C50" i="5"/>
  <c r="C51" i="5" s="1"/>
  <c r="C57" i="4"/>
  <c r="E23" i="12"/>
  <c r="H20" i="12"/>
  <c r="E21" i="12" s="1"/>
  <c r="E19" i="12"/>
  <c r="C55" i="4"/>
  <c r="C54" i="4"/>
  <c r="H54" i="4" s="1"/>
  <c r="C56" i="4"/>
  <c r="E11" i="12"/>
  <c r="E10" i="12"/>
  <c r="H8" i="12"/>
  <c r="E9" i="12" s="1"/>
  <c r="C52" i="4"/>
  <c r="F14" i="6"/>
  <c r="F12" i="6"/>
  <c r="F13" i="6"/>
  <c r="H14" i="6"/>
  <c r="H12" i="6"/>
  <c r="C57" i="5"/>
  <c r="C56" i="5"/>
  <c r="C55" i="5"/>
  <c r="H13" i="6"/>
  <c r="F10" i="10"/>
  <c r="H10" i="10"/>
  <c r="C25" i="5"/>
  <c r="C26" i="5"/>
  <c r="F52" i="4" l="1"/>
  <c r="H52" i="4"/>
  <c r="D17" i="12"/>
  <c r="F25" i="12" s="1"/>
  <c r="H57" i="4"/>
  <c r="H56" i="4"/>
  <c r="F56" i="4"/>
  <c r="H55" i="4"/>
  <c r="F55" i="4"/>
  <c r="H51" i="4"/>
  <c r="F51" i="4"/>
  <c r="H50" i="4"/>
  <c r="F50" i="4"/>
  <c r="I10" i="10"/>
  <c r="C21" i="12"/>
  <c r="H21" i="12" s="1"/>
  <c r="D5" i="12"/>
  <c r="C11" i="12" s="1"/>
  <c r="H11" i="12" s="1"/>
  <c r="I12" i="7"/>
  <c r="I53" i="4"/>
  <c r="I52" i="4"/>
  <c r="I14" i="6"/>
  <c r="I12" i="6"/>
  <c r="C52" i="5"/>
  <c r="I13" i="6"/>
  <c r="C49" i="4"/>
  <c r="C48" i="4"/>
  <c r="C78" i="4"/>
  <c r="C75" i="4"/>
  <c r="C74" i="4"/>
  <c r="C73" i="4"/>
  <c r="C67" i="4"/>
  <c r="C62" i="4"/>
  <c r="C61" i="4"/>
  <c r="C60" i="4"/>
  <c r="C40" i="4"/>
  <c r="C36" i="4"/>
  <c r="C30" i="4"/>
  <c r="C27" i="4"/>
  <c r="C26" i="4"/>
  <c r="C25" i="4"/>
  <c r="C20" i="4"/>
  <c r="H13" i="10"/>
  <c r="H12" i="10"/>
  <c r="F12" i="10"/>
  <c r="H11" i="10"/>
  <c r="C38" i="5"/>
  <c r="B13" i="9"/>
  <c r="B12" i="9"/>
  <c r="B11" i="9"/>
  <c r="B10" i="9"/>
  <c r="A5" i="9"/>
  <c r="A4" i="9"/>
  <c r="I13" i="7"/>
  <c r="H11" i="6"/>
  <c r="F11" i="6"/>
  <c r="F21" i="5"/>
  <c r="F10" i="5" s="1"/>
  <c r="C32" i="5"/>
  <c r="C45" i="4"/>
  <c r="C151" i="2"/>
  <c r="F151" i="2" s="1"/>
  <c r="F152" i="2" s="1"/>
  <c r="F154" i="2" s="1"/>
  <c r="C118" i="2"/>
  <c r="F118" i="2" s="1"/>
  <c r="C112" i="2"/>
  <c r="C114" i="2" s="1"/>
  <c r="H114" i="2" s="1"/>
  <c r="C106" i="2"/>
  <c r="C107" i="2" s="1"/>
  <c r="H107" i="2" s="1"/>
  <c r="C109" i="2"/>
  <c r="C110" i="2" s="1"/>
  <c r="F110" i="2" s="1"/>
  <c r="C96" i="2"/>
  <c r="C23" i="12" l="1"/>
  <c r="H23" i="12" s="1"/>
  <c r="F26" i="4"/>
  <c r="H26" i="4"/>
  <c r="I26" i="4" s="1"/>
  <c r="C41" i="4"/>
  <c r="H40" i="4"/>
  <c r="F40" i="4"/>
  <c r="H45" i="4"/>
  <c r="F45" i="4"/>
  <c r="I45" i="4" s="1"/>
  <c r="F60" i="4"/>
  <c r="H60" i="4"/>
  <c r="H61" i="4"/>
  <c r="F61" i="4"/>
  <c r="H62" i="4"/>
  <c r="F62" i="4"/>
  <c r="H67" i="4"/>
  <c r="F67" i="4"/>
  <c r="I67" i="4" s="1"/>
  <c r="H73" i="4"/>
  <c r="F73" i="4"/>
  <c r="F74" i="4"/>
  <c r="H74" i="4"/>
  <c r="C81" i="4"/>
  <c r="H78" i="4"/>
  <c r="F78" i="4"/>
  <c r="F20" i="4"/>
  <c r="F23" i="4" s="1"/>
  <c r="H20" i="4"/>
  <c r="H23" i="4" s="1"/>
  <c r="H10" i="4" s="1"/>
  <c r="F25" i="4"/>
  <c r="H25" i="4"/>
  <c r="H75" i="4"/>
  <c r="I75" i="4" s="1"/>
  <c r="F75" i="4"/>
  <c r="D22" i="12"/>
  <c r="H22" i="12" s="1"/>
  <c r="H27" i="4"/>
  <c r="F27" i="4"/>
  <c r="I27" i="4" s="1"/>
  <c r="H48" i="4"/>
  <c r="F48" i="4"/>
  <c r="C33" i="4"/>
  <c r="F30" i="4"/>
  <c r="H30" i="4"/>
  <c r="H49" i="4"/>
  <c r="F49" i="4"/>
  <c r="I49" i="4" s="1"/>
  <c r="H36" i="4"/>
  <c r="F36" i="4"/>
  <c r="I50" i="5"/>
  <c r="F14" i="12"/>
  <c r="C12" i="12"/>
  <c r="H12" i="12" s="1"/>
  <c r="I51" i="5"/>
  <c r="H24" i="12"/>
  <c r="D25" i="12" s="1"/>
  <c r="C10" i="12"/>
  <c r="H10" i="12" s="1"/>
  <c r="C9" i="12"/>
  <c r="H9" i="12" s="1"/>
  <c r="C39" i="4"/>
  <c r="I14" i="7"/>
  <c r="C79" i="4"/>
  <c r="C66" i="4"/>
  <c r="C27" i="5"/>
  <c r="C29" i="4"/>
  <c r="C31" i="4"/>
  <c r="H53" i="5"/>
  <c r="H13" i="5" s="1"/>
  <c r="I12" i="10"/>
  <c r="C43" i="4"/>
  <c r="C70" i="4"/>
  <c r="C68" i="4"/>
  <c r="C77" i="4"/>
  <c r="F13" i="10"/>
  <c r="F11" i="10"/>
  <c r="I34" i="5"/>
  <c r="I38" i="5"/>
  <c r="I41" i="5"/>
  <c r="I16" i="7"/>
  <c r="E19" i="7"/>
  <c r="F19" i="7" s="1"/>
  <c r="E21" i="7"/>
  <c r="F21" i="7" s="1"/>
  <c r="I15" i="7"/>
  <c r="I11" i="7"/>
  <c r="I11" i="6"/>
  <c r="H21" i="5"/>
  <c r="H10" i="5" s="1"/>
  <c r="I55" i="4"/>
  <c r="I38" i="4"/>
  <c r="I55" i="5"/>
  <c r="I32" i="5"/>
  <c r="I33" i="5"/>
  <c r="I28" i="5"/>
  <c r="I24" i="5"/>
  <c r="I25" i="5"/>
  <c r="I51" i="4"/>
  <c r="I76" i="4"/>
  <c r="I56" i="4"/>
  <c r="I60" i="4"/>
  <c r="I44" i="4"/>
  <c r="I64" i="4"/>
  <c r="I28" i="4"/>
  <c r="I31" i="5"/>
  <c r="I57" i="5"/>
  <c r="I26" i="5"/>
  <c r="I62" i="4"/>
  <c r="I65" i="4"/>
  <c r="I50" i="4"/>
  <c r="I74" i="4"/>
  <c r="H151" i="2"/>
  <c r="H152" i="2" s="1"/>
  <c r="H154" i="2" s="1"/>
  <c r="H118" i="2"/>
  <c r="I118" i="2" s="1"/>
  <c r="F107" i="2"/>
  <c r="I107" i="2" s="1"/>
  <c r="H112" i="2"/>
  <c r="F112" i="2"/>
  <c r="F106" i="2"/>
  <c r="H106" i="2"/>
  <c r="H110" i="2"/>
  <c r="I110" i="2" s="1"/>
  <c r="H109" i="2"/>
  <c r="C113" i="2"/>
  <c r="C117" i="2"/>
  <c r="C116" i="2"/>
  <c r="C115" i="2"/>
  <c r="F109" i="2"/>
  <c r="F114" i="2"/>
  <c r="I114" i="2" s="1"/>
  <c r="C88" i="2"/>
  <c r="C91" i="2" s="1"/>
  <c r="C87" i="2"/>
  <c r="C85" i="2"/>
  <c r="C86" i="2"/>
  <c r="C84" i="2"/>
  <c r="C83" i="2"/>
  <c r="C103" i="2"/>
  <c r="H104" i="2"/>
  <c r="F104" i="2"/>
  <c r="C14" i="2"/>
  <c r="H14" i="2" s="1"/>
  <c r="C13" i="2"/>
  <c r="C140" i="2"/>
  <c r="C12" i="2"/>
  <c r="H12" i="2" s="1"/>
  <c r="H123" i="2"/>
  <c r="F123" i="2"/>
  <c r="H13" i="12" l="1"/>
  <c r="I61" i="4"/>
  <c r="I48" i="4"/>
  <c r="I73" i="4"/>
  <c r="F70" i="4"/>
  <c r="H70" i="4"/>
  <c r="F43" i="4"/>
  <c r="H43" i="4"/>
  <c r="F81" i="4"/>
  <c r="H81" i="4"/>
  <c r="I81" i="4" s="1"/>
  <c r="C32" i="4"/>
  <c r="F31" i="4"/>
  <c r="H31" i="4"/>
  <c r="C69" i="4"/>
  <c r="H68" i="4"/>
  <c r="F68" i="4"/>
  <c r="F33" i="4"/>
  <c r="I33" i="4" s="1"/>
  <c r="H33" i="4"/>
  <c r="F29" i="4"/>
  <c r="H29" i="4"/>
  <c r="H66" i="4"/>
  <c r="F66" i="4"/>
  <c r="C80" i="4"/>
  <c r="H79" i="4"/>
  <c r="F79" i="4"/>
  <c r="C42" i="4"/>
  <c r="H41" i="4"/>
  <c r="F41" i="4"/>
  <c r="H77" i="4"/>
  <c r="F77" i="4"/>
  <c r="I77" i="4" s="1"/>
  <c r="F39" i="4"/>
  <c r="H39" i="4"/>
  <c r="F23" i="7"/>
  <c r="F13" i="9" s="1"/>
  <c r="I13" i="10"/>
  <c r="I15" i="10" s="1"/>
  <c r="F15" i="10"/>
  <c r="I36" i="4"/>
  <c r="I25" i="4"/>
  <c r="F10" i="4"/>
  <c r="I21" i="4"/>
  <c r="H25" i="12"/>
  <c r="E57" i="4" s="1"/>
  <c r="H14" i="12"/>
  <c r="E54" i="4" s="1"/>
  <c r="F58" i="5"/>
  <c r="F14" i="5" s="1"/>
  <c r="I63" i="4"/>
  <c r="F48" i="5"/>
  <c r="F12" i="5" s="1"/>
  <c r="I52" i="5"/>
  <c r="I53" i="5" s="1"/>
  <c r="I13" i="5" s="1"/>
  <c r="F53" i="5"/>
  <c r="F13" i="5" s="1"/>
  <c r="I11" i="10"/>
  <c r="I17" i="7"/>
  <c r="G18" i="7"/>
  <c r="H18" i="7" s="1"/>
  <c r="G20" i="7"/>
  <c r="I19" i="7"/>
  <c r="G22" i="7"/>
  <c r="I21" i="7"/>
  <c r="I20" i="5"/>
  <c r="I21" i="5" s="1"/>
  <c r="I10" i="5" s="1"/>
  <c r="I27" i="5"/>
  <c r="I30" i="4"/>
  <c r="H29" i="5"/>
  <c r="H11" i="5" s="1"/>
  <c r="H58" i="5"/>
  <c r="H14" i="5" s="1"/>
  <c r="I56" i="5"/>
  <c r="I58" i="5" s="1"/>
  <c r="I14" i="5" s="1"/>
  <c r="I78" i="4"/>
  <c r="I23" i="5"/>
  <c r="I20" i="4"/>
  <c r="I40" i="4"/>
  <c r="I37" i="4"/>
  <c r="I151" i="2"/>
  <c r="I152" i="2" s="1"/>
  <c r="I154" i="2" s="1"/>
  <c r="I112" i="2"/>
  <c r="I106" i="2"/>
  <c r="I109" i="2"/>
  <c r="F115" i="2"/>
  <c r="H115" i="2"/>
  <c r="F116" i="2"/>
  <c r="H116" i="2"/>
  <c r="F113" i="2"/>
  <c r="H113" i="2"/>
  <c r="F117" i="2"/>
  <c r="H117" i="2"/>
  <c r="C89" i="2"/>
  <c r="C90" i="2" s="1"/>
  <c r="I104" i="2"/>
  <c r="F14" i="2"/>
  <c r="I14" i="2" s="1"/>
  <c r="F12" i="2"/>
  <c r="I123" i="2"/>
  <c r="C73" i="2"/>
  <c r="C74" i="2"/>
  <c r="C75" i="2"/>
  <c r="C60" i="2"/>
  <c r="C59" i="2"/>
  <c r="C66" i="2"/>
  <c r="C69" i="2" s="1"/>
  <c r="C62" i="2"/>
  <c r="C63" i="2"/>
  <c r="I39" i="4" l="1"/>
  <c r="I43" i="4"/>
  <c r="I29" i="4"/>
  <c r="F80" i="4"/>
  <c r="F82" i="4" s="1"/>
  <c r="F15" i="4" s="1"/>
  <c r="H80" i="4"/>
  <c r="H32" i="4"/>
  <c r="H34" i="4" s="1"/>
  <c r="H11" i="4" s="1"/>
  <c r="F32" i="4"/>
  <c r="F34" i="4" s="1"/>
  <c r="F11" i="4" s="1"/>
  <c r="H42" i="4"/>
  <c r="H46" i="4" s="1"/>
  <c r="H12" i="4" s="1"/>
  <c r="F42" i="4"/>
  <c r="F46" i="4" s="1"/>
  <c r="F12" i="4" s="1"/>
  <c r="H69" i="4"/>
  <c r="H71" i="4" s="1"/>
  <c r="H14" i="4" s="1"/>
  <c r="F69" i="4"/>
  <c r="F71" i="4" s="1"/>
  <c r="F14" i="4" s="1"/>
  <c r="H22" i="7"/>
  <c r="I22" i="7" s="1"/>
  <c r="H20" i="7"/>
  <c r="F57" i="4"/>
  <c r="I57" i="4" s="1"/>
  <c r="F54" i="4"/>
  <c r="I54" i="4" s="1"/>
  <c r="I23" i="4"/>
  <c r="I10" i="4" s="1"/>
  <c r="D14" i="12"/>
  <c r="I41" i="4"/>
  <c r="I68" i="4"/>
  <c r="I18" i="7"/>
  <c r="F29" i="5"/>
  <c r="F11" i="5" s="1"/>
  <c r="I29" i="5"/>
  <c r="I11" i="5" s="1"/>
  <c r="I79" i="4"/>
  <c r="I66" i="4"/>
  <c r="I31" i="4"/>
  <c r="H48" i="5"/>
  <c r="H12" i="5" s="1"/>
  <c r="H58" i="4"/>
  <c r="H13" i="4" s="1"/>
  <c r="I70" i="4"/>
  <c r="I117" i="2"/>
  <c r="I113" i="2"/>
  <c r="I116" i="2"/>
  <c r="I115" i="2"/>
  <c r="I12" i="2"/>
  <c r="C67" i="2"/>
  <c r="C68" i="2" s="1"/>
  <c r="C64" i="2"/>
  <c r="C65" i="2" s="1"/>
  <c r="C61" i="2"/>
  <c r="C79" i="2"/>
  <c r="C131" i="2"/>
  <c r="C133" i="2"/>
  <c r="C134" i="2" s="1"/>
  <c r="C135" i="2" s="1"/>
  <c r="C130" i="2"/>
  <c r="C129" i="2"/>
  <c r="C128" i="2"/>
  <c r="E141" i="2"/>
  <c r="E140" i="2"/>
  <c r="H23" i="7" l="1"/>
  <c r="H13" i="9" s="1"/>
  <c r="I20" i="7"/>
  <c r="I23" i="7"/>
  <c r="I13" i="9" s="1"/>
  <c r="I58" i="4"/>
  <c r="I13" i="4" s="1"/>
  <c r="F58" i="4"/>
  <c r="F13" i="4" s="1"/>
  <c r="F16" i="4" s="1"/>
  <c r="F10" i="9" s="1"/>
  <c r="H17" i="5"/>
  <c r="H11" i="9" s="1"/>
  <c r="F17" i="5"/>
  <c r="F11" i="9" s="1"/>
  <c r="D14" i="1"/>
  <c r="F14" i="1" s="1"/>
  <c r="D12" i="13"/>
  <c r="F12" i="13" s="1"/>
  <c r="I69" i="4"/>
  <c r="I71" i="4" s="1"/>
  <c r="I14" i="4" s="1"/>
  <c r="I80" i="4"/>
  <c r="I48" i="5"/>
  <c r="I12" i="5" s="1"/>
  <c r="I17" i="5" s="1"/>
  <c r="I11" i="9" s="1"/>
  <c r="I32" i="4"/>
  <c r="I34" i="4" s="1"/>
  <c r="I11" i="4" s="1"/>
  <c r="I42" i="4"/>
  <c r="I46" i="4" s="1"/>
  <c r="I12" i="4" s="1"/>
  <c r="H82" i="4"/>
  <c r="H131" i="2"/>
  <c r="C136" i="2"/>
  <c r="F136" i="2" s="1"/>
  <c r="F134" i="2"/>
  <c r="C132" i="2"/>
  <c r="F132" i="2" s="1"/>
  <c r="F131" i="2"/>
  <c r="F129" i="2"/>
  <c r="F133" i="2"/>
  <c r="H133" i="2"/>
  <c r="F128" i="2"/>
  <c r="H129" i="2"/>
  <c r="F130" i="2"/>
  <c r="F137" i="2"/>
  <c r="H137" i="2"/>
  <c r="F138" i="2"/>
  <c r="H138" i="2"/>
  <c r="F139" i="2"/>
  <c r="H139" i="2"/>
  <c r="F140" i="2"/>
  <c r="H140" i="2"/>
  <c r="F141" i="2"/>
  <c r="H141" i="2"/>
  <c r="H142" i="2"/>
  <c r="F143" i="2"/>
  <c r="C54" i="2"/>
  <c r="C52" i="2"/>
  <c r="C55" i="2"/>
  <c r="C53" i="2"/>
  <c r="H13" i="2"/>
  <c r="H15" i="2" s="1"/>
  <c r="F13" i="2"/>
  <c r="F15" i="2" s="1"/>
  <c r="C32" i="2"/>
  <c r="C31" i="2"/>
  <c r="C30" i="2"/>
  <c r="E46" i="2"/>
  <c r="E43" i="2"/>
  <c r="E44" i="2"/>
  <c r="C48" i="2"/>
  <c r="C44" i="2"/>
  <c r="C43" i="2"/>
  <c r="H15" i="4" l="1"/>
  <c r="H16" i="4" s="1"/>
  <c r="H10" i="9" s="1"/>
  <c r="H14" i="9" s="1"/>
  <c r="F14" i="9"/>
  <c r="I82" i="4"/>
  <c r="I15" i="4" s="1"/>
  <c r="I16" i="4" s="1"/>
  <c r="I10" i="9" s="1"/>
  <c r="E146" i="2"/>
  <c r="E144" i="2"/>
  <c r="F144" i="2" s="1"/>
  <c r="E142" i="2"/>
  <c r="F142" i="2" s="1"/>
  <c r="G143" i="2" s="1"/>
  <c r="H143" i="2" s="1"/>
  <c r="I143" i="2" s="1"/>
  <c r="I138" i="2"/>
  <c r="I137" i="2"/>
  <c r="H136" i="2"/>
  <c r="I136" i="2" s="1"/>
  <c r="H132" i="2"/>
  <c r="I132" i="2" s="1"/>
  <c r="I131" i="2"/>
  <c r="I133" i="2"/>
  <c r="I129" i="2"/>
  <c r="H134" i="2"/>
  <c r="I134" i="2" s="1"/>
  <c r="I139" i="2"/>
  <c r="H130" i="2"/>
  <c r="I130" i="2" s="1"/>
  <c r="H128" i="2"/>
  <c r="I141" i="2"/>
  <c r="I140" i="2"/>
  <c r="I13" i="2"/>
  <c r="I15" i="2" s="1"/>
  <c r="C47" i="2"/>
  <c r="F47" i="2" s="1"/>
  <c r="C46" i="2"/>
  <c r="F46" i="2" s="1"/>
  <c r="C45" i="2"/>
  <c r="F45" i="2" s="1"/>
  <c r="C38" i="2"/>
  <c r="H38" i="2" s="1"/>
  <c r="C39" i="2"/>
  <c r="H39" i="2" s="1"/>
  <c r="H32" i="2"/>
  <c r="F31" i="2"/>
  <c r="C34" i="2"/>
  <c r="C37" i="2" s="1"/>
  <c r="H43" i="2"/>
  <c r="H44" i="2"/>
  <c r="H48" i="2"/>
  <c r="H52" i="2"/>
  <c r="H53" i="2"/>
  <c r="H54" i="2"/>
  <c r="H55" i="2"/>
  <c r="H59" i="2"/>
  <c r="H60" i="2"/>
  <c r="H61" i="2"/>
  <c r="H62" i="2"/>
  <c r="H63" i="2"/>
  <c r="H64" i="2"/>
  <c r="H65" i="2"/>
  <c r="H66" i="2"/>
  <c r="H67" i="2"/>
  <c r="H68" i="2"/>
  <c r="H69" i="2"/>
  <c r="H73" i="2"/>
  <c r="H74" i="2"/>
  <c r="H75" i="2"/>
  <c r="H79" i="2"/>
  <c r="H80" i="2" s="1"/>
  <c r="H83" i="2"/>
  <c r="H84" i="2"/>
  <c r="H85" i="2"/>
  <c r="H86" i="2"/>
  <c r="H87" i="2"/>
  <c r="H88" i="2"/>
  <c r="H89" i="2"/>
  <c r="H90" i="2"/>
  <c r="H91" i="2"/>
  <c r="H93" i="2"/>
  <c r="H94" i="2"/>
  <c r="H95" i="2"/>
  <c r="H96" i="2"/>
  <c r="H97" i="2"/>
  <c r="H98" i="2"/>
  <c r="H102" i="2"/>
  <c r="H103" i="2"/>
  <c r="H122" i="2"/>
  <c r="H124" i="2" s="1"/>
  <c r="H144" i="2"/>
  <c r="H146" i="2"/>
  <c r="F43" i="2"/>
  <c r="F44" i="2"/>
  <c r="F48" i="2"/>
  <c r="F52" i="2"/>
  <c r="F53" i="2"/>
  <c r="F54" i="2"/>
  <c r="F55" i="2"/>
  <c r="F59" i="2"/>
  <c r="F60" i="2"/>
  <c r="F61" i="2"/>
  <c r="F62" i="2"/>
  <c r="F63" i="2"/>
  <c r="F64" i="2"/>
  <c r="F65" i="2"/>
  <c r="F66" i="2"/>
  <c r="F67" i="2"/>
  <c r="F68" i="2"/>
  <c r="F69" i="2"/>
  <c r="F73" i="2"/>
  <c r="F74" i="2"/>
  <c r="F75" i="2"/>
  <c r="F79" i="2"/>
  <c r="F80" i="2" s="1"/>
  <c r="F83" i="2"/>
  <c r="F84" i="2"/>
  <c r="F85" i="2"/>
  <c r="F86" i="2"/>
  <c r="F87" i="2"/>
  <c r="F88" i="2"/>
  <c r="F89" i="2"/>
  <c r="F90" i="2"/>
  <c r="F91" i="2"/>
  <c r="F93" i="2"/>
  <c r="F94" i="2"/>
  <c r="F95" i="2"/>
  <c r="F96" i="2"/>
  <c r="F97" i="2"/>
  <c r="F98" i="2"/>
  <c r="F102" i="2"/>
  <c r="F103" i="2"/>
  <c r="F122" i="2"/>
  <c r="F124" i="2" s="1"/>
  <c r="F145" i="2"/>
  <c r="F147" i="2"/>
  <c r="F30" i="2"/>
  <c r="C23" i="2"/>
  <c r="H23" i="2" s="1"/>
  <c r="C21" i="2"/>
  <c r="F21" i="2" s="1"/>
  <c r="C20" i="2"/>
  <c r="F20" i="2" s="1"/>
  <c r="C19" i="2"/>
  <c r="H19" i="2" s="1"/>
  <c r="C18" i="2"/>
  <c r="H18" i="2" s="1"/>
  <c r="I14" i="9" l="1"/>
  <c r="D10" i="13" s="1"/>
  <c r="F10" i="13" s="1"/>
  <c r="F16" i="13" s="1"/>
  <c r="F17" i="13" s="1"/>
  <c r="F119" i="2"/>
  <c r="H119" i="2"/>
  <c r="F99" i="2"/>
  <c r="H99" i="2"/>
  <c r="F76" i="2"/>
  <c r="H76" i="2"/>
  <c r="F70" i="2"/>
  <c r="H70" i="2"/>
  <c r="F56" i="2"/>
  <c r="I142" i="2"/>
  <c r="I128" i="2"/>
  <c r="F146" i="2"/>
  <c r="G147" i="2" s="1"/>
  <c r="H147" i="2" s="1"/>
  <c r="I147" i="2" s="1"/>
  <c r="G145" i="2"/>
  <c r="H145" i="2" s="1"/>
  <c r="I145" i="2" s="1"/>
  <c r="F135" i="2"/>
  <c r="H135" i="2"/>
  <c r="I103" i="2"/>
  <c r="H46" i="2"/>
  <c r="I46" i="2" s="1"/>
  <c r="H56" i="2"/>
  <c r="F39" i="2"/>
  <c r="I39" i="2" s="1"/>
  <c r="I74" i="2"/>
  <c r="I52" i="2"/>
  <c r="I73" i="2"/>
  <c r="F49" i="2"/>
  <c r="H47" i="2"/>
  <c r="I47" i="2" s="1"/>
  <c r="H45" i="2"/>
  <c r="I45" i="2" s="1"/>
  <c r="F38" i="2"/>
  <c r="I38" i="2" s="1"/>
  <c r="F34" i="2"/>
  <c r="I91" i="2"/>
  <c r="I67" i="2"/>
  <c r="I102" i="2"/>
  <c r="I93" i="2"/>
  <c r="I68" i="2"/>
  <c r="I59" i="2"/>
  <c r="H34" i="2"/>
  <c r="I94" i="2"/>
  <c r="F32" i="2"/>
  <c r="I32" i="2" s="1"/>
  <c r="I98" i="2"/>
  <c r="I53" i="2"/>
  <c r="I44" i="2"/>
  <c r="I85" i="2"/>
  <c r="I62" i="2"/>
  <c r="H30" i="2"/>
  <c r="C33" i="2"/>
  <c r="F33" i="2" s="1"/>
  <c r="I87" i="2"/>
  <c r="I64" i="2"/>
  <c r="I60" i="2"/>
  <c r="I97" i="2"/>
  <c r="I86" i="2"/>
  <c r="I75" i="2"/>
  <c r="H31" i="2"/>
  <c r="H37" i="2"/>
  <c r="F37" i="2"/>
  <c r="I61" i="2"/>
  <c r="I43" i="2"/>
  <c r="I84" i="2"/>
  <c r="I65" i="2"/>
  <c r="I83" i="2"/>
  <c r="I90" i="2"/>
  <c r="I48" i="2"/>
  <c r="I122" i="2"/>
  <c r="I124" i="2" s="1"/>
  <c r="I66" i="2"/>
  <c r="I89" i="2"/>
  <c r="I144" i="2"/>
  <c r="I96" i="2"/>
  <c r="I88" i="2"/>
  <c r="I95" i="2"/>
  <c r="I55" i="2"/>
  <c r="C35" i="2"/>
  <c r="I69" i="2"/>
  <c r="I54" i="2"/>
  <c r="I79" i="2"/>
  <c r="I80" i="2" s="1"/>
  <c r="I63" i="2"/>
  <c r="C22" i="2"/>
  <c r="H22" i="2" s="1"/>
  <c r="F18" i="2"/>
  <c r="I18" i="2" s="1"/>
  <c r="F19" i="2"/>
  <c r="I19" i="2" s="1"/>
  <c r="H21" i="2"/>
  <c r="I21" i="2" s="1"/>
  <c r="F23" i="2"/>
  <c r="I23" i="2" s="1"/>
  <c r="C26" i="2"/>
  <c r="C24" i="2"/>
  <c r="H20" i="2"/>
  <c r="I20" i="2" s="1"/>
  <c r="D18" i="13" l="1"/>
  <c r="C19" i="13"/>
  <c r="D12" i="1"/>
  <c r="F12" i="1" s="1"/>
  <c r="I119" i="2"/>
  <c r="I76" i="2"/>
  <c r="F148" i="2"/>
  <c r="I99" i="2"/>
  <c r="H148" i="2"/>
  <c r="I146" i="2"/>
  <c r="I70" i="2"/>
  <c r="I135" i="2"/>
  <c r="I56" i="2"/>
  <c r="I34" i="2"/>
  <c r="I37" i="2"/>
  <c r="I49" i="2"/>
  <c r="H49" i="2"/>
  <c r="I30" i="2"/>
  <c r="H33" i="2"/>
  <c r="I33" i="2" s="1"/>
  <c r="I31" i="2"/>
  <c r="F22" i="2"/>
  <c r="I22" i="2" s="1"/>
  <c r="C36" i="2"/>
  <c r="H35" i="2"/>
  <c r="F35" i="2"/>
  <c r="C25" i="2"/>
  <c r="H24" i="2"/>
  <c r="F24" i="2"/>
  <c r="H26" i="2"/>
  <c r="F26" i="2"/>
  <c r="A7" i="2"/>
  <c r="A6" i="2"/>
  <c r="A5" i="2"/>
  <c r="I148" i="2" l="1"/>
  <c r="I24" i="2"/>
  <c r="H36" i="2"/>
  <c r="H40" i="2" s="1"/>
  <c r="F36" i="2"/>
  <c r="F40" i="2" s="1"/>
  <c r="I35" i="2"/>
  <c r="I26" i="2"/>
  <c r="F25" i="2"/>
  <c r="F27" i="2" s="1"/>
  <c r="H25" i="2"/>
  <c r="I25" i="2" l="1"/>
  <c r="I27" i="2" s="1"/>
  <c r="I36" i="2"/>
  <c r="I40" i="2" s="1"/>
  <c r="H27" i="2"/>
</calcChain>
</file>

<file path=xl/sharedStrings.xml><?xml version="1.0" encoding="utf-8"?>
<sst xmlns="http://schemas.openxmlformats.org/spreadsheetml/2006/main" count="948" uniqueCount="364">
  <si>
    <t>ส่วนราชการ สำนักช่าง องค์การบริหารส่วนจังหวัดสระบุรี</t>
  </si>
  <si>
    <t>ลำดับที่</t>
  </si>
  <si>
    <t>Factor F</t>
  </si>
  <si>
    <t>หมายเหตุ</t>
  </si>
  <si>
    <t>ประเภทงานอาคาร</t>
  </si>
  <si>
    <t xml:space="preserve"> - ดอกเบี้ยเงินกู้</t>
  </si>
  <si>
    <t xml:space="preserve"> - ภาษี</t>
  </si>
  <si>
    <t xml:space="preserve"> - เงินล่วงหน้าจ่าย</t>
  </si>
  <si>
    <t xml:space="preserve"> - เงินประกันผลงานหัก</t>
  </si>
  <si>
    <t>สรุป</t>
  </si>
  <si>
    <t>รวมค่าก่อสร้างเป็นเงิน</t>
  </si>
  <si>
    <t xml:space="preserve">  </t>
  </si>
  <si>
    <t>คิดเป็นเงินประมาณ</t>
  </si>
  <si>
    <t xml:space="preserve">(ตัวอักษร) </t>
  </si>
  <si>
    <t xml:space="preserve"> </t>
  </si>
  <si>
    <t>รายการ</t>
  </si>
  <si>
    <t>หน่วย</t>
  </si>
  <si>
    <t>ลำดับ</t>
  </si>
  <si>
    <t>ปริมาณ</t>
  </si>
  <si>
    <t>ราคาค่าวัสดุ</t>
  </si>
  <si>
    <t>ค่าแรง</t>
  </si>
  <si>
    <t>รวม</t>
  </si>
  <si>
    <t>ต่อหน่วย</t>
  </si>
  <si>
    <t>รวมค่าวัสดุ</t>
  </si>
  <si>
    <t>รวมค่าแรง</t>
  </si>
  <si>
    <t>งบประมาณประจำปี 2567</t>
  </si>
  <si>
    <t>สนามเด็กเล่น</t>
  </si>
  <si>
    <t>คอนกรีตหยาบ</t>
  </si>
  <si>
    <t>คอนกรีตโครงสร้าง 320 KSC. ทรงกระบอก</t>
  </si>
  <si>
    <t>เหล็กเสริมคอนกรีต RB9 SR24</t>
  </si>
  <si>
    <t>เหล็กเสริมคอนกรีต DB12 SD40</t>
  </si>
  <si>
    <t>ลวดผูกเหล็ก</t>
  </si>
  <si>
    <t>ค่าแรงไม้แบบ</t>
  </si>
  <si>
    <t>ไม้แบบ</t>
  </si>
  <si>
    <t>ไม้คร่าวยึดไม้แบบ</t>
  </si>
  <si>
    <t>ตะปู</t>
  </si>
  <si>
    <t>ทรายหยาบ</t>
  </si>
  <si>
    <t>เหล็กเสริมคอนกรีต RB6 SR24</t>
  </si>
  <si>
    <t>งานเสาตอม่อรับรั้วเหล็ก</t>
  </si>
  <si>
    <t>งานรั้วเหล็ก</t>
  </si>
  <si>
    <t>ตาข่ายไนล่อนถัก</t>
  </si>
  <si>
    <t>ท่อเหล็ก ขนาด 4 นิ้ว หนา 4.5 มม.</t>
  </si>
  <si>
    <t>ท่อเหล็ก ขนาด 3 นิ้ว หนา 3.2 มม.</t>
  </si>
  <si>
    <t>Chain Link หนา 3.0 มม. ช่องตา 2 นิ้ว</t>
  </si>
  <si>
    <t>ค่าแรงประกอบและติดตั้งรั้วเหล็ก</t>
  </si>
  <si>
    <t>RC Gutter</t>
  </si>
  <si>
    <t>งานสนามเปตอง</t>
  </si>
  <si>
    <t>หินคลุกบดอัดแน่น</t>
  </si>
  <si>
    <t>แผ่น Geotextile</t>
  </si>
  <si>
    <t>งานบันได</t>
  </si>
  <si>
    <t>Steel Grating ขนาด 0.30x0.30 เมตร</t>
  </si>
  <si>
    <t>งานสนามหญ้า</t>
  </si>
  <si>
    <t>ทรายหยาบ ปรับระดับก่อนปูหญ้า หนา 0.05 เมตร</t>
  </si>
  <si>
    <t>ดินปลูก ปรับระดับก่อนปูหญ้า หนา 0.05 เมตร</t>
  </si>
  <si>
    <t>หญ้านวลน้อย</t>
  </si>
  <si>
    <t>งานขอบคันหิน</t>
  </si>
  <si>
    <t>งานพื้น</t>
  </si>
  <si>
    <t>Wiremesh ขนาด 6.00 มม. ขนาดตาราง 0.15x0.15 เมตร</t>
  </si>
  <si>
    <t>Wiremesh ขนาด 6.00 มม. ขนาดตาราง 0.20x0.20 เมตร</t>
  </si>
  <si>
    <t>งานทาสีเหล็กกันสนิม</t>
  </si>
  <si>
    <t>Expansion Joint</t>
  </si>
  <si>
    <t>Surface Joint</t>
  </si>
  <si>
    <t xml:space="preserve"> - Mastic Joint Sealer</t>
  </si>
  <si>
    <t xml:space="preserve"> - Non-Extruding Joint Filler</t>
  </si>
  <si>
    <t xml:space="preserve"> - Metal Cap</t>
  </si>
  <si>
    <t xml:space="preserve"> - RB19 Smooth Dowel Bar</t>
  </si>
  <si>
    <t xml:space="preserve"> - Plastic Sheet หนา 0.20 มม.</t>
  </si>
  <si>
    <t>งานระบบระบายน้ำ</t>
  </si>
  <si>
    <t>งานขัดมันเรียบ</t>
  </si>
  <si>
    <t>งานพื้นปูนทรายปรับระดับพร้อมขัดเรียบ</t>
  </si>
  <si>
    <t>งานไฟฟ้าและแสงสว่าง</t>
  </si>
  <si>
    <t>เสาไฟส่องสว่างระบบโซลาร์เซลล์</t>
  </si>
  <si>
    <t>ลบ.ม.</t>
  </si>
  <si>
    <t>ตัน</t>
  </si>
  <si>
    <t>กก.</t>
  </si>
  <si>
    <t>ตร.ม.</t>
  </si>
  <si>
    <t>ลบ.ฟ.</t>
  </si>
  <si>
    <t>รวมงานฐานราก</t>
  </si>
  <si>
    <t>งานฐานรากรับรั้วเหล็ก</t>
  </si>
  <si>
    <t>รวมงานเสาตอม่อรับรั้วเหล็ก</t>
  </si>
  <si>
    <t>รวมงานรั้วเหล็ก</t>
  </si>
  <si>
    <t>J-Bolt M12 ความยาว 0.30 เมตร</t>
  </si>
  <si>
    <t>เหล็กแผ่น ขนาด 200x200x12 มม.</t>
  </si>
  <si>
    <t>ชุด</t>
  </si>
  <si>
    <t>งานดิน</t>
  </si>
  <si>
    <t>งานดินขุด</t>
  </si>
  <si>
    <t>รวมงานดิน</t>
  </si>
  <si>
    <t>กรวดหยาบ</t>
  </si>
  <si>
    <t>เมตร</t>
  </si>
  <si>
    <t>ชิ้น</t>
  </si>
  <si>
    <t>ท่อน</t>
  </si>
  <si>
    <t>รวมงานสนามเปตอง</t>
  </si>
  <si>
    <t xml:space="preserve"> - ทรายหยาบ</t>
  </si>
  <si>
    <t xml:space="preserve"> - คอนกรีตหยาบ</t>
  </si>
  <si>
    <t xml:space="preserve"> - คอนกรีตโครงสร้าง 320 KSC. ทรงกระบอก</t>
  </si>
  <si>
    <t xml:space="preserve"> - เหล็กเสริมคอนกรีต RB6 SR24</t>
  </si>
  <si>
    <t xml:space="preserve"> - ลวดผูกเหล็ก</t>
  </si>
  <si>
    <t xml:space="preserve"> - ค่าแรงไม้แบบ</t>
  </si>
  <si>
    <t xml:space="preserve"> - ไม้แบบ</t>
  </si>
  <si>
    <t xml:space="preserve"> - ไม้คร่าวยึดไม้แบบ</t>
  </si>
  <si>
    <t xml:space="preserve"> - ตะปู</t>
  </si>
  <si>
    <t>Steel Grating ขนาด 0.40x1.00 เมตร</t>
  </si>
  <si>
    <t>Floor Drain ขนาด 4 นิ้ว</t>
  </si>
  <si>
    <t>ท่อ PVC ชั้น 8.5 ขนาด 4 นิ้ว</t>
  </si>
  <si>
    <t>ท่อ PVC ชั้น 8.5 ขนาด 10 นิ้ว</t>
  </si>
  <si>
    <t>เหล็กยึดท่อ (30% ของราคาท่อ)</t>
  </si>
  <si>
    <t>ทดสอบ ทำความสะอาด และทาสี (10% ของราคาท่อ)</t>
  </si>
  <si>
    <t>ข้อต่อและอุปกรณ์ท่อ (40% ของราคาท่อ)</t>
  </si>
  <si>
    <t>ค่าแรงติดตั้งข้อต่อและอุปกรณ์ท่อ (30% ของราคาวัสดุ)</t>
  </si>
  <si>
    <t>ค่าแรงติดตั้งเหล็กยึดท่อ (30% ของราคาวัสดุ)</t>
  </si>
  <si>
    <t>ค่าแรงทดสอบ ทำความสะอาด และทาสี (30% ของราคาวัสดุ)</t>
  </si>
  <si>
    <t>งาน</t>
  </si>
  <si>
    <t>รวมงานระบบระบายน้ำ</t>
  </si>
  <si>
    <t>งานผิวพื้น</t>
  </si>
  <si>
    <t>ขอบคันหิน สำเร็จรูป ขนาด 0.15x0.30x1.00 เมตร</t>
  </si>
  <si>
    <t>ขอบคันหินเล็กทรงมน สำเร็จรูป ขนาด 0.11x0.20x0.50 เมตร</t>
  </si>
  <si>
    <t>รวมงานบันได</t>
  </si>
  <si>
    <t>รวมงานไฟฟ้าและแสงสว่าง</t>
  </si>
  <si>
    <t>รวมงานผิวพื้น</t>
  </si>
  <si>
    <t>รวมงานขอบคันหิน</t>
  </si>
  <si>
    <t>รวมงานสนามหญ้า</t>
  </si>
  <si>
    <t>ฐานตอม่อติดตั้งเสาไฟฟ้าสำเร็จรูป</t>
  </si>
  <si>
    <t>งานดินถมกลบ (หินคลุก)</t>
  </si>
  <si>
    <t>งานปรับระดับบดอัดดินเดิม</t>
  </si>
  <si>
    <t>Concrete Blocks</t>
  </si>
  <si>
    <t>รวมงานพื้น</t>
  </si>
  <si>
    <t>อัน</t>
  </si>
  <si>
    <t>แผ่น</t>
  </si>
  <si>
    <t xml:space="preserve"> - เคลือบพื้นตีเส้นด้วยสีโพลียูรีเทน</t>
  </si>
  <si>
    <t>สนามวอลเลย์บอล, สนามตะกร้อ</t>
  </si>
  <si>
    <t>สนามฟุตซอล, ลานวางอัฒจันทร์, ลานพื้นที่วางเครื่องออกกำลังกาย และลู่วิ่ง</t>
  </si>
  <si>
    <t xml:space="preserve"> - เคลือบพื้นยางสังเคราะห์โพลียูรีเทน หนา 10 มม.</t>
  </si>
  <si>
    <t xml:space="preserve"> - เคลือบพื้นยางสังเคราะห์โพลียูรีเทนผสมเม็ดยางดำ หนา 7 มม.</t>
  </si>
  <si>
    <t xml:space="preserve"> - พื้นยางสังเคราะห์โพลียูรีเทน หนา 10 มม.</t>
  </si>
  <si>
    <t xml:space="preserve"> - ชั้นรองทับหน้ายางสังเคราะห์โพลียูรีเทน หนา 1.5 มม.</t>
  </si>
  <si>
    <t xml:space="preserve"> - ชั้นทับหน้ายางสังเคราะห์โพลียูรีเทนผสมเม็ดยางละเอียด หนา 1 มม.</t>
  </si>
  <si>
    <t xml:space="preserve"> - รองพื้นปรับผิว หนา 0.2 มม.</t>
  </si>
  <si>
    <t xml:space="preserve"> - ชั้นทับหน้ายางสังเคราะห์โพลียูรีเทน ชนิดทนแสงยูวี หนา 0.3 มม.</t>
  </si>
  <si>
    <t xml:space="preserve"> - ตีเส้นสนามด้วยสีโพลียูรีเทน</t>
  </si>
  <si>
    <t>ฉาบปูนโครงสร้าง รวมจับเซี้ยม</t>
  </si>
  <si>
    <t>แบบสรุปประมาณราคางานก่อสร้างอาคาร</t>
  </si>
  <si>
    <t>งานรางระบายน้ำ</t>
  </si>
  <si>
    <t>รวมงานรางระบายน้ำ</t>
  </si>
  <si>
    <t>งานครุภัณฑ์</t>
  </si>
  <si>
    <t>งานพื้นสนามเด็กเล่น</t>
  </si>
  <si>
    <t>งานพื้นสนามวอลเลย์บอลและสนามตะกร้อ</t>
  </si>
  <si>
    <t>ลานวางอัฒจันทร์ และลู่วิ่ง</t>
  </si>
  <si>
    <t>งานพื้นสนามฟุตซอล, ลานพื้นที่วางเครื่องออกกำลังกาย,</t>
  </si>
  <si>
    <t>คอนกรีตโครงสร้าง 280 KSC. รูปลูกบาศก์</t>
  </si>
  <si>
    <t xml:space="preserve"> - พื้นยางสังเคราะห์โพลียูรีเทนผสมเม็ดยางดำ หนา 7 มม.</t>
  </si>
  <si>
    <t xml:space="preserve"> - ชั้นยางสังเคราะห์โพลียูรีเทน ชนิดทนแสงยูวี หนา 0.3 มม.</t>
  </si>
  <si>
    <t xml:space="preserve"> - ชั้นยางสังเคราะห์โพลียูรีเทนผสมเม็ดยางละเอียด หนา 1 มม.</t>
  </si>
  <si>
    <t xml:space="preserve"> - ชั้นหน้ายางสังเคราะห์โพลียูรีเทน หนา 1.5 มม.</t>
  </si>
  <si>
    <t>วัน</t>
  </si>
  <si>
    <t>งานรั้วกั้นพื้นที่ก่อสร้าง</t>
  </si>
  <si>
    <t>ต้น</t>
  </si>
  <si>
    <t>เสาเหล็กชุบกัลวาไนท์ ความสูง 6.00 เมตร</t>
  </si>
  <si>
    <t>โคมไฟฟ้าถนนโซล่าเซลล์ ขนาด 20 วัตต์ พร้อมอุปกรณ์ครบชุด</t>
  </si>
  <si>
    <t>ตอม่อติดตั้งเสาไฟฟ้าสำเร็จรูป</t>
  </si>
  <si>
    <t>ค่าใช้จ่ายพิเศษ</t>
  </si>
  <si>
    <t>งานเช่ารถเครนเพื่อติดตั้งเสาไฟส่องสว่าง</t>
  </si>
  <si>
    <t>งานเช่ารถเครนเพื่อติดตั้งรั้วเหล็ก</t>
  </si>
  <si>
    <t>1.1.1</t>
  </si>
  <si>
    <t>1.1.2</t>
  </si>
  <si>
    <t>1.1.3</t>
  </si>
  <si>
    <t>1.1.4</t>
  </si>
  <si>
    <t>1.1.5</t>
  </si>
  <si>
    <t>1.1.6</t>
  </si>
  <si>
    <t>1.2.1</t>
  </si>
  <si>
    <t>1.2.2</t>
  </si>
  <si>
    <t>1.2.3</t>
  </si>
  <si>
    <t>1.2.4</t>
  </si>
  <si>
    <t>1.2.5</t>
  </si>
  <si>
    <t>1.3.1</t>
  </si>
  <si>
    <t>1.4.1</t>
  </si>
  <si>
    <t>งานวิศวกรรมโครงสร้าง</t>
  </si>
  <si>
    <t>งานสถาปัตยกรรม</t>
  </si>
  <si>
    <t>รวมงานวิศวกรรมโครงสร้าง</t>
  </si>
  <si>
    <t>รวมงานสถาปัตยกรรม</t>
  </si>
  <si>
    <t>งานระบบไฟฟ้าและแสงสว่าง</t>
  </si>
  <si>
    <t>รวมงานระบบไฟฟ้าและแสงสว่าง</t>
  </si>
  <si>
    <t>งานระบบสุขาภิบาล</t>
  </si>
  <si>
    <t>รวมงานระบบสุขาภิบาล</t>
  </si>
  <si>
    <t>รวมงานภูมิสถาปัตยกรรม</t>
  </si>
  <si>
    <t>งานภูมิสถาปัตยกรรม</t>
  </si>
  <si>
    <t>รวมค่าใช้จ่ายพิเศษ</t>
  </si>
  <si>
    <t>เครื่อง</t>
  </si>
  <si>
    <t>ลูก</t>
  </si>
  <si>
    <t>ป้าย</t>
  </si>
  <si>
    <t>ผืน</t>
  </si>
  <si>
    <t>อุปกรณ์ฝึกกล้ามเนื้ออกแบบไฮโดรลิก</t>
  </si>
  <si>
    <t>อุปกรณ์ฝึกกล้ามเนื้อท้องแบบโค้ง</t>
  </si>
  <si>
    <t>อุปกรณ์ฝึกกล้ามเนื้อหลังส่วนบน ชนิดดึงเข้าแบบไฮโดรลิก</t>
  </si>
  <si>
    <t>อุปกรณ์ฝึกกล้ามเนื้อไหล่แบบไฮโดรลิก</t>
  </si>
  <si>
    <t>อุปกรณ์ฝึกกล้ามเนื้อหลังส่วนบน ชนิดดึงลงแบบไฮโดรลิก</t>
  </si>
  <si>
    <t>อุปกรณ์ฝึกกล้ามเนื้อท้องแบบไฮโดรลิก</t>
  </si>
  <si>
    <t>อุปกรณ์ฝึกกล้ามเนื้อหลังส่วนล่างแบบไฮโดรลิก</t>
  </si>
  <si>
    <t>อุปกรณ์ฝึกกล้ามเนื้อต้นขาด้านหน้าแบบไฮโดรลิก</t>
  </si>
  <si>
    <t>อุปกรณ์ฝึกกล้ามเนื้อต้นขาด้านหลังแบบไฮโดรลิก</t>
  </si>
  <si>
    <t>อุปกรณ์ฝึกบริหารกล้ามเนื้อช่วงสะโพกและท่อนขาส่วนบน</t>
  </si>
  <si>
    <t>อุปกรณ์ยืดเหยียดกล้ามเนื้อ</t>
  </si>
  <si>
    <t>อุปกรณ์ฝึกบริหารกล้ามเนื้อช่วงแขนส่วนล่าง</t>
  </si>
  <si>
    <t>อุปกรณ์ฝึกบริหารกล้ามเนื้อช่วงแขนส่วนบน</t>
  </si>
  <si>
    <t>อุปกรณ์ฝึกก้าว, เดิน และวิ่งไร้แรงกระแทก</t>
  </si>
  <si>
    <t>อุปกรณ์เสริมสร้างความแข็งแรงกล้ามเนื้อแขน ขา และลำตัว</t>
  </si>
  <si>
    <t>อุปกรณ์ฝึกบริหารกล้ามเนื้อช่วงเอวและสะโพก</t>
  </si>
  <si>
    <t>เครื่องฝึกกล้ามเนื้อแบบดันออก ชนิดเลื่อนแผ่นน้ำหนัก</t>
  </si>
  <si>
    <t>เครื่องฝึกกล้ามเนื้อแบบดึงเข้า ชนิดเลื่อนแผ่นน้ำหนัก</t>
  </si>
  <si>
    <t>อุปกรณ์ฝึกกล้ามเนื้อทั่วร่างกายแบบไฮโดรลิก</t>
  </si>
  <si>
    <t>เครื่องฝึกกล้ามเนื้อขาที่ใช้ในการทรงตัว หน้า/หลัง</t>
  </si>
  <si>
    <t>เครื่องฝึกสมดุลการเดินบนสะพานคานเดี่ยว</t>
  </si>
  <si>
    <t>เครื่องฝึกระบบประสาทและกล้ามเนื้อในขณะเดินแนวราบ</t>
  </si>
  <si>
    <t>ลูกฟุตซอล</t>
  </si>
  <si>
    <t>ประตูฟุตซอล</t>
  </si>
  <si>
    <t>ตาข่ายฟุตซอล</t>
  </si>
  <si>
    <t>ป้ายคะแนนฟุตซอล</t>
  </si>
  <si>
    <t>อัฒจันทร์ 24 ที่นั่ง</t>
  </si>
  <si>
    <t>ลูกวอลเลย์บอล</t>
  </si>
  <si>
    <t>เสาวอลเลย์บอล</t>
  </si>
  <si>
    <t>ตาข่ายวอลเลย์บอล</t>
  </si>
  <si>
    <t>เปตองสเตนเลสสำหรับเด็ก น้ำหนัก 600 กรัม เส้นผ่านศูนย์ 65 มม.</t>
  </si>
  <si>
    <t>ลูกแก่นพลาสติก</t>
  </si>
  <si>
    <t>วงกลม - ฐานปล่อยลูก</t>
  </si>
  <si>
    <t>ลูกตะกร้อสำหรับเด็กเล็ก</t>
  </si>
  <si>
    <t>ลูกตะกร้อสำหรับเด็กโต</t>
  </si>
  <si>
    <t>ลูกตะกร้อสำหรับแข่งขันชาย</t>
  </si>
  <si>
    <t>ลูกตะกร้อสำหรับแข่งขันหญิง</t>
  </si>
  <si>
    <t>ตาข่ายตะกร้อ</t>
  </si>
  <si>
    <t>เสาตะกร้ออเนกประสงค์แบบเคลื่อนย้ายได้</t>
  </si>
  <si>
    <t>ลูกฟุตบอล เบอร์ 5 หนัง PU</t>
  </si>
  <si>
    <t>ลูกฟุตบอล รุ่นฝึกซ้อม</t>
  </si>
  <si>
    <t>ครุภัณฑ์และอุปกรณ์เครื่องออกกำลังกาย</t>
  </si>
  <si>
    <t>รวมครุภัณฑ์และอุปกรณ์เครื่องออกกำลังกาย</t>
  </si>
  <si>
    <t>* ครุภัณฑ์และอุปกรณ์เครื่องออกกำลังกาย รวมค่าติดตั้งและภาษีมูลค่าเพิ่ม 7% แล้ว</t>
  </si>
  <si>
    <t>เหล็กฉาก ขนาด 25x25x4 mm.</t>
  </si>
  <si>
    <t>ค่าแรงประกอบและติดตั้ง</t>
  </si>
  <si>
    <t>งานก่อสร้างอาคาร</t>
  </si>
  <si>
    <t>รวมงานก่อสร้างอาคาร</t>
  </si>
  <si>
    <t>วิศวกรโยธาชำนาญการพิเศษ (วช.)</t>
  </si>
  <si>
    <t>(นายพรชัย  แก้วบังวัน)</t>
  </si>
  <si>
    <t>9.รอยต่อเผื่อขยายตามขวาง (EXPANSION JOINT)</t>
  </si>
  <si>
    <t xml:space="preserve">คิดจากความยาวรอยต่อ   </t>
  </si>
  <si>
    <t>ม.</t>
  </si>
  <si>
    <t>=</t>
  </si>
  <si>
    <t>บาท/ตัน</t>
  </si>
  <si>
    <t>…42</t>
  </si>
  <si>
    <t>ค่าขนส่งจากแหล่ง อ.เมืองสระบุรีถึงหน้างาน</t>
  </si>
  <si>
    <t>กม.</t>
  </si>
  <si>
    <t>…43</t>
  </si>
  <si>
    <t>กก.@</t>
  </si>
  <si>
    <t>(บาท/ตัน)/1000</t>
  </si>
  <si>
    <t>บาท</t>
  </si>
  <si>
    <t>…44</t>
  </si>
  <si>
    <t xml:space="preserve">JOINT FILLER </t>
  </si>
  <si>
    <t>ตร.ม. @</t>
  </si>
  <si>
    <t>…45</t>
  </si>
  <si>
    <t>กระดาษชานอ้อย</t>
  </si>
  <si>
    <t xml:space="preserve">JOINT SEALER </t>
  </si>
  <si>
    <t>ลิตร @</t>
  </si>
  <si>
    <t>ลิตร</t>
  </si>
  <si>
    <t>…46</t>
  </si>
  <si>
    <t>ยางมะตอย</t>
  </si>
  <si>
    <t>ค่าหยอดยาง</t>
  </si>
  <si>
    <t>ม. @ (ค่าเสื่อม ค่าหยอดยางรอยต่อคอนกรีต)</t>
  </si>
  <si>
    <t>…47</t>
  </si>
  <si>
    <t xml:space="preserve">ค่าใช้จ่ายรวม  (…44+…45+…46+…47) </t>
  </si>
  <si>
    <t>ค่างานต้นทุน</t>
  </si>
  <si>
    <t>/</t>
  </si>
  <si>
    <t>บาท/เมตร</t>
  </si>
  <si>
    <t>ค่าเหล็ก  RB19</t>
  </si>
  <si>
    <t>ค่าเหล็ก  RB19 รวมค่าขนส่ง  (…42+…43)</t>
  </si>
  <si>
    <t>ค่าเหล็ก RB19</t>
  </si>
  <si>
    <t>พื้น หนา</t>
  </si>
  <si>
    <t>Metal Cap</t>
  </si>
  <si>
    <t>Plastic Sheet หนา 0.20 มม. กว้าง 0.50 เมตร</t>
  </si>
  <si>
    <t>ขอบคันหินเล็ก สำเร็จรูป ขนาด 0.11x0.20x0.50 เมตร</t>
  </si>
  <si>
    <t>ค่าหยอดยางรอยต่อ</t>
  </si>
  <si>
    <t xml:space="preserve"> ค่าตัดรอยต่อและหยอดยาง</t>
  </si>
  <si>
    <t>…48</t>
  </si>
  <si>
    <t>…49</t>
  </si>
  <si>
    <t>…50</t>
  </si>
  <si>
    <t xml:space="preserve">ค่าตัด JOINTและหยอดยาง </t>
  </si>
  <si>
    <t>ม. @ (ค่าตัดรอยต่อคอนกรีตและหยอดยาง)</t>
  </si>
  <si>
    <t>…51</t>
  </si>
  <si>
    <t>บาท/ลิตร</t>
  </si>
  <si>
    <t>…52</t>
  </si>
  <si>
    <t>ค่าใช้จ่ายรวม   (…50+…51+…52)</t>
  </si>
  <si>
    <t xml:space="preserve">/ </t>
  </si>
  <si>
    <t>10. SURFACE JOINT</t>
  </si>
  <si>
    <t>ราคาเหล็ก  RB19</t>
  </si>
  <si>
    <t>ค่าเหล็ก  RB19 รวมค่าขนส่ง  (…48+…49)</t>
  </si>
  <si>
    <t>2</t>
  </si>
  <si>
    <t xml:space="preserve"> - พื้นที่ปกติ</t>
  </si>
  <si>
    <t>Wiremesh ขนาด 4.00 มม. ขนาดตาราง 0.20x0.20 เมตร</t>
  </si>
  <si>
    <t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t>
  </si>
  <si>
    <t>ราคาเฉลี่ยต่อตารางเมตร</t>
  </si>
  <si>
    <t>ค่างานต้นทุน
(บาท)</t>
  </si>
  <si>
    <t>ค่าก่อสร้าง
(บาท)</t>
  </si>
  <si>
    <t>บาทต่อตารางเมตร</t>
  </si>
  <si>
    <t>(นายจิรพล บุญลือ)</t>
  </si>
  <si>
    <t>ลงชื่อ</t>
  </si>
  <si>
    <t>ประธานกรรมการ</t>
  </si>
  <si>
    <t>หัวหน้าฝ่ายสาธารณูปโภค</t>
  </si>
  <si>
    <t>กรรมการ</t>
  </si>
  <si>
    <t>(นายมารุต ชาวสวน)</t>
  </si>
  <si>
    <t>(นายสนธยา สนนอก)</t>
  </si>
  <si>
    <t>นักพัฒนาการกีฬาปฏิบัติการ</t>
  </si>
  <si>
    <t>(นายภูริทัต กิจเกตุ)</t>
  </si>
  <si>
    <t>นายช่างโยธาชำนาญงาน</t>
  </si>
  <si>
    <t>คณะกรรมการกำหนดราคากลาง</t>
  </si>
  <si>
    <t>โครงการ   ก่อสร้างสนามกีฬาชุมชน จำนวน 2 แห่ง</t>
  </si>
  <si>
    <t>ค่าพาหนะไป-กลับของคนงาน</t>
  </si>
  <si>
    <t>รวมงานฐานรากรับรั้วเหล็ก</t>
  </si>
  <si>
    <t>1.2.6</t>
  </si>
  <si>
    <t>ค่าขนส่งวัดุก่อสร้าง</t>
  </si>
  <si>
    <t>เที่ยว</t>
  </si>
  <si>
    <t>1.2.7</t>
  </si>
  <si>
    <t>งานเบ็ดเตล็ด</t>
  </si>
  <si>
    <t>ป้ายโครงการ</t>
  </si>
  <si>
    <t>รวมงานเบ็ดเตล็ด</t>
  </si>
  <si>
    <t>แบบสรุปราคากลางงานก่อสร้างสนามกีฬาชุมชน</t>
  </si>
  <si>
    <t>ตามคำสั่งองค์การบริหารส่วนจังหวัดสระบุรี ที่ 926/2567 ลงวันที่ 22 เมษายน พ.ศ. 2567</t>
  </si>
  <si>
    <t>เรื่อง ขออนุมัติกำหนดราคากลางงานก่อสร้าง</t>
  </si>
  <si>
    <t>คณะกรรมการกำหนดราคากลางเมื่อ วันที่ 16 สิงหาคม 2567</t>
  </si>
  <si>
    <t>เครื่องฝึกกล้ามเนื้อขาที่ใช้ในการทรงตัว ซ้าย/ขวา</t>
  </si>
  <si>
    <t>เปตองโลหะสำหรับเยาวชน น้ำหนัก 680 กรัม เส้นผ่านศูนย์ 71 มม.</t>
  </si>
  <si>
    <t>เปตองโลหะสำหรับเยาวชน น้ำหนัก 680 กรัม เส้นผ่านศูนย์ 72 มม.</t>
  </si>
  <si>
    <t>เปตองโลหะสำหรับผู้ใหญ่ น้ำหนัก 680 กรัม เส้นผ่านศูนย์ 73 มม.</t>
  </si>
  <si>
    <t>กระดานแสดงผลการแข่งขันเปตอง</t>
  </si>
  <si>
    <t>ชื่อโครงการ   โครงการก่อสร้างสนามกีฬาชุมชน ขนาด 59.00 x 89.00 เมตร</t>
  </si>
  <si>
    <t>ตามคำสั่งองค์การบริหารส่วนจังหวัดสระบุรี ที่ 2562/2567 ลงวันที่ 26 กันยายน พ.ศ. 2567</t>
  </si>
  <si>
    <t>ต.คำพราน อ.วังม่วง จ.สระบุรี ด้วยวิธีประกวดราคาอิเล็กทรอนิกส์ (e-bidding)</t>
  </si>
  <si>
    <t>เรื่อง การแต่งตั้งคณะกรรมการจัดทำแบบรูปรายการงานก่อสร้างและกำหนดราคากลาง</t>
  </si>
  <si>
    <t>สำหรับประกวดราคาจ้างก่อสร้างก่อสร้างสนามกีฬาชุมชน บริเวณด้านหน้าโดมเทศบาลตำบลคำพราน หมู่ที่ 7</t>
  </si>
  <si>
    <t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t>
  </si>
  <si>
    <t>คณะกรรมการกำหนดราคากลางเมื่อ วันที่ 11 ตุลาคม 2567</t>
  </si>
  <si>
    <t>ประธานกรรมการฯ</t>
  </si>
  <si>
    <t>(นายรัศมิ์ธศิลป์ มูลสาร)</t>
  </si>
  <si>
    <t>ผู้อำนวยการกองการศึกษา ศาสนา และวัฒนธรรม</t>
  </si>
  <si>
    <t>คณะกรรมการจัดทำแบบรูปรายการงานก่อสร้างและกำหนดราคากลาง</t>
  </si>
  <si>
    <t>งานดินถมปรับพื้นที่ (ถมเฉลี่ย สูง 0.40 เมตร)</t>
  </si>
  <si>
    <t>แบบ บก. 01</t>
  </si>
  <si>
    <t>ตารางแสดงวงเงินงบประมาณที่ได้รับจัดสรรและราคากลางในงานจ้างก่อสร้าง</t>
  </si>
  <si>
    <t>1. ชื่อโครงการ</t>
  </si>
  <si>
    <t>ประกวดราคาจ้างก่อสร้างสนามกีฬาชุมชน ขนาด 59.00 X 89.00 เมตร บริเวณด้านหน้าโดมเทศบาลตำบลคำพราน</t>
  </si>
  <si>
    <t xml:space="preserve">ชุมชนบ้านหนองชะโด หมูที่ 7 ตำบลคำพราน อำเภอวังม่วง จังหวัดสระบุรี ด้วยวิธีการประกวดราคาอิเล็กทรอนิกส์ (e-bidding) / </t>
  </si>
  <si>
    <t>ชุมชนบ้านหนองชะโด หมูที่ 7 ตำบลคำพราน อำเภอวังม่วง จังหวัดสระบุรี</t>
  </si>
  <si>
    <t>2. หน่วยงานเจ้าของโครงการ</t>
  </si>
  <si>
    <t>องค์การบริหารส่วนจังหวัดสระบุรี / องค์การบริหารส่วนจังหวัดสระบุรี</t>
  </si>
  <si>
    <t>3. วงเงินงบประมาณที่ได้รับจัดสรร</t>
  </si>
  <si>
    <t>4. ลักษณะงาน</t>
  </si>
  <si>
    <t>โดยสังเขป</t>
  </si>
  <si>
    <t>ก่อสร้างสนามกีฬา</t>
  </si>
  <si>
    <t xml:space="preserve">5. ราคากลางคำนวณ ณ วันที่ </t>
  </si>
  <si>
    <t>เป็นเงิน</t>
  </si>
  <si>
    <t>6. บัญชีประมาณการราคากลาง</t>
  </si>
  <si>
    <t>6.1 แบบสรุปราคากลางงานก่อสร้างอาคาร</t>
  </si>
  <si>
    <t>7. รายชื่อคณะกรรมการกำหรดราคากลาง</t>
  </si>
  <si>
    <t>7.1 รัศมิ์ธศิลป์ มูลสาร ประธานกรรมการกำหนดราคากลาง - ผู้อำนวยการกองการศึกษา ศาสนา และวัฒนธรรม</t>
  </si>
  <si>
    <t>7.2 จิรพล บุญลือ กรรมการกำหนกราคากลาง - หัวหน้าฝ่ายสาธารณูปโภค</t>
  </si>
  <si>
    <t>7.3 มารุต ชาวสวน กรรมการกำหนดราคากลาง - วิศวกรโยธาชำนาญการพิเศษ (วช.)</t>
  </si>
  <si>
    <t>7.4 สนธยา สนนอก กรรมการกำหนดราคากลาง - นักพัฒนาการกีฬาปฏิบัติการ</t>
  </si>
  <si>
    <t>7.5 ภูริทัต กิจเกตุ กรรมการกำหนดราคากลาง - นายช่างโยธาชำนาญงาน</t>
  </si>
  <si>
    <t>ชุดเครื่องเล่นสนามเด็กเล่น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</si>
</sst>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87" formatCode="_(* #,##0.0000_);_(* \(#,##0.0000\);_(* &quot;-&quot;??_);_(@_)"/>
    <numFmt numFmtId="188" formatCode="\(@\)"/>
    <numFmt numFmtId="189" formatCode="_(* #,##0.00_);_(* \(#,##0.00\);_(* &quot;-&quot;??_);_(@_)"/>
    <numFmt numFmtId="190" formatCode="_(* #,##0_);_(* \(#,##0\);_(* &quot;-&quot;??_);_(@_)"/>
    <numFmt numFmtId="191" formatCode="0.000"/>
    <numFmt numFmtId="192" formatCode="_-* #,##0.000_-;\-* #,##0.000_-;_-* &quot;-&quot;??_-;_-@_-"/>
    <numFmt numFmtId="193" formatCode="_-* #,##0.000000_-;\-* #,##0.000000_-;_-* &quot;-&quot;??_-;_-@_-"/>
    <numFmt numFmtId="194" formatCode="_-* #,##0.0000000_-;\-* #,##0.000000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name val="Cordia New"/>
      <family val="2"/>
    </font>
    <font>
      <sz val="14"/>
      <color indexed="8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8"/>
      <name val="Tahoma"/>
      <family val="2"/>
      <charset val="222"/>
      <scheme val="minor"/>
    </font>
    <font>
      <sz val="11"/>
      <name val="TH SarabunPSK"/>
      <family val="2"/>
    </font>
    <font>
      <sz val="10"/>
      <name val="TH SarabunPSK"/>
      <family val="2"/>
    </font>
    <font>
      <sz val="12"/>
      <name val="TH SarabunPSK"/>
      <family val="2"/>
    </font>
    <font>
      <b/>
      <sz val="14"/>
      <color rgb="FFFF0000"/>
      <name val="TH SarabunPSK"/>
      <family val="2"/>
    </font>
    <font>
      <sz val="18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18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43" fontId="4" fillId="0" borderId="6" xfId="1" applyFont="1" applyBorder="1" applyAlignment="1" applyProtection="1">
      <alignment vertical="center"/>
    </xf>
    <xf numFmtId="187" fontId="4" fillId="0" borderId="5" xfId="1" applyNumberFormat="1" applyFont="1" applyBorder="1" applyAlignment="1" applyProtection="1">
      <alignment horizontal="center" vertical="center"/>
    </xf>
    <xf numFmtId="43" fontId="4" fillId="0" borderId="5" xfId="1" applyFont="1" applyBorder="1" applyAlignment="1" applyProtection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43" fontId="6" fillId="0" borderId="6" xfId="1" applyFont="1" applyBorder="1" applyAlignment="1" applyProtection="1">
      <alignment vertical="center"/>
    </xf>
    <xf numFmtId="187" fontId="6" fillId="0" borderId="5" xfId="1" applyNumberFormat="1" applyFont="1" applyBorder="1" applyAlignment="1" applyProtection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187" fontId="6" fillId="0" borderId="5" xfId="1" quotePrefix="1" applyNumberFormat="1" applyFont="1" applyBorder="1" applyAlignment="1" applyProtection="1">
      <alignment horizontal="center" vertical="center"/>
    </xf>
    <xf numFmtId="0" fontId="4" fillId="0" borderId="5" xfId="0" quotePrefix="1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3" fontId="4" fillId="0" borderId="9" xfId="1" applyFont="1" applyBorder="1" applyAlignment="1" applyProtection="1">
      <alignment vertical="center"/>
    </xf>
    <xf numFmtId="43" fontId="4" fillId="0" borderId="7" xfId="1" quotePrefix="1" applyFont="1" applyBorder="1" applyAlignment="1" applyProtection="1">
      <alignment horizontal="center" vertical="center"/>
    </xf>
    <xf numFmtId="0" fontId="4" fillId="0" borderId="6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3" fontId="4" fillId="0" borderId="0" xfId="1" applyFont="1" applyBorder="1" applyAlignment="1" applyProtection="1">
      <alignment vertical="center"/>
    </xf>
    <xf numFmtId="43" fontId="4" fillId="0" borderId="7" xfId="1" applyFont="1" applyBorder="1" applyAlignment="1" applyProtection="1">
      <alignment vertical="center"/>
    </xf>
    <xf numFmtId="0" fontId="4" fillId="0" borderId="9" xfId="0" applyFont="1" applyBorder="1" applyAlignment="1">
      <alignment vertical="center"/>
    </xf>
    <xf numFmtId="43" fontId="2" fillId="0" borderId="10" xfId="1" applyFont="1" applyBorder="1" applyAlignment="1" applyProtection="1">
      <alignment vertical="center"/>
    </xf>
    <xf numFmtId="0" fontId="4" fillId="0" borderId="6" xfId="0" applyFont="1" applyBorder="1" applyAlignment="1">
      <alignment vertical="center"/>
    </xf>
    <xf numFmtId="188" fontId="4" fillId="0" borderId="8" xfId="0" applyNumberFormat="1" applyFont="1" applyBorder="1" applyAlignment="1">
      <alignment vertical="center"/>
    </xf>
    <xf numFmtId="43" fontId="4" fillId="0" borderId="11" xfId="1" applyFont="1" applyBorder="1" applyAlignment="1" applyProtection="1">
      <alignment vertical="center"/>
    </xf>
    <xf numFmtId="43" fontId="4" fillId="0" borderId="0" xfId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3" fontId="4" fillId="0" borderId="0" xfId="0" applyNumberFormat="1" applyFont="1" applyAlignment="1">
      <alignment horizontal="center" vertical="center"/>
    </xf>
    <xf numFmtId="43" fontId="3" fillId="0" borderId="0" xfId="0" applyNumberFormat="1" applyFont="1" applyAlignment="1">
      <alignment vertical="center"/>
    </xf>
    <xf numFmtId="43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3" fontId="4" fillId="0" borderId="0" xfId="3" applyFont="1" applyAlignment="1" applyProtection="1">
      <alignment horizontal="left" vertical="center"/>
      <protection locked="0"/>
    </xf>
    <xf numFmtId="0" fontId="4" fillId="0" borderId="0" xfId="0" quotePrefix="1" applyFont="1" applyAlignment="1">
      <alignment horizontal="left" vertical="center"/>
    </xf>
    <xf numFmtId="0" fontId="7" fillId="0" borderId="12" xfId="2" applyFont="1" applyBorder="1" applyAlignment="1">
      <alignment horizontal="center" vertical="center"/>
    </xf>
    <xf numFmtId="190" fontId="7" fillId="0" borderId="12" xfId="4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4" xfId="2" applyFont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0" fontId="7" fillId="0" borderId="14" xfId="2" applyFont="1" applyBorder="1" applyAlignment="1">
      <alignment horizontal="left" vertical="center"/>
    </xf>
    <xf numFmtId="49" fontId="3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3" fontId="3" fillId="0" borderId="13" xfId="1" applyFont="1" applyBorder="1" applyAlignment="1">
      <alignment vertical="center"/>
    </xf>
    <xf numFmtId="43" fontId="3" fillId="0" borderId="14" xfId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43" fontId="7" fillId="0" borderId="14" xfId="1" applyFont="1" applyBorder="1" applyAlignment="1">
      <alignment vertical="center"/>
    </xf>
    <xf numFmtId="2" fontId="7" fillId="0" borderId="14" xfId="0" applyNumberFormat="1" applyFont="1" applyBorder="1" applyAlignment="1">
      <alignment vertical="center"/>
    </xf>
    <xf numFmtId="43" fontId="3" fillId="0" borderId="14" xfId="1" applyFont="1" applyBorder="1" applyAlignment="1">
      <alignment horizontal="center" vertical="center"/>
    </xf>
    <xf numFmtId="43" fontId="7" fillId="0" borderId="14" xfId="1" applyFont="1" applyBorder="1" applyAlignment="1">
      <alignment horizontal="center" vertical="center"/>
    </xf>
    <xf numFmtId="43" fontId="3" fillId="0" borderId="14" xfId="1" applyFont="1" applyBorder="1" applyAlignment="1">
      <alignment horizontal="center"/>
    </xf>
    <xf numFmtId="43" fontId="3" fillId="0" borderId="14" xfId="1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7" fillId="2" borderId="14" xfId="2" applyFont="1" applyFill="1" applyBorder="1" applyAlignment="1">
      <alignment horizontal="left" vertical="center"/>
    </xf>
    <xf numFmtId="43" fontId="3" fillId="2" borderId="14" xfId="1" applyFont="1" applyFill="1" applyBorder="1" applyAlignment="1">
      <alignment vertical="center"/>
    </xf>
    <xf numFmtId="43" fontId="3" fillId="2" borderId="14" xfId="1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left" vertical="center"/>
    </xf>
    <xf numFmtId="0" fontId="7" fillId="2" borderId="14" xfId="0" applyFont="1" applyFill="1" applyBorder="1" applyAlignment="1">
      <alignment vertical="center"/>
    </xf>
    <xf numFmtId="43" fontId="7" fillId="2" borderId="14" xfId="1" applyFont="1" applyFill="1" applyBorder="1" applyAlignment="1">
      <alignment vertical="center"/>
    </xf>
    <xf numFmtId="43" fontId="7" fillId="2" borderId="14" xfId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5" xfId="2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3" fontId="7" fillId="0" borderId="15" xfId="1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3" fillId="0" borderId="17" xfId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43" fontId="7" fillId="0" borderId="16" xfId="1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43" fontId="7" fillId="0" borderId="12" xfId="1" applyFont="1" applyBorder="1" applyAlignment="1">
      <alignment vertical="center"/>
    </xf>
    <xf numFmtId="43" fontId="7" fillId="0" borderId="12" xfId="1" applyFont="1" applyBorder="1" applyAlignment="1">
      <alignment horizontal="center" vertical="center"/>
    </xf>
    <xf numFmtId="0" fontId="3" fillId="0" borderId="17" xfId="2" applyFont="1" applyBorder="1" applyAlignment="1">
      <alignment horizontal="left" vertical="center"/>
    </xf>
    <xf numFmtId="2" fontId="3" fillId="0" borderId="17" xfId="0" applyNumberFormat="1" applyFont="1" applyBorder="1" applyAlignment="1">
      <alignment vertical="center"/>
    </xf>
    <xf numFmtId="0" fontId="7" fillId="0" borderId="16" xfId="2" applyFont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2" fontId="7" fillId="0" borderId="1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43" fontId="7" fillId="0" borderId="10" xfId="1" applyFont="1" applyBorder="1" applyAlignment="1">
      <alignment vertical="center"/>
    </xf>
    <xf numFmtId="43" fontId="7" fillId="0" borderId="10" xfId="1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49" fontId="3" fillId="0" borderId="17" xfId="0" applyNumberFormat="1" applyFont="1" applyBorder="1" applyAlignment="1">
      <alignment vertical="center"/>
    </xf>
    <xf numFmtId="43" fontId="7" fillId="0" borderId="14" xfId="1" applyFont="1" applyBorder="1" applyAlignment="1">
      <alignment horizontal="center"/>
    </xf>
    <xf numFmtId="43" fontId="7" fillId="0" borderId="14" xfId="1" applyFont="1" applyFill="1" applyBorder="1" applyAlignment="1">
      <alignment vertical="center"/>
    </xf>
    <xf numFmtId="43" fontId="7" fillId="0" borderId="14" xfId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3" fontId="3" fillId="0" borderId="15" xfId="1" applyFont="1" applyBorder="1" applyAlignment="1">
      <alignment vertical="center"/>
    </xf>
    <xf numFmtId="43" fontId="3" fillId="0" borderId="0" xfId="1" applyFont="1" applyAlignment="1">
      <alignment vertical="center"/>
    </xf>
    <xf numFmtId="43" fontId="4" fillId="0" borderId="14" xfId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43" fontId="7" fillId="0" borderId="13" xfId="1" applyFont="1" applyBorder="1" applyAlignment="1">
      <alignment vertical="center"/>
    </xf>
    <xf numFmtId="43" fontId="7" fillId="0" borderId="13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/>
    </xf>
    <xf numFmtId="43" fontId="4" fillId="0" borderId="14" xfId="1" applyFont="1" applyFill="1" applyBorder="1" applyAlignment="1">
      <alignment vertical="center"/>
    </xf>
    <xf numFmtId="43" fontId="4" fillId="0" borderId="14" xfId="1" applyFont="1" applyFill="1" applyBorder="1" applyAlignment="1">
      <alignment horizontal="center" vertical="center"/>
    </xf>
    <xf numFmtId="43" fontId="4" fillId="0" borderId="17" xfId="1" applyFont="1" applyBorder="1" applyAlignment="1">
      <alignment vertical="center"/>
    </xf>
    <xf numFmtId="43" fontId="8" fillId="0" borderId="0" xfId="1" applyFont="1" applyAlignment="1">
      <alignment vertical="center"/>
    </xf>
    <xf numFmtId="43" fontId="8" fillId="0" borderId="0" xfId="0" applyNumberFormat="1" applyFont="1" applyAlignment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2" applyFont="1" applyBorder="1" applyAlignment="1">
      <alignment vertical="center"/>
    </xf>
    <xf numFmtId="0" fontId="3" fillId="0" borderId="17" xfId="2" applyFont="1" applyBorder="1" applyAlignment="1">
      <alignment vertical="center"/>
    </xf>
    <xf numFmtId="0" fontId="3" fillId="0" borderId="14" xfId="2" applyFont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7" fillId="0" borderId="13" xfId="2" quotePrefix="1" applyFont="1" applyBorder="1" applyAlignment="1">
      <alignment vertical="center"/>
    </xf>
    <xf numFmtId="0" fontId="7" fillId="0" borderId="16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7" fillId="0" borderId="13" xfId="2" applyFont="1" applyBorder="1" applyAlignment="1">
      <alignment horizontal="center" vertical="center"/>
    </xf>
    <xf numFmtId="190" fontId="7" fillId="0" borderId="13" xfId="4" applyNumberFormat="1" applyFont="1" applyFill="1" applyBorder="1" applyAlignment="1">
      <alignment horizontal="center" vertical="center"/>
    </xf>
    <xf numFmtId="43" fontId="7" fillId="0" borderId="13" xfId="1" applyFont="1" applyFill="1" applyBorder="1" applyAlignment="1">
      <alignment horizontal="center" vertical="center"/>
    </xf>
    <xf numFmtId="0" fontId="7" fillId="0" borderId="13" xfId="2" applyFont="1" applyBorder="1" applyAlignment="1">
      <alignment horizontal="left" vertical="center"/>
    </xf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43" fontId="4" fillId="0" borderId="0" xfId="1" applyFont="1" applyProtection="1">
      <protection hidden="1"/>
    </xf>
    <xf numFmtId="43" fontId="4" fillId="0" borderId="0" xfId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192" fontId="4" fillId="0" borderId="0" xfId="1" applyNumberFormat="1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10" fillId="0" borderId="0" xfId="0" applyFont="1"/>
    <xf numFmtId="43" fontId="4" fillId="0" borderId="0" xfId="0" applyNumberFormat="1" applyFont="1" applyProtection="1">
      <protection hidden="1"/>
    </xf>
    <xf numFmtId="192" fontId="4" fillId="0" borderId="0" xfId="0" applyNumberFormat="1" applyFont="1" applyProtection="1">
      <protection hidden="1"/>
    </xf>
    <xf numFmtId="191" fontId="4" fillId="0" borderId="12" xfId="0" applyNumberFormat="1" applyFont="1" applyBorder="1" applyProtection="1">
      <protection hidden="1"/>
    </xf>
    <xf numFmtId="0" fontId="11" fillId="0" borderId="0" xfId="0" applyFont="1"/>
    <xf numFmtId="192" fontId="12" fillId="0" borderId="0" xfId="0" applyNumberFormat="1" applyFont="1"/>
    <xf numFmtId="0" fontId="12" fillId="0" borderId="0" xfId="0" applyFont="1" applyProtection="1">
      <protection hidden="1"/>
    </xf>
    <xf numFmtId="191" fontId="4" fillId="0" borderId="0" xfId="0" applyNumberFormat="1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43" fontId="4" fillId="0" borderId="0" xfId="1" applyFont="1" applyAlignment="1" applyProtection="1">
      <alignment vertical="center"/>
      <protection hidden="1"/>
    </xf>
    <xf numFmtId="43" fontId="4" fillId="0" borderId="0" xfId="1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191" fontId="4" fillId="0" borderId="12" xfId="0" applyNumberFormat="1" applyFont="1" applyBorder="1" applyAlignment="1" applyProtection="1">
      <alignment horizontal="center" vertical="center"/>
      <protection hidden="1"/>
    </xf>
    <xf numFmtId="192" fontId="4" fillId="0" borderId="0" xfId="1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3" fontId="4" fillId="0" borderId="0" xfId="0" applyNumberFormat="1" applyFont="1" applyAlignment="1" applyProtection="1">
      <alignment vertical="center"/>
      <protection hidden="1"/>
    </xf>
    <xf numFmtId="43" fontId="4" fillId="0" borderId="12" xfId="0" applyNumberFormat="1" applyFont="1" applyBorder="1" applyAlignment="1" applyProtection="1">
      <alignment vertical="center"/>
      <protection hidden="1"/>
    </xf>
    <xf numFmtId="192" fontId="4" fillId="0" borderId="0" xfId="0" applyNumberFormat="1" applyFont="1" applyAlignment="1" applyProtection="1">
      <alignment vertical="center"/>
      <protection hidden="1"/>
    </xf>
    <xf numFmtId="191" fontId="4" fillId="0" borderId="12" xfId="0" applyNumberFormat="1" applyFont="1" applyBorder="1" applyAlignment="1" applyProtection="1">
      <alignment vertical="center"/>
      <protection hidden="1"/>
    </xf>
    <xf numFmtId="192" fontId="4" fillId="0" borderId="0" xfId="0" applyNumberFormat="1" applyFont="1" applyAlignment="1">
      <alignment vertical="center"/>
    </xf>
    <xf numFmtId="191" fontId="8" fillId="0" borderId="12" xfId="0" applyNumberFormat="1" applyFont="1" applyBorder="1" applyAlignment="1" applyProtection="1">
      <alignment vertical="center"/>
      <protection hidden="1"/>
    </xf>
    <xf numFmtId="191" fontId="4" fillId="0" borderId="0" xfId="0" applyNumberFormat="1" applyFont="1" applyAlignment="1" applyProtection="1">
      <alignment vertical="center"/>
      <protection hidden="1"/>
    </xf>
    <xf numFmtId="2" fontId="3" fillId="0" borderId="0" xfId="0" applyNumberFormat="1" applyFont="1" applyAlignment="1">
      <alignment horizontal="center" vertical="center"/>
    </xf>
    <xf numFmtId="192" fontId="4" fillId="0" borderId="12" xfId="1" applyNumberFormat="1" applyFont="1" applyFill="1" applyBorder="1" applyAlignment="1" applyProtection="1">
      <alignment horizontal="center"/>
      <protection hidden="1"/>
    </xf>
    <xf numFmtId="43" fontId="4" fillId="0" borderId="12" xfId="0" applyNumberFormat="1" applyFont="1" applyBorder="1" applyAlignment="1" applyProtection="1">
      <alignment horizontal="center"/>
      <protection hidden="1"/>
    </xf>
    <xf numFmtId="192" fontId="12" fillId="0" borderId="12" xfId="0" applyNumberFormat="1" applyFont="1" applyBorder="1" applyProtection="1">
      <protection hidden="1"/>
    </xf>
    <xf numFmtId="0" fontId="4" fillId="0" borderId="12" xfId="0" applyFont="1" applyBorder="1" applyProtection="1">
      <protection hidden="1"/>
    </xf>
    <xf numFmtId="192" fontId="12" fillId="0" borderId="12" xfId="0" applyNumberFormat="1" applyFont="1" applyBorder="1"/>
    <xf numFmtId="192" fontId="4" fillId="0" borderId="0" xfId="1" applyNumberFormat="1" applyFont="1" applyAlignment="1" applyProtection="1">
      <protection hidden="1"/>
    </xf>
    <xf numFmtId="0" fontId="4" fillId="0" borderId="0" xfId="0" applyFont="1" applyAlignment="1">
      <alignment horizontal="center" vertical="center" wrapText="1"/>
    </xf>
    <xf numFmtId="43" fontId="2" fillId="0" borderId="0" xfId="1" applyFont="1" applyBorder="1" applyAlignment="1" applyProtection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4" fillId="0" borderId="0" xfId="1" applyNumberFormat="1" applyFont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43" fontId="3" fillId="0" borderId="16" xfId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43" fontId="3" fillId="0" borderId="19" xfId="1" applyFont="1" applyBorder="1" applyAlignment="1">
      <alignment vertical="center"/>
    </xf>
    <xf numFmtId="43" fontId="3" fillId="0" borderId="16" xfId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43" fontId="7" fillId="0" borderId="16" xfId="1" applyFont="1" applyBorder="1" applyAlignment="1">
      <alignment horizontal="center" vertical="center"/>
    </xf>
    <xf numFmtId="49" fontId="3" fillId="0" borderId="15" xfId="0" applyNumberFormat="1" applyFont="1" applyBorder="1" applyAlignment="1">
      <alignment vertical="center"/>
    </xf>
    <xf numFmtId="43" fontId="3" fillId="0" borderId="14" xfId="1" quotePrefix="1" applyFont="1" applyBorder="1" applyAlignment="1">
      <alignment horizontal="center" vertical="center"/>
    </xf>
    <xf numFmtId="43" fontId="3" fillId="0" borderId="15" xfId="1" quotePrefix="1" applyFont="1" applyBorder="1" applyAlignment="1">
      <alignment horizontal="center" vertical="center"/>
    </xf>
    <xf numFmtId="43" fontId="4" fillId="0" borderId="15" xfId="1" applyFont="1" applyBorder="1" applyAlignment="1">
      <alignment vertical="center"/>
    </xf>
    <xf numFmtId="43" fontId="13" fillId="0" borderId="14" xfId="1" applyFont="1" applyBorder="1" applyAlignment="1">
      <alignment vertical="center"/>
    </xf>
    <xf numFmtId="43" fontId="7" fillId="0" borderId="12" xfId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43" fontId="3" fillId="0" borderId="15" xfId="1" applyFont="1" applyBorder="1" applyAlignment="1">
      <alignment horizontal="center" vertical="center"/>
    </xf>
    <xf numFmtId="193" fontId="4" fillId="0" borderId="12" xfId="1" applyNumberFormat="1" applyFont="1" applyBorder="1" applyAlignment="1" applyProtection="1">
      <alignment vertical="center"/>
      <protection hidden="1"/>
    </xf>
    <xf numFmtId="194" fontId="4" fillId="0" borderId="12" xfId="1" applyNumberFormat="1" applyFont="1" applyBorder="1" applyProtection="1">
      <protection hidden="1"/>
    </xf>
    <xf numFmtId="43" fontId="3" fillId="0" borderId="17" xfId="1" applyFont="1" applyFill="1" applyBorder="1" applyAlignment="1">
      <alignment vertical="center"/>
    </xf>
    <xf numFmtId="187" fontId="4" fillId="0" borderId="7" xfId="1" applyNumberFormat="1" applyFont="1" applyBorder="1" applyAlignment="1" applyProtection="1">
      <alignment horizontal="center" vertical="center"/>
    </xf>
    <xf numFmtId="43" fontId="4" fillId="0" borderId="20" xfId="1" applyFont="1" applyBorder="1" applyAlignment="1" applyProtection="1">
      <alignment vertical="center"/>
    </xf>
    <xf numFmtId="0" fontId="4" fillId="0" borderId="7" xfId="0" quotePrefix="1" applyFont="1" applyBorder="1" applyAlignment="1">
      <alignment horizontal="left" vertical="center"/>
    </xf>
    <xf numFmtId="43" fontId="4" fillId="0" borderId="0" xfId="0" applyNumberFormat="1" applyFont="1" applyAlignment="1">
      <alignment vertical="center"/>
    </xf>
    <xf numFmtId="188" fontId="2" fillId="0" borderId="8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43" fontId="4" fillId="0" borderId="21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3" fontId="4" fillId="0" borderId="21" xfId="1" applyFont="1" applyBorder="1" applyAlignment="1">
      <alignment horizontal="left" vertical="center"/>
    </xf>
    <xf numFmtId="43" fontId="4" fillId="0" borderId="2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43" fontId="7" fillId="0" borderId="12" xfId="1" applyFont="1" applyFill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center"/>
    </xf>
  </cellXfs>
  <cellStyles count="6">
    <cellStyle name="Comma 2 3" xfId="4" xr:uid="{DB99A619-9356-4F0D-8C3E-F567B1437DA6}"/>
    <cellStyle name="Comma 3" xfId="5" xr:uid="{C150650E-7E83-4B61-A72B-8896FD7B688B}"/>
    <cellStyle name="Normal 2" xfId="2" xr:uid="{B970A9BE-C442-4562-A775-9F85D90FCAFF}"/>
    <cellStyle name="เครื่องหมายจุลภาค 2 2" xfId="3" xr:uid="{E25964AF-8351-47D8-8BD3-A25463EEFB68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79FE-9218-41CD-BAE4-8DF1F29FD3B2}">
  <sheetPr>
    <tabColor theme="5"/>
  </sheetPr>
  <dimension ref="A1:I41"/>
  <sheetViews>
    <sheetView view="pageBreakPreview" zoomScaleNormal="100" zoomScaleSheetLayoutView="100" workbookViewId="0">
      <selection activeCell="E17" sqref="E17"/>
    </sheetView>
  </sheetViews>
  <sheetFormatPr defaultRowHeight="17.25" customHeight="1" x14ac:dyDescent="0.2"/>
  <cols>
    <col min="1" max="1" width="6.875" style="36" customWidth="1"/>
    <col min="2" max="3" width="8.75" style="36" customWidth="1"/>
    <col min="4" max="4" width="13.125" style="36" customWidth="1"/>
    <col min="5" max="5" width="12.125" style="36" customWidth="1"/>
    <col min="6" max="6" width="13.125" style="36" customWidth="1"/>
    <col min="7" max="8" width="7.5" style="36" customWidth="1"/>
    <col min="9" max="9" width="4.375" style="36" customWidth="1"/>
    <col min="10" max="16384" width="9" style="36"/>
  </cols>
  <sheetData>
    <row r="1" spans="1:9" ht="17.25" customHeight="1" x14ac:dyDescent="0.2">
      <c r="A1" s="214" t="s">
        <v>320</v>
      </c>
      <c r="B1" s="214"/>
      <c r="C1" s="214"/>
      <c r="D1" s="214"/>
      <c r="E1" s="214"/>
      <c r="F1" s="214"/>
      <c r="G1" s="214"/>
      <c r="H1" s="214"/>
      <c r="I1" s="214"/>
    </row>
    <row r="2" spans="1:9" ht="17.25" customHeight="1" x14ac:dyDescent="0.2">
      <c r="A2" s="214" t="s">
        <v>0</v>
      </c>
      <c r="B2" s="214"/>
      <c r="C2" s="214"/>
      <c r="D2" s="214"/>
      <c r="E2" s="214"/>
      <c r="F2" s="214"/>
      <c r="G2" s="214"/>
      <c r="H2" s="214"/>
      <c r="I2" s="214"/>
    </row>
    <row r="3" spans="1:9" ht="17.25" customHeight="1" x14ac:dyDescent="0.2">
      <c r="A3" s="214" t="s">
        <v>321</v>
      </c>
      <c r="B3" s="214"/>
      <c r="C3" s="214"/>
      <c r="D3" s="214"/>
      <c r="E3" s="214"/>
      <c r="F3" s="214"/>
      <c r="G3" s="214"/>
      <c r="H3" s="214"/>
      <c r="I3" s="214"/>
    </row>
    <row r="4" spans="1:9" ht="17.25" customHeight="1" x14ac:dyDescent="0.2">
      <c r="A4" s="214" t="s">
        <v>322</v>
      </c>
      <c r="B4" s="214"/>
      <c r="C4" s="214"/>
      <c r="D4" s="214"/>
      <c r="E4" s="214"/>
      <c r="F4" s="214"/>
      <c r="G4" s="214"/>
      <c r="H4" s="214"/>
      <c r="I4" s="214"/>
    </row>
    <row r="5" spans="1:9" ht="17.25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17.25" customHeight="1" x14ac:dyDescent="0.2">
      <c r="A6" s="4" t="s">
        <v>310</v>
      </c>
      <c r="B6" s="5"/>
      <c r="C6" s="5"/>
      <c r="D6" s="5"/>
      <c r="E6" s="5"/>
      <c r="F6" s="5"/>
      <c r="G6" s="5"/>
      <c r="H6" s="5"/>
      <c r="I6" s="5"/>
    </row>
    <row r="7" spans="1:9" ht="17.25" customHeight="1" x14ac:dyDescent="0.2">
      <c r="A7" s="5" t="s">
        <v>294</v>
      </c>
      <c r="B7" s="5"/>
      <c r="C7" s="6"/>
      <c r="D7" s="6"/>
      <c r="E7" s="6"/>
      <c r="F7" s="1"/>
      <c r="G7" s="1"/>
      <c r="H7" s="5"/>
      <c r="I7" s="5"/>
    </row>
    <row r="8" spans="1:9" ht="17.25" customHeight="1" x14ac:dyDescent="0.2">
      <c r="A8" s="47" t="s">
        <v>323</v>
      </c>
      <c r="B8" s="5"/>
      <c r="C8" s="5"/>
      <c r="D8" s="5"/>
      <c r="E8" s="5"/>
      <c r="G8" s="7"/>
      <c r="H8" s="6"/>
      <c r="I8" s="6"/>
    </row>
    <row r="9" spans="1:9" ht="41.25" customHeight="1" x14ac:dyDescent="0.2">
      <c r="A9" s="8" t="s">
        <v>1</v>
      </c>
      <c r="B9" s="215" t="s">
        <v>15</v>
      </c>
      <c r="C9" s="216"/>
      <c r="D9" s="178" t="s">
        <v>296</v>
      </c>
      <c r="E9" s="8" t="s">
        <v>2</v>
      </c>
      <c r="F9" s="9" t="s">
        <v>297</v>
      </c>
      <c r="G9" s="215" t="s">
        <v>3</v>
      </c>
      <c r="H9" s="217"/>
      <c r="I9" s="216"/>
    </row>
    <row r="10" spans="1:9" ht="17.25" customHeight="1" x14ac:dyDescent="0.2">
      <c r="A10" s="10">
        <v>1</v>
      </c>
      <c r="B10" s="179" t="s">
        <v>4</v>
      </c>
      <c r="C10" s="180"/>
      <c r="D10" s="12">
        <f>'ปร.4 งานก่อสร้าง'!I14</f>
        <v>13905259.459999999</v>
      </c>
      <c r="E10" s="13">
        <v>1.2333000000000001</v>
      </c>
      <c r="F10" s="14">
        <f>D10*E10</f>
        <v>17149356.492017999</v>
      </c>
      <c r="G10" s="218" t="s">
        <v>2</v>
      </c>
      <c r="H10" s="219"/>
      <c r="I10" s="220"/>
    </row>
    <row r="11" spans="1:9" ht="17.25" customHeight="1" x14ac:dyDescent="0.2">
      <c r="A11" s="15">
        <v>2</v>
      </c>
      <c r="B11" s="16" t="s">
        <v>143</v>
      </c>
      <c r="C11" s="181"/>
      <c r="D11" s="17">
        <f>ครุภัณฑ์!I57</f>
        <v>14239540</v>
      </c>
      <c r="E11" s="18">
        <v>1</v>
      </c>
      <c r="F11" s="14">
        <f t="shared" ref="F11" si="0">D11*E11</f>
        <v>14239540</v>
      </c>
      <c r="G11" s="11" t="s">
        <v>5</v>
      </c>
      <c r="I11" s="19">
        <v>7.0000000000000007E-2</v>
      </c>
    </row>
    <row r="12" spans="1:9" ht="17.25" customHeight="1" x14ac:dyDescent="0.2">
      <c r="A12" s="15">
        <v>3</v>
      </c>
      <c r="B12" s="16" t="s">
        <v>159</v>
      </c>
      <c r="C12" s="182"/>
      <c r="D12" s="17">
        <f>ค่าใช้จ่ายพิเศษ!I15</f>
        <v>619800</v>
      </c>
      <c r="E12" s="20">
        <v>1</v>
      </c>
      <c r="F12" s="14">
        <f>D12*E12</f>
        <v>619800</v>
      </c>
      <c r="G12" s="21" t="s">
        <v>6</v>
      </c>
      <c r="I12" s="19">
        <v>7.0000000000000007E-2</v>
      </c>
    </row>
    <row r="13" spans="1:9" ht="17.25" customHeight="1" x14ac:dyDescent="0.2">
      <c r="A13" s="11"/>
      <c r="B13" s="11"/>
      <c r="C13" s="32"/>
      <c r="D13" s="12"/>
      <c r="E13" s="13"/>
      <c r="F13" s="14"/>
      <c r="G13" s="11" t="s">
        <v>7</v>
      </c>
      <c r="I13" s="19">
        <v>0</v>
      </c>
    </row>
    <row r="14" spans="1:9" ht="17.25" customHeight="1" x14ac:dyDescent="0.2">
      <c r="A14" s="11"/>
      <c r="B14" s="11"/>
      <c r="C14" s="32"/>
      <c r="D14" s="12"/>
      <c r="E14" s="13"/>
      <c r="F14" s="14"/>
      <c r="G14" s="11" t="s">
        <v>8</v>
      </c>
      <c r="I14" s="19">
        <v>0</v>
      </c>
    </row>
    <row r="15" spans="1:9" ht="17.25" customHeight="1" x14ac:dyDescent="0.2">
      <c r="A15" s="22"/>
      <c r="B15" s="22"/>
      <c r="C15" s="30"/>
      <c r="D15" s="24"/>
      <c r="E15" s="25"/>
      <c r="F15" s="25"/>
      <c r="G15" s="21" t="s">
        <v>292</v>
      </c>
      <c r="I15" s="26"/>
    </row>
    <row r="16" spans="1:9" ht="17.25" customHeight="1" x14ac:dyDescent="0.2">
      <c r="A16" s="27" t="s">
        <v>9</v>
      </c>
      <c r="B16" s="1"/>
      <c r="C16" s="5"/>
      <c r="D16" s="28" t="s">
        <v>10</v>
      </c>
      <c r="E16" s="28"/>
      <c r="F16" s="29">
        <f>SUM(F10:F15)</f>
        <v>32008696.492017999</v>
      </c>
      <c r="G16" s="29"/>
      <c r="H16" s="23" t="s">
        <v>11</v>
      </c>
      <c r="I16" s="30"/>
    </row>
    <row r="17" spans="1:9" ht="17.25" customHeight="1" thickBot="1" x14ac:dyDescent="0.25">
      <c r="A17" s="11"/>
      <c r="B17" s="5"/>
      <c r="C17" s="5"/>
      <c r="D17" s="28" t="s">
        <v>12</v>
      </c>
      <c r="E17" s="28"/>
      <c r="F17" s="31">
        <f>IF(F16&lt;10000000,ROUNDDOWN(F16,-3),ROUNDDOWN(F16,-4))</f>
        <v>32000000</v>
      </c>
      <c r="G17" s="177"/>
      <c r="H17" s="5" t="s">
        <v>11</v>
      </c>
      <c r="I17" s="32"/>
    </row>
    <row r="18" spans="1:9" ht="17.25" customHeight="1" thickTop="1" x14ac:dyDescent="0.2">
      <c r="A18" s="22"/>
      <c r="B18" s="23"/>
      <c r="C18" s="23" t="s">
        <v>13</v>
      </c>
      <c r="D18" s="33" t="str">
        <f>BAHTTEXT(F17)</f>
        <v>สามสิบสองล้านบาทถ้วน</v>
      </c>
      <c r="E18" s="23"/>
      <c r="F18" s="23"/>
      <c r="G18" s="23"/>
      <c r="H18" s="23"/>
      <c r="I18" s="30"/>
    </row>
    <row r="19" spans="1:9" ht="17.25" customHeight="1" x14ac:dyDescent="0.2">
      <c r="A19" s="183" t="s">
        <v>295</v>
      </c>
      <c r="B19" s="5"/>
      <c r="C19" s="34">
        <f>F17/(59*89)</f>
        <v>6094.0773186059796</v>
      </c>
      <c r="D19" s="5" t="s">
        <v>298</v>
      </c>
      <c r="E19" s="5"/>
      <c r="F19" s="5"/>
      <c r="G19" s="5"/>
      <c r="H19" s="5"/>
      <c r="I19" s="5"/>
    </row>
    <row r="20" spans="1:9" ht="17.25" customHeight="1" x14ac:dyDescent="0.2">
      <c r="A20" s="183"/>
      <c r="B20" s="5"/>
      <c r="C20" s="28"/>
      <c r="D20" s="5"/>
      <c r="E20" s="5"/>
      <c r="F20" s="5"/>
      <c r="G20" s="5"/>
      <c r="H20" s="5"/>
      <c r="I20" s="5"/>
    </row>
    <row r="21" spans="1:9" ht="17.25" customHeight="1" x14ac:dyDescent="0.2">
      <c r="A21" s="28"/>
      <c r="B21" s="3" t="s">
        <v>309</v>
      </c>
      <c r="C21" s="35"/>
      <c r="D21" s="28"/>
      <c r="E21" s="5"/>
      <c r="F21" s="5"/>
      <c r="G21" s="5"/>
      <c r="H21" s="5"/>
      <c r="I21" s="5"/>
    </row>
    <row r="22" spans="1:9" ht="17.25" customHeight="1" x14ac:dyDescent="0.2">
      <c r="A22" s="28"/>
      <c r="B22" s="5"/>
      <c r="C22" s="35"/>
      <c r="D22" s="28"/>
      <c r="E22" s="5"/>
      <c r="F22" s="5"/>
      <c r="G22" s="5"/>
      <c r="H22" s="5"/>
      <c r="I22" s="5"/>
    </row>
    <row r="23" spans="1:9" ht="17.25" customHeight="1" x14ac:dyDescent="0.2">
      <c r="A23" s="5"/>
      <c r="B23" s="7"/>
      <c r="C23" s="5" t="s">
        <v>300</v>
      </c>
      <c r="D23" s="5"/>
      <c r="E23" s="5"/>
      <c r="F23" s="5" t="s">
        <v>301</v>
      </c>
      <c r="I23" s="5"/>
    </row>
    <row r="24" spans="1:9" ht="17.25" customHeight="1" x14ac:dyDescent="0.2">
      <c r="A24" s="5"/>
      <c r="B24" s="5"/>
      <c r="C24" s="5"/>
      <c r="D24" s="213" t="s">
        <v>299</v>
      </c>
      <c r="E24" s="213"/>
      <c r="F24" s="40" t="s">
        <v>14</v>
      </c>
      <c r="I24" s="5"/>
    </row>
    <row r="25" spans="1:9" ht="17.25" customHeight="1" x14ac:dyDescent="0.2">
      <c r="A25" s="5"/>
      <c r="B25" s="5"/>
      <c r="C25" s="5"/>
      <c r="D25" s="213" t="s">
        <v>302</v>
      </c>
      <c r="E25" s="213"/>
      <c r="F25" s="6"/>
      <c r="I25" s="5"/>
    </row>
    <row r="26" spans="1:9" ht="17.25" customHeight="1" x14ac:dyDescent="0.2">
      <c r="A26" s="5"/>
      <c r="B26" s="5"/>
      <c r="C26" s="5"/>
      <c r="D26" s="6"/>
      <c r="E26" s="6"/>
      <c r="F26" s="5"/>
      <c r="I26" s="5"/>
    </row>
    <row r="27" spans="1:9" ht="17.25" customHeight="1" x14ac:dyDescent="0.2">
      <c r="A27" s="5"/>
      <c r="B27" s="7"/>
      <c r="C27" s="5" t="s">
        <v>300</v>
      </c>
      <c r="D27" s="6"/>
      <c r="E27" s="6"/>
      <c r="F27" s="5" t="s">
        <v>303</v>
      </c>
      <c r="I27" s="5"/>
    </row>
    <row r="28" spans="1:9" ht="17.25" customHeight="1" x14ac:dyDescent="0.2">
      <c r="A28" s="5"/>
      <c r="B28" s="7"/>
      <c r="C28" s="6"/>
      <c r="D28" s="213" t="s">
        <v>239</v>
      </c>
      <c r="E28" s="213"/>
      <c r="F28" s="5"/>
      <c r="I28" s="5"/>
    </row>
    <row r="29" spans="1:9" ht="17.25" customHeight="1" x14ac:dyDescent="0.2">
      <c r="A29" s="5"/>
      <c r="B29" s="7"/>
      <c r="C29" s="6"/>
      <c r="D29" s="213" t="s">
        <v>238</v>
      </c>
      <c r="E29" s="213"/>
      <c r="F29" s="5"/>
      <c r="I29" s="5"/>
    </row>
    <row r="30" spans="1:9" ht="17.25" customHeight="1" x14ac:dyDescent="0.2">
      <c r="A30" s="5"/>
      <c r="B30" s="7"/>
      <c r="C30" s="6"/>
      <c r="D30" s="6"/>
      <c r="E30" s="6"/>
      <c r="F30" s="5"/>
      <c r="I30" s="5"/>
    </row>
    <row r="31" spans="1:9" ht="17.25" customHeight="1" x14ac:dyDescent="0.2">
      <c r="A31" s="5"/>
      <c r="B31" s="7"/>
      <c r="C31" s="5" t="s">
        <v>300</v>
      </c>
      <c r="D31" s="6"/>
      <c r="E31" s="6"/>
      <c r="F31" s="42" t="s">
        <v>303</v>
      </c>
      <c r="I31" s="5"/>
    </row>
    <row r="32" spans="1:9" ht="17.25" customHeight="1" x14ac:dyDescent="0.2">
      <c r="A32" s="5"/>
      <c r="B32" s="7"/>
      <c r="C32" s="5"/>
      <c r="D32" s="222" t="s">
        <v>304</v>
      </c>
      <c r="E32" s="222"/>
      <c r="F32" s="38"/>
      <c r="I32" s="5"/>
    </row>
    <row r="33" spans="1:9" ht="17.25" customHeight="1" x14ac:dyDescent="0.2">
      <c r="A33" s="5"/>
      <c r="B33" s="7"/>
      <c r="C33" s="5"/>
      <c r="D33" s="213" t="s">
        <v>238</v>
      </c>
      <c r="E33" s="213"/>
      <c r="F33" s="6"/>
      <c r="I33" s="5"/>
    </row>
    <row r="34" spans="1:9" ht="17.25" customHeight="1" x14ac:dyDescent="0.2">
      <c r="A34" s="5"/>
      <c r="B34" s="7"/>
      <c r="C34" s="5"/>
      <c r="D34" s="43"/>
      <c r="E34" s="5"/>
      <c r="F34" s="5"/>
      <c r="I34" s="5"/>
    </row>
    <row r="35" spans="1:9" ht="17.25" customHeight="1" x14ac:dyDescent="0.2">
      <c r="A35" s="5"/>
      <c r="B35" s="7"/>
      <c r="C35" s="5" t="s">
        <v>300</v>
      </c>
      <c r="D35" s="5"/>
      <c r="E35" s="5"/>
      <c r="F35" s="5" t="s">
        <v>303</v>
      </c>
      <c r="I35" s="5"/>
    </row>
    <row r="36" spans="1:9" ht="17.25" customHeight="1" x14ac:dyDescent="0.2">
      <c r="A36" s="5"/>
      <c r="B36" s="7"/>
      <c r="C36" s="5"/>
      <c r="D36" s="222" t="s">
        <v>305</v>
      </c>
      <c r="E36" s="222"/>
      <c r="F36" s="43"/>
      <c r="I36" s="5"/>
    </row>
    <row r="37" spans="1:9" ht="17.25" customHeight="1" x14ac:dyDescent="0.2">
      <c r="A37" s="5"/>
      <c r="B37" s="7"/>
      <c r="C37" s="5"/>
      <c r="D37" s="221" t="s">
        <v>306</v>
      </c>
      <c r="E37" s="221"/>
      <c r="F37" s="41"/>
      <c r="I37" s="5"/>
    </row>
    <row r="38" spans="1:9" ht="17.25" customHeight="1" x14ac:dyDescent="0.2">
      <c r="A38" s="5"/>
      <c r="B38" s="7"/>
      <c r="C38" s="5"/>
      <c r="D38" s="5"/>
      <c r="E38" s="5"/>
      <c r="F38" s="5"/>
      <c r="I38" s="5"/>
    </row>
    <row r="39" spans="1:9" ht="17.25" customHeight="1" x14ac:dyDescent="0.2">
      <c r="A39" s="5"/>
      <c r="B39" s="7"/>
      <c r="C39" s="5" t="s">
        <v>300</v>
      </c>
      <c r="D39" s="5"/>
      <c r="E39" s="5"/>
      <c r="F39" s="5" t="s">
        <v>303</v>
      </c>
      <c r="I39" s="5"/>
    </row>
    <row r="40" spans="1:9" ht="17.25" customHeight="1" x14ac:dyDescent="0.2">
      <c r="A40" s="5"/>
      <c r="B40" s="5"/>
      <c r="C40" s="5"/>
      <c r="D40" s="222" t="s">
        <v>307</v>
      </c>
      <c r="E40" s="222"/>
      <c r="F40" s="38"/>
      <c r="H40" s="39"/>
      <c r="I40" s="5"/>
    </row>
    <row r="41" spans="1:9" ht="17.25" customHeight="1" x14ac:dyDescent="0.2">
      <c r="A41" s="5"/>
      <c r="B41" s="5"/>
      <c r="C41" s="5"/>
      <c r="D41" s="221" t="s">
        <v>308</v>
      </c>
      <c r="E41" s="221"/>
      <c r="F41" s="184"/>
      <c r="G41" s="176"/>
      <c r="H41" s="39"/>
      <c r="I41" s="5"/>
    </row>
  </sheetData>
  <mergeCells count="17">
    <mergeCell ref="D37:E37"/>
    <mergeCell ref="D40:E40"/>
    <mergeCell ref="D41:E41"/>
    <mergeCell ref="D25:E25"/>
    <mergeCell ref="D28:E28"/>
    <mergeCell ref="D29:E29"/>
    <mergeCell ref="D32:E32"/>
    <mergeCell ref="D33:E33"/>
    <mergeCell ref="D36:E36"/>
    <mergeCell ref="D24:E24"/>
    <mergeCell ref="A1:I1"/>
    <mergeCell ref="A3:I3"/>
    <mergeCell ref="B9:C9"/>
    <mergeCell ref="G9:I9"/>
    <mergeCell ref="G10:I10"/>
    <mergeCell ref="A2:I2"/>
    <mergeCell ref="A4:I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286D4-390D-48CF-BBD1-F35CE0E24730}">
  <sheetPr>
    <tabColor rgb="FFFF66FF"/>
  </sheetPr>
  <dimension ref="A1:M27"/>
  <sheetViews>
    <sheetView view="pageBreakPreview" zoomScaleNormal="100" zoomScaleSheetLayoutView="100" workbookViewId="0">
      <selection activeCell="B4" sqref="B4"/>
    </sheetView>
  </sheetViews>
  <sheetFormatPr defaultRowHeight="18" customHeight="1" x14ac:dyDescent="0.2"/>
  <cols>
    <col min="1" max="1" width="5.625" style="54" customWidth="1"/>
    <col min="2" max="2" width="42.125" style="36" customWidth="1"/>
    <col min="3" max="3" width="9.375" style="36" customWidth="1"/>
    <col min="4" max="4" width="6.875" style="54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26" t="s">
        <v>320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ht="18" customHeight="1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ht="18" customHeight="1" x14ac:dyDescent="0.2">
      <c r="A3" s="226"/>
      <c r="B3" s="226"/>
      <c r="C3" s="226"/>
      <c r="D3" s="226"/>
      <c r="E3" s="226"/>
      <c r="F3" s="226"/>
      <c r="G3" s="226"/>
      <c r="H3" s="226"/>
      <c r="I3" s="226"/>
      <c r="J3" s="37"/>
      <c r="K3" s="37"/>
      <c r="L3" s="37"/>
      <c r="M3" s="37"/>
    </row>
    <row r="4" spans="1:13" s="47" customFormat="1" ht="18" customHeight="1" x14ac:dyDescent="0.2">
      <c r="A4" s="47" t="str">
        <f>ปร.5!A8</f>
        <v>ชื่อโครงการ   โครงการก่อสร้างสนามกีฬาชุมชน ขนาด 59.00 x 89.00 เมตร</v>
      </c>
      <c r="D4" s="54"/>
    </row>
    <row r="5" spans="1:13" s="47" customFormat="1" ht="18" customHeight="1" x14ac:dyDescent="0.2">
      <c r="A5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5" s="54"/>
    </row>
    <row r="6" spans="1:13" s="47" customFormat="1" ht="18" customHeight="1" x14ac:dyDescent="0.2">
      <c r="A6" s="47" t="str">
        <f>ปร.5!A10</f>
        <v>คณะกรรมการกำหนดราคากลางเมื่อ วันที่ 11 ตุลาคม 2567</v>
      </c>
      <c r="D6" s="54"/>
    </row>
    <row r="7" spans="1:13" ht="18" customHeight="1" x14ac:dyDescent="0.2">
      <c r="A7" s="227" t="s">
        <v>17</v>
      </c>
      <c r="B7" s="227" t="s">
        <v>15</v>
      </c>
      <c r="C7" s="227" t="s">
        <v>18</v>
      </c>
      <c r="D7" s="227" t="s">
        <v>16</v>
      </c>
      <c r="E7" s="227" t="s">
        <v>19</v>
      </c>
      <c r="F7" s="227"/>
      <c r="G7" s="227" t="s">
        <v>20</v>
      </c>
      <c r="H7" s="227"/>
      <c r="I7" s="228" t="s">
        <v>21</v>
      </c>
    </row>
    <row r="8" spans="1:13" ht="18" customHeight="1" x14ac:dyDescent="0.2">
      <c r="A8" s="227"/>
      <c r="B8" s="227"/>
      <c r="C8" s="227"/>
      <c r="D8" s="227"/>
      <c r="E8" s="44" t="s">
        <v>22</v>
      </c>
      <c r="F8" s="45" t="s">
        <v>23</v>
      </c>
      <c r="G8" s="44" t="s">
        <v>22</v>
      </c>
      <c r="H8" s="45" t="s">
        <v>24</v>
      </c>
      <c r="I8" s="228"/>
    </row>
    <row r="9" spans="1:13" s="37" customFormat="1" ht="18" customHeight="1" x14ac:dyDescent="0.2">
      <c r="A9" s="110">
        <v>3</v>
      </c>
      <c r="B9" s="124" t="s">
        <v>159</v>
      </c>
      <c r="C9" s="124"/>
      <c r="D9" s="110"/>
      <c r="E9" s="111"/>
      <c r="F9" s="111"/>
      <c r="G9" s="111"/>
      <c r="H9" s="111"/>
      <c r="I9" s="111"/>
    </row>
    <row r="10" spans="1:13" ht="18" customHeight="1" x14ac:dyDescent="0.2">
      <c r="A10" s="56">
        <v>3.1</v>
      </c>
      <c r="B10" s="50" t="s">
        <v>160</v>
      </c>
      <c r="C10" s="58">
        <v>2</v>
      </c>
      <c r="D10" s="65" t="s">
        <v>153</v>
      </c>
      <c r="E10" s="58">
        <v>8000</v>
      </c>
      <c r="F10" s="58">
        <f t="shared" ref="F10:F14" si="0">C10*E10</f>
        <v>16000</v>
      </c>
      <c r="G10" s="58">
        <v>0</v>
      </c>
      <c r="H10" s="58">
        <f t="shared" ref="H10:H13" si="1">C10*G10</f>
        <v>0</v>
      </c>
      <c r="I10" s="58">
        <f t="shared" ref="I10:I13" si="2">F10+H10</f>
        <v>16000</v>
      </c>
    </row>
    <row r="11" spans="1:13" ht="18" customHeight="1" x14ac:dyDescent="0.2">
      <c r="A11" s="56">
        <v>3.2</v>
      </c>
      <c r="B11" s="53" t="s">
        <v>161</v>
      </c>
      <c r="C11" s="58">
        <v>8</v>
      </c>
      <c r="D11" s="65" t="s">
        <v>153</v>
      </c>
      <c r="E11" s="58">
        <v>8000</v>
      </c>
      <c r="F11" s="58">
        <f t="shared" si="0"/>
        <v>64000</v>
      </c>
      <c r="G11" s="58">
        <v>0</v>
      </c>
      <c r="H11" s="58">
        <f t="shared" si="1"/>
        <v>0</v>
      </c>
      <c r="I11" s="58">
        <f t="shared" si="2"/>
        <v>64000</v>
      </c>
    </row>
    <row r="12" spans="1:13" ht="18" customHeight="1" x14ac:dyDescent="0.2">
      <c r="A12" s="56">
        <v>3.3</v>
      </c>
      <c r="B12" s="53" t="s">
        <v>154</v>
      </c>
      <c r="C12" s="58">
        <v>336</v>
      </c>
      <c r="D12" s="65" t="s">
        <v>88</v>
      </c>
      <c r="E12" s="68">
        <v>1175</v>
      </c>
      <c r="F12" s="58">
        <f t="shared" si="0"/>
        <v>394800</v>
      </c>
      <c r="G12" s="58">
        <v>0</v>
      </c>
      <c r="H12" s="58">
        <f t="shared" si="1"/>
        <v>0</v>
      </c>
      <c r="I12" s="58">
        <f t="shared" si="2"/>
        <v>394800</v>
      </c>
    </row>
    <row r="13" spans="1:13" ht="18" customHeight="1" x14ac:dyDescent="0.2">
      <c r="A13" s="56">
        <v>3.4</v>
      </c>
      <c r="B13" s="53" t="s">
        <v>311</v>
      </c>
      <c r="C13" s="58">
        <v>170</v>
      </c>
      <c r="D13" s="195" t="s">
        <v>153</v>
      </c>
      <c r="E13" s="109">
        <v>500</v>
      </c>
      <c r="F13" s="58">
        <f t="shared" si="0"/>
        <v>85000</v>
      </c>
      <c r="G13" s="58">
        <v>0</v>
      </c>
      <c r="H13" s="58">
        <f t="shared" si="1"/>
        <v>0</v>
      </c>
      <c r="I13" s="58">
        <f t="shared" si="2"/>
        <v>85000</v>
      </c>
    </row>
    <row r="14" spans="1:13" ht="18" customHeight="1" x14ac:dyDescent="0.2">
      <c r="A14" s="106">
        <v>3.5</v>
      </c>
      <c r="B14" s="194" t="s">
        <v>314</v>
      </c>
      <c r="C14" s="107">
        <v>40</v>
      </c>
      <c r="D14" s="196" t="s">
        <v>315</v>
      </c>
      <c r="E14" s="197">
        <v>1500</v>
      </c>
      <c r="F14" s="107">
        <f t="shared" si="0"/>
        <v>60000</v>
      </c>
      <c r="G14" s="107">
        <v>0</v>
      </c>
      <c r="H14" s="58">
        <f t="shared" ref="H14" si="3">C14*G14</f>
        <v>0</v>
      </c>
      <c r="I14" s="58">
        <f t="shared" ref="I14" si="4">F14+H14</f>
        <v>60000</v>
      </c>
    </row>
    <row r="15" spans="1:13" s="37" customFormat="1" ht="18" customHeight="1" thickBot="1" x14ac:dyDescent="0.25">
      <c r="A15" s="98"/>
      <c r="B15" s="101" t="s">
        <v>185</v>
      </c>
      <c r="C15" s="99"/>
      <c r="D15" s="100"/>
      <c r="E15" s="99"/>
      <c r="F15" s="99">
        <f>SUM(F10:F14)</f>
        <v>619800</v>
      </c>
      <c r="G15" s="99"/>
      <c r="H15" s="99">
        <f>SUM(H10:H14)</f>
        <v>0</v>
      </c>
      <c r="I15" s="99">
        <f>SUM(I10:I14)</f>
        <v>619800</v>
      </c>
    </row>
    <row r="16" spans="1:13" ht="18" customHeight="1" thickTop="1" x14ac:dyDescent="0.2">
      <c r="A16" s="36"/>
      <c r="D16" s="36"/>
    </row>
    <row r="17" s="36" customFormat="1" ht="18" customHeight="1" x14ac:dyDescent="0.2"/>
    <row r="18" s="36" customFormat="1" ht="18" customHeight="1" x14ac:dyDescent="0.2"/>
    <row r="19" s="36" customFormat="1" ht="18" customHeight="1" x14ac:dyDescent="0.2"/>
    <row r="20" s="36" customFormat="1" ht="18" customHeight="1" x14ac:dyDescent="0.2"/>
    <row r="21" s="36" customFormat="1" ht="18" customHeight="1" x14ac:dyDescent="0.2"/>
    <row r="22" s="36" customFormat="1" ht="18" customHeight="1" x14ac:dyDescent="0.2"/>
    <row r="23" s="36" customFormat="1" ht="18" customHeight="1" x14ac:dyDescent="0.2"/>
    <row r="24" s="36" customFormat="1" ht="18" customHeight="1" x14ac:dyDescent="0.2"/>
    <row r="25" s="36" customFormat="1" ht="18" customHeight="1" x14ac:dyDescent="0.2"/>
    <row r="26" s="36" customFormat="1" ht="18" customHeight="1" x14ac:dyDescent="0.2"/>
    <row r="27" s="36" customFormat="1" ht="18" customHeight="1" x14ac:dyDescent="0.2"/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F1D9-73B2-45CC-9FCF-5B47E4A4B5A6}">
  <dimension ref="A1:M25"/>
  <sheetViews>
    <sheetView topLeftCell="A16" workbookViewId="0">
      <selection activeCell="H23" sqref="H23"/>
    </sheetView>
  </sheetViews>
  <sheetFormatPr defaultRowHeight="22.5" customHeight="1" x14ac:dyDescent="0.2"/>
  <cols>
    <col min="1" max="1" width="3.625" style="36" customWidth="1"/>
    <col min="2" max="2" width="12.5" style="36" customWidth="1"/>
    <col min="3" max="3" width="9.25" style="36" bestFit="1" customWidth="1"/>
    <col min="4" max="4" width="11.25" style="36" customWidth="1"/>
    <col min="5" max="5" width="9.75" style="36" bestFit="1" customWidth="1"/>
    <col min="6" max="6" width="11.25" style="36" customWidth="1"/>
    <col min="7" max="7" width="4.375" style="36" customWidth="1"/>
    <col min="8" max="8" width="17.5" style="36" customWidth="1"/>
    <col min="9" max="9" width="9" style="36"/>
    <col min="10" max="10" width="4.375" style="36" customWidth="1"/>
    <col min="11" max="11" width="5" style="36" customWidth="1"/>
    <col min="12" max="16384" width="9" style="36"/>
  </cols>
  <sheetData>
    <row r="1" spans="1:13" ht="22.5" customHeight="1" x14ac:dyDescent="0.2">
      <c r="A1" s="36">
        <v>1</v>
      </c>
      <c r="B1" s="36" t="s">
        <v>272</v>
      </c>
      <c r="C1" s="169">
        <v>0.2</v>
      </c>
      <c r="D1" s="36" t="s">
        <v>88</v>
      </c>
      <c r="G1" s="36">
        <v>3</v>
      </c>
      <c r="H1" s="36" t="s">
        <v>276</v>
      </c>
      <c r="I1" s="169">
        <v>15.22</v>
      </c>
      <c r="J1" s="36" t="s">
        <v>251</v>
      </c>
    </row>
    <row r="2" spans="1:13" ht="22.5" customHeight="1" x14ac:dyDescent="0.2">
      <c r="A2" s="36">
        <v>2</v>
      </c>
      <c r="B2" s="36" t="s">
        <v>272</v>
      </c>
      <c r="C2" s="169">
        <v>0.12</v>
      </c>
      <c r="D2" s="36" t="s">
        <v>88</v>
      </c>
      <c r="G2" s="36">
        <v>4</v>
      </c>
      <c r="H2" s="36" t="s">
        <v>277</v>
      </c>
      <c r="I2" s="169">
        <v>24.12</v>
      </c>
      <c r="J2" s="36" t="s">
        <v>251</v>
      </c>
    </row>
    <row r="4" spans="1:13" ht="22.5" customHeight="1" x14ac:dyDescent="0.2">
      <c r="A4" s="153" t="s">
        <v>240</v>
      </c>
      <c r="B4" s="154"/>
      <c r="C4" s="154"/>
      <c r="D4" s="154"/>
      <c r="E4" s="154"/>
      <c r="F4" s="154"/>
      <c r="G4" s="155"/>
      <c r="H4" s="156"/>
      <c r="I4" s="154"/>
      <c r="J4" s="157"/>
      <c r="K4" s="158"/>
      <c r="L4" s="154"/>
      <c r="M4" s="154"/>
    </row>
    <row r="5" spans="1:13" ht="22.5" customHeight="1" x14ac:dyDescent="0.2">
      <c r="A5" s="154"/>
      <c r="B5" s="154" t="s">
        <v>241</v>
      </c>
      <c r="C5" s="154"/>
      <c r="D5" s="159">
        <f>งานโครงสร้าง!C54</f>
        <v>345</v>
      </c>
      <c r="E5" s="154" t="s">
        <v>242</v>
      </c>
      <c r="F5" s="154"/>
      <c r="G5" s="155"/>
      <c r="H5" s="160"/>
      <c r="I5" s="154"/>
      <c r="J5" s="157"/>
      <c r="K5" s="158"/>
      <c r="L5" s="154"/>
      <c r="M5" s="154"/>
    </row>
    <row r="6" spans="1:13" ht="22.5" customHeight="1" x14ac:dyDescent="0.2">
      <c r="A6" s="154"/>
      <c r="B6" s="154" t="s">
        <v>269</v>
      </c>
      <c r="C6" s="161"/>
      <c r="D6" s="5"/>
      <c r="E6" s="162"/>
      <c r="F6" s="154"/>
      <c r="G6" s="155" t="s">
        <v>243</v>
      </c>
      <c r="H6" s="160">
        <v>21831.78</v>
      </c>
      <c r="I6" s="154" t="s">
        <v>244</v>
      </c>
      <c r="J6" s="157"/>
      <c r="K6" s="158" t="s">
        <v>245</v>
      </c>
      <c r="L6" s="154"/>
      <c r="M6" s="154"/>
    </row>
    <row r="7" spans="1:13" ht="22.5" customHeight="1" x14ac:dyDescent="0.2">
      <c r="A7" s="154"/>
      <c r="B7" s="154" t="s">
        <v>246</v>
      </c>
      <c r="C7" s="154"/>
      <c r="D7" s="154"/>
      <c r="E7" s="163">
        <v>55</v>
      </c>
      <c r="F7" s="154" t="s">
        <v>247</v>
      </c>
      <c r="G7" s="155" t="s">
        <v>243</v>
      </c>
      <c r="H7" s="160">
        <v>90.4</v>
      </c>
      <c r="I7" s="154" t="s">
        <v>244</v>
      </c>
      <c r="J7" s="157"/>
      <c r="K7" s="158" t="s">
        <v>248</v>
      </c>
      <c r="L7" s="154"/>
      <c r="M7" s="154"/>
    </row>
    <row r="8" spans="1:13" ht="22.5" customHeight="1" x14ac:dyDescent="0.2">
      <c r="A8" s="154"/>
      <c r="B8" s="154" t="s">
        <v>270</v>
      </c>
      <c r="C8" s="154"/>
      <c r="D8" s="164"/>
      <c r="E8" s="154"/>
      <c r="F8" s="154"/>
      <c r="G8" s="155" t="s">
        <v>243</v>
      </c>
      <c r="H8" s="160">
        <f>SUM(H6:H7)</f>
        <v>21922.18</v>
      </c>
      <c r="I8" s="154" t="s">
        <v>244</v>
      </c>
      <c r="J8" s="157"/>
      <c r="K8" s="158"/>
      <c r="L8" s="154"/>
      <c r="M8" s="154"/>
    </row>
    <row r="9" spans="1:13" ht="22.5" customHeight="1" x14ac:dyDescent="0.2">
      <c r="A9" s="154"/>
      <c r="B9" s="154" t="s">
        <v>271</v>
      </c>
      <c r="C9" s="165">
        <f>ROUNDDOWN((D5/0.3)*0.5*2.226,3)</f>
        <v>1279.95</v>
      </c>
      <c r="D9" s="5" t="s">
        <v>249</v>
      </c>
      <c r="E9" s="166">
        <f>H8</f>
        <v>21922.18</v>
      </c>
      <c r="F9" s="154" t="s">
        <v>250</v>
      </c>
      <c r="G9" s="155" t="s">
        <v>243</v>
      </c>
      <c r="H9" s="160">
        <f>C9*H8/1000</f>
        <v>28059.294291000002</v>
      </c>
      <c r="I9" s="154" t="s">
        <v>251</v>
      </c>
      <c r="J9" s="157"/>
      <c r="K9" s="158" t="s">
        <v>252</v>
      </c>
      <c r="L9" s="154"/>
      <c r="M9" s="154"/>
    </row>
    <row r="10" spans="1:13" ht="22.5" customHeight="1" x14ac:dyDescent="0.2">
      <c r="A10" s="154"/>
      <c r="B10" s="154" t="s">
        <v>253</v>
      </c>
      <c r="C10" s="167">
        <f>C1*D5-(D5*0.02)</f>
        <v>62.1</v>
      </c>
      <c r="D10" s="154" t="s">
        <v>254</v>
      </c>
      <c r="E10" s="168">
        <f>1142.75/2.6013</f>
        <v>439.29958097874135</v>
      </c>
      <c r="F10" s="154" t="s">
        <v>75</v>
      </c>
      <c r="G10" s="155" t="s">
        <v>243</v>
      </c>
      <c r="H10" s="160">
        <f>C10*E10</f>
        <v>27280.503978779838</v>
      </c>
      <c r="I10" s="154" t="s">
        <v>251</v>
      </c>
      <c r="J10" s="157"/>
      <c r="K10" s="158" t="s">
        <v>255</v>
      </c>
      <c r="L10" s="154" t="s">
        <v>256</v>
      </c>
      <c r="M10" s="154"/>
    </row>
    <row r="11" spans="1:13" ht="22.5" customHeight="1" x14ac:dyDescent="0.2">
      <c r="A11" s="154"/>
      <c r="B11" s="154" t="s">
        <v>257</v>
      </c>
      <c r="C11" s="167">
        <f>0.02*0.02*D5*1000</f>
        <v>138</v>
      </c>
      <c r="D11" s="154" t="s">
        <v>258</v>
      </c>
      <c r="E11" s="168">
        <f>944.35/12</f>
        <v>78.69583333333334</v>
      </c>
      <c r="F11" s="154" t="s">
        <v>259</v>
      </c>
      <c r="G11" s="155" t="s">
        <v>243</v>
      </c>
      <c r="H11" s="160">
        <f>C11*E11</f>
        <v>10860.025000000001</v>
      </c>
      <c r="I11" s="154" t="s">
        <v>251</v>
      </c>
      <c r="J11" s="157"/>
      <c r="K11" s="158" t="s">
        <v>260</v>
      </c>
      <c r="L11" s="154" t="s">
        <v>261</v>
      </c>
      <c r="M11" s="154"/>
    </row>
    <row r="12" spans="1:13" ht="22.5" customHeight="1" x14ac:dyDescent="0.2">
      <c r="A12" s="154"/>
      <c r="B12" s="154" t="s">
        <v>262</v>
      </c>
      <c r="C12" s="165">
        <f>D5</f>
        <v>345</v>
      </c>
      <c r="D12" s="154" t="s">
        <v>263</v>
      </c>
      <c r="E12" s="154"/>
      <c r="F12" s="154"/>
      <c r="G12" s="155" t="s">
        <v>243</v>
      </c>
      <c r="H12" s="160">
        <f>I1*C12</f>
        <v>5250.9000000000005</v>
      </c>
      <c r="I12" s="154" t="s">
        <v>251</v>
      </c>
      <c r="J12" s="157"/>
      <c r="K12" s="158" t="s">
        <v>264</v>
      </c>
      <c r="L12" s="154"/>
      <c r="M12" s="154"/>
    </row>
    <row r="13" spans="1:13" ht="22.5" customHeight="1" x14ac:dyDescent="0.2">
      <c r="A13" s="154"/>
      <c r="B13" s="154" t="s">
        <v>265</v>
      </c>
      <c r="C13" s="154"/>
      <c r="D13" s="154"/>
      <c r="E13" s="154"/>
      <c r="F13" s="154"/>
      <c r="G13" s="155" t="s">
        <v>243</v>
      </c>
      <c r="H13" s="160">
        <f>SUM(H9:H12)</f>
        <v>71450.723269779846</v>
      </c>
      <c r="I13" s="154" t="s">
        <v>251</v>
      </c>
      <c r="J13" s="157"/>
      <c r="K13" s="158"/>
      <c r="L13" s="154"/>
      <c r="M13" s="154"/>
    </row>
    <row r="14" spans="1:13" ht="22.5" customHeight="1" x14ac:dyDescent="0.2">
      <c r="A14" s="154"/>
      <c r="B14" s="154" t="s">
        <v>266</v>
      </c>
      <c r="C14" s="161" t="s">
        <v>243</v>
      </c>
      <c r="D14" s="164">
        <f>H13</f>
        <v>71450.723269779846</v>
      </c>
      <c r="E14" s="161" t="s">
        <v>267</v>
      </c>
      <c r="F14" s="158">
        <f>D5</f>
        <v>345</v>
      </c>
      <c r="G14" s="155" t="s">
        <v>243</v>
      </c>
      <c r="H14" s="202">
        <f>ROUNDDOWN(H13/D5,2)</f>
        <v>207.1</v>
      </c>
      <c r="I14" s="154" t="s">
        <v>268</v>
      </c>
      <c r="J14" s="157"/>
      <c r="K14" s="158"/>
      <c r="L14" s="154"/>
      <c r="M14" s="154"/>
    </row>
    <row r="16" spans="1:13" ht="22.5" customHeight="1" x14ac:dyDescent="0.3">
      <c r="A16" s="137" t="s">
        <v>288</v>
      </c>
      <c r="B16" s="138"/>
      <c r="C16" s="138"/>
      <c r="D16" s="138"/>
      <c r="E16" s="138"/>
      <c r="F16" s="138"/>
      <c r="G16" s="139"/>
      <c r="H16" s="140"/>
      <c r="I16" s="138"/>
      <c r="J16" s="141"/>
      <c r="K16" s="142"/>
    </row>
    <row r="17" spans="1:11" ht="22.5" customHeight="1" x14ac:dyDescent="0.5">
      <c r="A17" s="138"/>
      <c r="B17" s="138" t="s">
        <v>241</v>
      </c>
      <c r="C17" s="138"/>
      <c r="D17" s="170">
        <f>งานโครงสร้าง!C57</f>
        <v>1629</v>
      </c>
      <c r="E17" s="138" t="s">
        <v>242</v>
      </c>
      <c r="F17" s="138"/>
      <c r="G17" s="139"/>
      <c r="H17" s="143"/>
      <c r="I17" s="138"/>
      <c r="J17" s="141"/>
      <c r="K17" s="142"/>
    </row>
    <row r="18" spans="1:11" ht="22.5" customHeight="1" x14ac:dyDescent="0.5">
      <c r="A18" s="138"/>
      <c r="B18" s="138" t="s">
        <v>289</v>
      </c>
      <c r="C18" s="144"/>
      <c r="D18" s="145"/>
      <c r="E18" s="146"/>
      <c r="F18" s="138"/>
      <c r="G18" s="139" t="s">
        <v>243</v>
      </c>
      <c r="H18" s="143">
        <v>0</v>
      </c>
      <c r="I18" s="138" t="s">
        <v>244</v>
      </c>
      <c r="J18" s="141"/>
      <c r="K18" s="142" t="s">
        <v>278</v>
      </c>
    </row>
    <row r="19" spans="1:11" ht="22.5" customHeight="1" x14ac:dyDescent="0.5">
      <c r="A19" s="138"/>
      <c r="B19" s="138" t="s">
        <v>246</v>
      </c>
      <c r="C19" s="138"/>
      <c r="D19" s="138"/>
      <c r="E19" s="171">
        <f>E7</f>
        <v>55</v>
      </c>
      <c r="F19" s="138" t="s">
        <v>247</v>
      </c>
      <c r="G19" s="139" t="s">
        <v>243</v>
      </c>
      <c r="H19" s="143">
        <v>0</v>
      </c>
      <c r="I19" s="138" t="s">
        <v>244</v>
      </c>
      <c r="J19" s="141"/>
      <c r="K19" s="142" t="s">
        <v>279</v>
      </c>
    </row>
    <row r="20" spans="1:11" ht="22.5" customHeight="1" x14ac:dyDescent="0.5">
      <c r="A20" s="138"/>
      <c r="B20" s="138" t="s">
        <v>290</v>
      </c>
      <c r="C20" s="138"/>
      <c r="D20" s="147"/>
      <c r="E20" s="138"/>
      <c r="F20" s="138"/>
      <c r="G20" s="139" t="s">
        <v>243</v>
      </c>
      <c r="H20" s="143">
        <f>SUM(H18:H19)</f>
        <v>0</v>
      </c>
      <c r="I20" s="138" t="s">
        <v>244</v>
      </c>
      <c r="J20" s="141"/>
      <c r="K20" s="142"/>
    </row>
    <row r="21" spans="1:11" ht="22.5" customHeight="1" x14ac:dyDescent="0.5">
      <c r="A21" s="138"/>
      <c r="B21" s="138" t="s">
        <v>271</v>
      </c>
      <c r="C21" s="172">
        <f>ROUNDDOWN((D17/0.3)*0.5*2.226,3)</f>
        <v>6043.59</v>
      </c>
      <c r="D21" s="149" t="s">
        <v>249</v>
      </c>
      <c r="E21" s="150">
        <f>H20</f>
        <v>0</v>
      </c>
      <c r="F21" s="138" t="s">
        <v>250</v>
      </c>
      <c r="G21" s="139" t="s">
        <v>243</v>
      </c>
      <c r="H21" s="143">
        <f>C21*H20/1000</f>
        <v>0</v>
      </c>
      <c r="I21" s="138" t="s">
        <v>251</v>
      </c>
      <c r="J21" s="141"/>
      <c r="K21" s="142" t="s">
        <v>280</v>
      </c>
    </row>
    <row r="22" spans="1:11" ht="22.5" customHeight="1" x14ac:dyDescent="0.5">
      <c r="A22" s="138"/>
      <c r="B22" s="151" t="s">
        <v>281</v>
      </c>
      <c r="C22" s="173"/>
      <c r="D22" s="174">
        <f>D17</f>
        <v>1629</v>
      </c>
      <c r="E22" s="150" t="s">
        <v>282</v>
      </c>
      <c r="F22" s="138"/>
      <c r="G22" s="139" t="s">
        <v>243</v>
      </c>
      <c r="H22" s="143">
        <f>I2*D22</f>
        <v>39291.480000000003</v>
      </c>
      <c r="I22" s="138" t="s">
        <v>251</v>
      </c>
      <c r="J22" s="141"/>
      <c r="K22" s="142" t="s">
        <v>283</v>
      </c>
    </row>
    <row r="23" spans="1:11" ht="22.5" customHeight="1" x14ac:dyDescent="0.5">
      <c r="A23" s="138"/>
      <c r="B23" s="151" t="s">
        <v>257</v>
      </c>
      <c r="C23" s="148">
        <f>ROUNDUP(0.01*0.02*D17*1000,3)</f>
        <v>325.8</v>
      </c>
      <c r="D23" s="138" t="s">
        <v>258</v>
      </c>
      <c r="E23" s="152">
        <f>E11</f>
        <v>78.69583333333334</v>
      </c>
      <c r="F23" s="138" t="s">
        <v>284</v>
      </c>
      <c r="G23" s="139" t="s">
        <v>243</v>
      </c>
      <c r="H23" s="143">
        <f>C23*E23</f>
        <v>25639.102500000005</v>
      </c>
      <c r="I23" s="138" t="s">
        <v>251</v>
      </c>
      <c r="J23" s="141"/>
      <c r="K23" s="142" t="s">
        <v>285</v>
      </c>
    </row>
    <row r="24" spans="1:11" ht="22.5" customHeight="1" x14ac:dyDescent="0.5">
      <c r="A24" s="138"/>
      <c r="B24" s="138" t="s">
        <v>286</v>
      </c>
      <c r="C24" s="138"/>
      <c r="D24" s="138"/>
      <c r="E24" s="138"/>
      <c r="F24" s="138"/>
      <c r="G24" s="139" t="s">
        <v>243</v>
      </c>
      <c r="H24" s="143">
        <f>SUM(H21:H23)</f>
        <v>64930.582500000004</v>
      </c>
      <c r="I24" s="138" t="s">
        <v>251</v>
      </c>
      <c r="J24" s="141"/>
      <c r="K24" s="142"/>
    </row>
    <row r="25" spans="1:11" ht="22.5" customHeight="1" x14ac:dyDescent="0.5">
      <c r="A25" s="138"/>
      <c r="B25" s="138" t="s">
        <v>266</v>
      </c>
      <c r="C25" s="144" t="s">
        <v>243</v>
      </c>
      <c r="D25" s="147">
        <f>H24</f>
        <v>64930.582500000004</v>
      </c>
      <c r="E25" s="144" t="s">
        <v>287</v>
      </c>
      <c r="F25" s="175">
        <f>D17</f>
        <v>1629</v>
      </c>
      <c r="G25" s="139" t="s">
        <v>243</v>
      </c>
      <c r="H25" s="203">
        <f>ROUNDDOWN(H24/F25,2)</f>
        <v>39.85</v>
      </c>
      <c r="I25" s="138" t="s">
        <v>268</v>
      </c>
      <c r="J25" s="141"/>
      <c r="K25" s="14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D53B5-C834-4128-B026-C9A7323788D4}">
  <dimension ref="A1:M156"/>
  <sheetViews>
    <sheetView zoomScaleNormal="100" workbookViewId="0">
      <selection sqref="A1:I1"/>
    </sheetView>
  </sheetViews>
  <sheetFormatPr defaultRowHeight="21.75" x14ac:dyDescent="0.2"/>
  <cols>
    <col min="1" max="1" width="5.625" style="36" customWidth="1"/>
    <col min="2" max="2" width="42.5" style="36" customWidth="1"/>
    <col min="3" max="3" width="10" style="36" customWidth="1"/>
    <col min="4" max="4" width="7.5" style="54" customWidth="1"/>
    <col min="5" max="5" width="10" style="36" customWidth="1"/>
    <col min="6" max="6" width="12.5" style="36" customWidth="1"/>
    <col min="7" max="7" width="10" style="36" customWidth="1"/>
    <col min="8" max="9" width="12.5" style="36" customWidth="1"/>
    <col min="10" max="11" width="9" style="36"/>
    <col min="12" max="13" width="9" style="36" customWidth="1"/>
    <col min="14" max="16384" width="9" style="36"/>
  </cols>
  <sheetData>
    <row r="1" spans="1:13" x14ac:dyDescent="0.2">
      <c r="A1" s="226" t="s">
        <v>140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x14ac:dyDescent="0.2">
      <c r="A3" s="226" t="s">
        <v>25</v>
      </c>
      <c r="B3" s="226"/>
      <c r="C3" s="226"/>
      <c r="D3" s="226"/>
      <c r="E3" s="226"/>
      <c r="F3" s="226"/>
      <c r="G3" s="226"/>
      <c r="H3" s="226"/>
      <c r="I3" s="226"/>
      <c r="J3" s="37"/>
      <c r="K3" s="37"/>
      <c r="L3" s="37"/>
      <c r="M3" s="37"/>
    </row>
    <row r="4" spans="1:13" ht="18.75" x14ac:dyDescent="0.2">
      <c r="A4" s="46"/>
      <c r="B4" s="46"/>
      <c r="C4" s="46"/>
      <c r="D4" s="46"/>
      <c r="E4" s="46"/>
      <c r="F4" s="46"/>
      <c r="G4" s="46"/>
      <c r="H4" s="46"/>
      <c r="I4" s="46"/>
    </row>
    <row r="5" spans="1:13" s="47" customFormat="1" ht="18.75" x14ac:dyDescent="0.2">
      <c r="A5" s="47" t="str">
        <f>ปร.5!A8</f>
        <v>ชื่อโครงการ   โครงการก่อสร้างสนามกีฬาชุมชน ขนาด 59.00 x 89.00 เมตร</v>
      </c>
      <c r="D5" s="54"/>
    </row>
    <row r="6" spans="1:13" s="47" customFormat="1" ht="18.75" x14ac:dyDescent="0.2">
      <c r="A6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6" s="54"/>
    </row>
    <row r="7" spans="1:13" s="47" customFormat="1" ht="18.75" x14ac:dyDescent="0.2">
      <c r="A7" s="47" t="str">
        <f>ปร.5!A10</f>
        <v>คณะกรรมการกำหนดราคากลางเมื่อ วันที่ 11 ตุลาคม 2567</v>
      </c>
      <c r="D7" s="54"/>
    </row>
    <row r="8" spans="1:13" x14ac:dyDescent="0.2">
      <c r="A8" s="227" t="s">
        <v>17</v>
      </c>
      <c r="B8" s="227" t="s">
        <v>15</v>
      </c>
      <c r="C8" s="227" t="s">
        <v>18</v>
      </c>
      <c r="D8" s="227" t="s">
        <v>16</v>
      </c>
      <c r="E8" s="227" t="s">
        <v>19</v>
      </c>
      <c r="F8" s="227"/>
      <c r="G8" s="227" t="s">
        <v>20</v>
      </c>
      <c r="H8" s="227"/>
      <c r="I8" s="228" t="s">
        <v>21</v>
      </c>
    </row>
    <row r="9" spans="1:13" x14ac:dyDescent="0.2">
      <c r="A9" s="227"/>
      <c r="B9" s="227"/>
      <c r="C9" s="227"/>
      <c r="D9" s="227"/>
      <c r="E9" s="44" t="s">
        <v>22</v>
      </c>
      <c r="F9" s="45" t="s">
        <v>23</v>
      </c>
      <c r="G9" s="44" t="s">
        <v>22</v>
      </c>
      <c r="H9" s="45" t="s">
        <v>24</v>
      </c>
      <c r="I9" s="228"/>
    </row>
    <row r="10" spans="1:13" ht="18.75" x14ac:dyDescent="0.2">
      <c r="A10" s="48"/>
      <c r="B10" s="48"/>
      <c r="C10" s="48"/>
      <c r="D10" s="55"/>
      <c r="E10" s="57"/>
      <c r="F10" s="57"/>
      <c r="G10" s="57"/>
      <c r="H10" s="57"/>
      <c r="I10" s="57"/>
    </row>
    <row r="11" spans="1:13" x14ac:dyDescent="0.2">
      <c r="A11" s="49"/>
      <c r="B11" s="51" t="s">
        <v>84</v>
      </c>
      <c r="C11" s="49"/>
      <c r="D11" s="56"/>
      <c r="E11" s="58"/>
      <c r="F11" s="58"/>
      <c r="G11" s="58"/>
      <c r="H11" s="58"/>
      <c r="I11" s="58"/>
    </row>
    <row r="12" spans="1:13" x14ac:dyDescent="0.2">
      <c r="A12" s="49"/>
      <c r="B12" s="49" t="s">
        <v>85</v>
      </c>
      <c r="C12" s="58">
        <f>(27.0816+83.9101280875+1.404)*1.3</f>
        <v>146.11444651375001</v>
      </c>
      <c r="D12" s="65" t="s">
        <v>72</v>
      </c>
      <c r="E12" s="58">
        <v>0</v>
      </c>
      <c r="F12" s="58">
        <f>C12*E12</f>
        <v>0</v>
      </c>
      <c r="G12" s="58">
        <v>112</v>
      </c>
      <c r="H12" s="58">
        <f>C12*G12</f>
        <v>16364.818009540002</v>
      </c>
      <c r="I12" s="58">
        <f>F12+H12</f>
        <v>16364.818009540002</v>
      </c>
    </row>
    <row r="13" spans="1:13" x14ac:dyDescent="0.2">
      <c r="A13" s="49"/>
      <c r="B13" s="49" t="s">
        <v>122</v>
      </c>
      <c r="C13" s="58">
        <f>(51.864066+127.5779505+375+333.0768)*1.3</f>
        <v>1153.77446145</v>
      </c>
      <c r="D13" s="65" t="s">
        <v>72</v>
      </c>
      <c r="E13" s="58">
        <v>466</v>
      </c>
      <c r="F13" s="58">
        <f>C13*E13</f>
        <v>537658.89903570001</v>
      </c>
      <c r="G13" s="58">
        <v>112</v>
      </c>
      <c r="H13" s="58">
        <f>C13*G13</f>
        <v>129222.7396824</v>
      </c>
      <c r="I13" s="58">
        <f>F13+H13</f>
        <v>666881.63871810003</v>
      </c>
    </row>
    <row r="14" spans="1:13" x14ac:dyDescent="0.2">
      <c r="A14" s="49"/>
      <c r="B14" s="49" t="s">
        <v>123</v>
      </c>
      <c r="C14" s="58">
        <f>59*89</f>
        <v>5251</v>
      </c>
      <c r="D14" s="65" t="s">
        <v>75</v>
      </c>
      <c r="E14" s="58">
        <v>0</v>
      </c>
      <c r="F14" s="58">
        <f>C14*E14</f>
        <v>0</v>
      </c>
      <c r="G14" s="58">
        <v>112</v>
      </c>
      <c r="H14" s="58">
        <f>C14*G14</f>
        <v>588112</v>
      </c>
      <c r="I14" s="58">
        <f>F14+H14</f>
        <v>588112</v>
      </c>
    </row>
    <row r="15" spans="1:13" s="37" customFormat="1" x14ac:dyDescent="0.2">
      <c r="A15" s="51"/>
      <c r="B15" s="51" t="s">
        <v>86</v>
      </c>
      <c r="C15" s="63"/>
      <c r="D15" s="66"/>
      <c r="E15" s="63"/>
      <c r="F15" s="63">
        <f>SUM(F12:F14)</f>
        <v>537658.89903570001</v>
      </c>
      <c r="G15" s="63"/>
      <c r="H15" s="63">
        <f>SUM(H12:H14)</f>
        <v>733699.55769193999</v>
      </c>
      <c r="I15" s="63">
        <f>SUM(I12:I14)</f>
        <v>1271358.45672764</v>
      </c>
    </row>
    <row r="16" spans="1:13" s="37" customFormat="1" ht="18.75" x14ac:dyDescent="0.2">
      <c r="A16" s="51"/>
      <c r="B16" s="51"/>
      <c r="C16" s="63"/>
      <c r="D16" s="66"/>
      <c r="E16" s="63"/>
      <c r="F16" s="63"/>
      <c r="G16" s="63"/>
      <c r="H16" s="63"/>
      <c r="I16" s="63"/>
    </row>
    <row r="17" spans="1:9" x14ac:dyDescent="0.2">
      <c r="A17" s="49"/>
      <c r="B17" s="51" t="s">
        <v>78</v>
      </c>
      <c r="C17" s="49"/>
      <c r="D17" s="56"/>
      <c r="E17" s="58"/>
      <c r="F17" s="58"/>
      <c r="G17" s="58"/>
      <c r="H17" s="58"/>
      <c r="I17" s="58"/>
    </row>
    <row r="18" spans="1:9" x14ac:dyDescent="0.2">
      <c r="A18" s="49"/>
      <c r="B18" s="49" t="s">
        <v>36</v>
      </c>
      <c r="C18" s="59">
        <f>(0.8*0.8*0.1)*(93)*1.25</f>
        <v>7.4400000000000022</v>
      </c>
      <c r="D18" s="56" t="s">
        <v>72</v>
      </c>
      <c r="E18" s="58">
        <v>436.92</v>
      </c>
      <c r="F18" s="58">
        <f>C18*E18</f>
        <v>3250.6848000000009</v>
      </c>
      <c r="G18" s="58">
        <v>104</v>
      </c>
      <c r="H18" s="58">
        <f>C18*G18</f>
        <v>773.76000000000022</v>
      </c>
      <c r="I18" s="58">
        <f>F18+H18</f>
        <v>4024.4448000000011</v>
      </c>
    </row>
    <row r="19" spans="1:9" x14ac:dyDescent="0.2">
      <c r="A19" s="49"/>
      <c r="B19" s="49" t="s">
        <v>27</v>
      </c>
      <c r="C19" s="59">
        <f>(0.8*0.8*0.05)*(93)</f>
        <v>2.9760000000000009</v>
      </c>
      <c r="D19" s="56" t="s">
        <v>72</v>
      </c>
      <c r="E19" s="58">
        <v>1635.51</v>
      </c>
      <c r="F19" s="58">
        <f t="shared" ref="F19:F83" si="0">C19*E19</f>
        <v>4867.2777600000018</v>
      </c>
      <c r="G19" s="58">
        <v>419</v>
      </c>
      <c r="H19" s="58">
        <f t="shared" ref="H19:H26" si="1">C19*G19</f>
        <v>1246.9440000000004</v>
      </c>
      <c r="I19" s="58">
        <f t="shared" ref="I19:I26" si="2">F19+H19</f>
        <v>6114.2217600000022</v>
      </c>
    </row>
    <row r="20" spans="1:9" x14ac:dyDescent="0.2">
      <c r="A20" s="49"/>
      <c r="B20" s="50" t="s">
        <v>28</v>
      </c>
      <c r="C20" s="59">
        <f>(0.8*0.8*0.2)*(93)</f>
        <v>11.904000000000003</v>
      </c>
      <c r="D20" s="56" t="s">
        <v>72</v>
      </c>
      <c r="E20" s="58">
        <v>2344.6799999999998</v>
      </c>
      <c r="F20" s="58">
        <f t="shared" si="0"/>
        <v>27911.070720000007</v>
      </c>
      <c r="G20" s="58">
        <v>419</v>
      </c>
      <c r="H20" s="58">
        <f t="shared" si="1"/>
        <v>4987.7760000000017</v>
      </c>
      <c r="I20" s="58">
        <f t="shared" si="2"/>
        <v>32898.846720000009</v>
      </c>
    </row>
    <row r="21" spans="1:9" x14ac:dyDescent="0.2">
      <c r="A21" s="49"/>
      <c r="B21" s="50" t="s">
        <v>30</v>
      </c>
      <c r="C21" s="59">
        <f>(12*93)*0.888/1000*1.09</f>
        <v>1.0801987200000001</v>
      </c>
      <c r="D21" s="56" t="s">
        <v>73</v>
      </c>
      <c r="E21" s="58">
        <v>22761.69</v>
      </c>
      <c r="F21" s="58">
        <f t="shared" si="0"/>
        <v>24587.148403036801</v>
      </c>
      <c r="G21" s="58">
        <v>3600</v>
      </c>
      <c r="H21" s="58">
        <f t="shared" si="1"/>
        <v>3888.7153920000001</v>
      </c>
      <c r="I21" s="58">
        <f t="shared" si="2"/>
        <v>28475.863795036799</v>
      </c>
    </row>
    <row r="22" spans="1:9" x14ac:dyDescent="0.2">
      <c r="A22" s="49"/>
      <c r="B22" s="50" t="s">
        <v>31</v>
      </c>
      <c r="C22" s="59">
        <f>(C21)*30</f>
        <v>32.405961600000005</v>
      </c>
      <c r="D22" s="56" t="s">
        <v>74</v>
      </c>
      <c r="E22" s="58">
        <v>40.369999999999997</v>
      </c>
      <c r="F22" s="58">
        <f t="shared" si="0"/>
        <v>1308.2286697920001</v>
      </c>
      <c r="G22" s="58">
        <v>0</v>
      </c>
      <c r="H22" s="58">
        <f t="shared" si="1"/>
        <v>0</v>
      </c>
      <c r="I22" s="58">
        <f t="shared" si="2"/>
        <v>1308.2286697920001</v>
      </c>
    </row>
    <row r="23" spans="1:9" x14ac:dyDescent="0.2">
      <c r="A23" s="49"/>
      <c r="B23" s="50" t="s">
        <v>32</v>
      </c>
      <c r="C23" s="59">
        <f>(3.2*0.2)*93</f>
        <v>59.52000000000001</v>
      </c>
      <c r="D23" s="56" t="s">
        <v>75</v>
      </c>
      <c r="E23" s="58">
        <v>0</v>
      </c>
      <c r="F23" s="58">
        <f t="shared" si="0"/>
        <v>0</v>
      </c>
      <c r="G23" s="58">
        <v>139</v>
      </c>
      <c r="H23" s="58">
        <f t="shared" si="1"/>
        <v>8273.2800000000007</v>
      </c>
      <c r="I23" s="58">
        <f t="shared" si="2"/>
        <v>8273.2800000000007</v>
      </c>
    </row>
    <row r="24" spans="1:9" x14ac:dyDescent="0.2">
      <c r="A24" s="49"/>
      <c r="B24" s="50" t="s">
        <v>33</v>
      </c>
      <c r="C24" s="59">
        <f>C23*0.8</f>
        <v>47.616000000000014</v>
      </c>
      <c r="D24" s="56" t="s">
        <v>76</v>
      </c>
      <c r="E24" s="58">
        <v>400</v>
      </c>
      <c r="F24" s="58">
        <f t="shared" si="0"/>
        <v>19046.400000000005</v>
      </c>
      <c r="G24" s="58">
        <v>0</v>
      </c>
      <c r="H24" s="58">
        <f t="shared" si="1"/>
        <v>0</v>
      </c>
      <c r="I24" s="58">
        <f t="shared" si="2"/>
        <v>19046.400000000005</v>
      </c>
    </row>
    <row r="25" spans="1:9" x14ac:dyDescent="0.2">
      <c r="A25" s="49"/>
      <c r="B25" s="50" t="s">
        <v>34</v>
      </c>
      <c r="C25" s="59">
        <f>C24*0.3</f>
        <v>14.284800000000004</v>
      </c>
      <c r="D25" s="56" t="s">
        <v>76</v>
      </c>
      <c r="E25" s="58">
        <v>400</v>
      </c>
      <c r="F25" s="58">
        <f t="shared" si="0"/>
        <v>5713.9200000000019</v>
      </c>
      <c r="G25" s="58">
        <v>0</v>
      </c>
      <c r="H25" s="58">
        <f t="shared" si="1"/>
        <v>0</v>
      </c>
      <c r="I25" s="58">
        <f t="shared" si="2"/>
        <v>5713.9200000000019</v>
      </c>
    </row>
    <row r="26" spans="1:9" x14ac:dyDescent="0.2">
      <c r="A26" s="49"/>
      <c r="B26" s="50" t="s">
        <v>35</v>
      </c>
      <c r="C26" s="59">
        <f>C23*0.25</f>
        <v>14.880000000000003</v>
      </c>
      <c r="D26" s="56" t="s">
        <v>74</v>
      </c>
      <c r="E26" s="58">
        <v>56.07</v>
      </c>
      <c r="F26" s="58">
        <f t="shared" si="0"/>
        <v>834.3216000000001</v>
      </c>
      <c r="G26" s="58">
        <v>0</v>
      </c>
      <c r="H26" s="58">
        <f t="shared" si="1"/>
        <v>0</v>
      </c>
      <c r="I26" s="58">
        <f t="shared" si="2"/>
        <v>834.3216000000001</v>
      </c>
    </row>
    <row r="27" spans="1:9" s="37" customFormat="1" x14ac:dyDescent="0.2">
      <c r="A27" s="51"/>
      <c r="B27" s="61" t="s">
        <v>77</v>
      </c>
      <c r="C27" s="51"/>
      <c r="D27" s="62"/>
      <c r="E27" s="63"/>
      <c r="F27" s="63">
        <f>SUM(F18:F26)</f>
        <v>87519.051952828813</v>
      </c>
      <c r="G27" s="63"/>
      <c r="H27" s="63">
        <f>SUM(H18:H26)</f>
        <v>19170.475392</v>
      </c>
      <c r="I27" s="63">
        <f>SUM(I18:I26)</f>
        <v>106689.52734482882</v>
      </c>
    </row>
    <row r="28" spans="1:9" x14ac:dyDescent="0.2">
      <c r="A28" s="49"/>
      <c r="B28" s="60"/>
      <c r="C28" s="49"/>
      <c r="D28" s="56"/>
      <c r="E28" s="58"/>
      <c r="F28" s="58"/>
      <c r="G28" s="58"/>
      <c r="H28" s="58"/>
      <c r="I28" s="58"/>
    </row>
    <row r="29" spans="1:9" x14ac:dyDescent="0.2">
      <c r="A29" s="49"/>
      <c r="B29" s="52" t="s">
        <v>38</v>
      </c>
      <c r="C29" s="49"/>
      <c r="D29" s="56"/>
      <c r="E29" s="58"/>
      <c r="F29" s="58"/>
      <c r="G29" s="58"/>
      <c r="H29" s="58"/>
      <c r="I29" s="58"/>
    </row>
    <row r="30" spans="1:9" x14ac:dyDescent="0.2">
      <c r="A30" s="49"/>
      <c r="B30" s="50" t="s">
        <v>28</v>
      </c>
      <c r="C30" s="58">
        <f>(0.2*0.2*0.5)*(93)</f>
        <v>1.8600000000000003</v>
      </c>
      <c r="D30" s="56" t="s">
        <v>72</v>
      </c>
      <c r="E30" s="58">
        <v>2344.6799999999998</v>
      </c>
      <c r="F30" s="58">
        <f t="shared" si="0"/>
        <v>4361.1048000000001</v>
      </c>
      <c r="G30" s="58">
        <v>419</v>
      </c>
      <c r="H30" s="58">
        <f t="shared" ref="H30:H90" si="3">C30*G30</f>
        <v>779.34000000000015</v>
      </c>
      <c r="I30" s="58">
        <f t="shared" ref="I30:I90" si="4">F30+H30</f>
        <v>5140.4448000000002</v>
      </c>
    </row>
    <row r="31" spans="1:9" x14ac:dyDescent="0.2">
      <c r="A31" s="49"/>
      <c r="B31" s="50" t="s">
        <v>37</v>
      </c>
      <c r="C31" s="58">
        <f>(4*93)*0.222/1000*1.05</f>
        <v>8.6713200000000004E-2</v>
      </c>
      <c r="D31" s="56" t="s">
        <v>73</v>
      </c>
      <c r="E31" s="58">
        <v>23572.43</v>
      </c>
      <c r="F31" s="58">
        <f t="shared" si="0"/>
        <v>2044.0408370760001</v>
      </c>
      <c r="G31" s="58">
        <v>4400</v>
      </c>
      <c r="H31" s="58">
        <f t="shared" si="3"/>
        <v>381.53808000000004</v>
      </c>
      <c r="I31" s="58">
        <f t="shared" si="4"/>
        <v>2425.5789170759999</v>
      </c>
    </row>
    <row r="32" spans="1:9" x14ac:dyDescent="0.2">
      <c r="A32" s="49"/>
      <c r="B32" s="50" t="s">
        <v>30</v>
      </c>
      <c r="C32" s="58">
        <f>(4*93)*0.888/1000*1.09</f>
        <v>0.36006624000000004</v>
      </c>
      <c r="D32" s="56" t="s">
        <v>73</v>
      </c>
      <c r="E32" s="58">
        <v>22761.69</v>
      </c>
      <c r="F32" s="58">
        <f t="shared" si="0"/>
        <v>8195.7161343456009</v>
      </c>
      <c r="G32" s="58">
        <v>3600</v>
      </c>
      <c r="H32" s="58">
        <f t="shared" si="3"/>
        <v>1296.238464</v>
      </c>
      <c r="I32" s="58">
        <f t="shared" si="4"/>
        <v>9491.954598345601</v>
      </c>
    </row>
    <row r="33" spans="1:9" x14ac:dyDescent="0.2">
      <c r="A33" s="49"/>
      <c r="B33" s="50" t="s">
        <v>31</v>
      </c>
      <c r="C33" s="58">
        <f>(C31+C32)*30</f>
        <v>13.4033832</v>
      </c>
      <c r="D33" s="56" t="s">
        <v>74</v>
      </c>
      <c r="E33" s="58">
        <v>40.369999999999997</v>
      </c>
      <c r="F33" s="58">
        <f t="shared" si="0"/>
        <v>541.09457978399996</v>
      </c>
      <c r="G33" s="58">
        <v>0</v>
      </c>
      <c r="H33" s="58">
        <f t="shared" si="3"/>
        <v>0</v>
      </c>
      <c r="I33" s="58">
        <f t="shared" si="4"/>
        <v>541.09457978399996</v>
      </c>
    </row>
    <row r="34" spans="1:9" x14ac:dyDescent="0.2">
      <c r="A34" s="49"/>
      <c r="B34" s="50" t="s">
        <v>32</v>
      </c>
      <c r="C34" s="58">
        <f>(0.8*1.4)*93</f>
        <v>104.15999999999998</v>
      </c>
      <c r="D34" s="56" t="s">
        <v>75</v>
      </c>
      <c r="E34" s="58">
        <v>0</v>
      </c>
      <c r="F34" s="58">
        <f t="shared" si="0"/>
        <v>0</v>
      </c>
      <c r="G34" s="58">
        <v>139</v>
      </c>
      <c r="H34" s="58">
        <f t="shared" si="3"/>
        <v>14478.239999999998</v>
      </c>
      <c r="I34" s="58">
        <f t="shared" si="4"/>
        <v>14478.239999999998</v>
      </c>
    </row>
    <row r="35" spans="1:9" x14ac:dyDescent="0.2">
      <c r="A35" s="49"/>
      <c r="B35" s="50" t="s">
        <v>33</v>
      </c>
      <c r="C35" s="58">
        <f>C34*0.8</f>
        <v>83.327999999999989</v>
      </c>
      <c r="D35" s="56" t="s">
        <v>76</v>
      </c>
      <c r="E35" s="58">
        <v>400</v>
      </c>
      <c r="F35" s="58">
        <f t="shared" si="0"/>
        <v>33331.199999999997</v>
      </c>
      <c r="G35" s="58">
        <v>0</v>
      </c>
      <c r="H35" s="58">
        <f t="shared" si="3"/>
        <v>0</v>
      </c>
      <c r="I35" s="58">
        <f t="shared" si="4"/>
        <v>33331.199999999997</v>
      </c>
    </row>
    <row r="36" spans="1:9" x14ac:dyDescent="0.2">
      <c r="A36" s="49"/>
      <c r="B36" s="50" t="s">
        <v>34</v>
      </c>
      <c r="C36" s="58">
        <f>C35*0.3</f>
        <v>24.998399999999997</v>
      </c>
      <c r="D36" s="56" t="s">
        <v>76</v>
      </c>
      <c r="E36" s="58">
        <v>400</v>
      </c>
      <c r="F36" s="58">
        <f t="shared" si="0"/>
        <v>9999.3599999999988</v>
      </c>
      <c r="G36" s="58">
        <v>0</v>
      </c>
      <c r="H36" s="58">
        <f t="shared" si="3"/>
        <v>0</v>
      </c>
      <c r="I36" s="58">
        <f t="shared" si="4"/>
        <v>9999.3599999999988</v>
      </c>
    </row>
    <row r="37" spans="1:9" x14ac:dyDescent="0.2">
      <c r="A37" s="49"/>
      <c r="B37" s="50" t="s">
        <v>35</v>
      </c>
      <c r="C37" s="58">
        <f>C34*0.25</f>
        <v>26.039999999999996</v>
      </c>
      <c r="D37" s="56" t="s">
        <v>74</v>
      </c>
      <c r="E37" s="58">
        <v>56.07</v>
      </c>
      <c r="F37" s="58">
        <f t="shared" si="0"/>
        <v>1460.0627999999997</v>
      </c>
      <c r="G37" s="58">
        <v>0</v>
      </c>
      <c r="H37" s="58">
        <f t="shared" si="3"/>
        <v>0</v>
      </c>
      <c r="I37" s="58">
        <f t="shared" si="4"/>
        <v>1460.0627999999997</v>
      </c>
    </row>
    <row r="38" spans="1:9" x14ac:dyDescent="0.2">
      <c r="A38" s="49"/>
      <c r="B38" s="50" t="s">
        <v>82</v>
      </c>
      <c r="C38" s="58">
        <f>(0.2*0.2*93)*94.291855</f>
        <v>350.76570060000006</v>
      </c>
      <c r="D38" s="56" t="s">
        <v>74</v>
      </c>
      <c r="E38" s="58">
        <v>36.5</v>
      </c>
      <c r="F38" s="58">
        <f t="shared" si="0"/>
        <v>12802.948071900002</v>
      </c>
      <c r="G38" s="58">
        <v>20</v>
      </c>
      <c r="H38" s="58">
        <f t="shared" ref="H38:H39" si="5">C38*G38</f>
        <v>7015.3140120000007</v>
      </c>
      <c r="I38" s="58">
        <f t="shared" ref="I38:I39" si="6">F38+H38</f>
        <v>19818.262083900001</v>
      </c>
    </row>
    <row r="39" spans="1:9" x14ac:dyDescent="0.2">
      <c r="A39" s="49"/>
      <c r="B39" s="50" t="s">
        <v>81</v>
      </c>
      <c r="C39" s="58">
        <f>4*93</f>
        <v>372</v>
      </c>
      <c r="D39" s="56" t="s">
        <v>83</v>
      </c>
      <c r="E39" s="58">
        <v>42.32</v>
      </c>
      <c r="F39" s="58">
        <f t="shared" si="0"/>
        <v>15743.04</v>
      </c>
      <c r="G39" s="58">
        <v>5</v>
      </c>
      <c r="H39" s="58">
        <f t="shared" si="5"/>
        <v>1860</v>
      </c>
      <c r="I39" s="58">
        <f t="shared" si="6"/>
        <v>17603.04</v>
      </c>
    </row>
    <row r="40" spans="1:9" s="37" customFormat="1" x14ac:dyDescent="0.2">
      <c r="A40" s="51"/>
      <c r="B40" s="52" t="s">
        <v>79</v>
      </c>
      <c r="C40" s="64"/>
      <c r="D40" s="62"/>
      <c r="E40" s="63"/>
      <c r="F40" s="63">
        <f>SUM(F30:F39)</f>
        <v>88478.567223105609</v>
      </c>
      <c r="G40" s="63"/>
      <c r="H40" s="63">
        <f>SUM(H30:H39)</f>
        <v>25810.670555999997</v>
      </c>
      <c r="I40" s="63">
        <f>SUM(I30:I39)</f>
        <v>114289.23777910561</v>
      </c>
    </row>
    <row r="41" spans="1:9" x14ac:dyDescent="0.2">
      <c r="A41" s="49"/>
      <c r="B41" s="50"/>
      <c r="C41" s="49"/>
      <c r="D41" s="56"/>
      <c r="E41" s="58"/>
      <c r="F41" s="58"/>
      <c r="G41" s="58"/>
      <c r="H41" s="58"/>
      <c r="I41" s="58"/>
    </row>
    <row r="42" spans="1:9" x14ac:dyDescent="0.2">
      <c r="A42" s="49"/>
      <c r="B42" s="52" t="s">
        <v>39</v>
      </c>
      <c r="C42" s="49"/>
      <c r="D42" s="56"/>
      <c r="E42" s="58"/>
      <c r="F42" s="58"/>
      <c r="G42" s="58"/>
      <c r="H42" s="58"/>
      <c r="I42" s="58"/>
    </row>
    <row r="43" spans="1:9" x14ac:dyDescent="0.2">
      <c r="A43" s="49"/>
      <c r="B43" s="50" t="s">
        <v>42</v>
      </c>
      <c r="C43" s="58">
        <f>(6*143)*6.78</f>
        <v>5817.24</v>
      </c>
      <c r="D43" s="65" t="s">
        <v>74</v>
      </c>
      <c r="E43" s="58">
        <f>1123/40.68</f>
        <v>27.605703048180924</v>
      </c>
      <c r="F43" s="58">
        <f t="shared" si="0"/>
        <v>160589</v>
      </c>
      <c r="G43" s="58">
        <v>0</v>
      </c>
      <c r="H43" s="58">
        <f t="shared" si="3"/>
        <v>0</v>
      </c>
      <c r="I43" s="58">
        <f t="shared" si="4"/>
        <v>160589</v>
      </c>
    </row>
    <row r="44" spans="1:9" x14ac:dyDescent="0.2">
      <c r="A44" s="49"/>
      <c r="B44" s="50" t="s">
        <v>41</v>
      </c>
      <c r="C44" s="58">
        <f>(6*93)*12.2</f>
        <v>6807.5999999999995</v>
      </c>
      <c r="D44" s="65" t="s">
        <v>74</v>
      </c>
      <c r="E44" s="58">
        <f>2021/73.2</f>
        <v>27.609289617486336</v>
      </c>
      <c r="F44" s="58">
        <f t="shared" si="0"/>
        <v>187952.99999999997</v>
      </c>
      <c r="G44" s="58">
        <v>0</v>
      </c>
      <c r="H44" s="58">
        <f t="shared" si="3"/>
        <v>0</v>
      </c>
      <c r="I44" s="58">
        <f t="shared" si="4"/>
        <v>187952.99999999997</v>
      </c>
    </row>
    <row r="45" spans="1:9" x14ac:dyDescent="0.2">
      <c r="A45" s="49"/>
      <c r="B45" s="50" t="s">
        <v>40</v>
      </c>
      <c r="C45" s="58">
        <f>1.8*273.2</f>
        <v>491.76</v>
      </c>
      <c r="D45" s="65" t="s">
        <v>75</v>
      </c>
      <c r="E45" s="58">
        <v>30</v>
      </c>
      <c r="F45" s="58">
        <f t="shared" si="0"/>
        <v>14752.8</v>
      </c>
      <c r="G45" s="58">
        <v>25</v>
      </c>
      <c r="H45" s="58">
        <f t="shared" si="3"/>
        <v>12294</v>
      </c>
      <c r="I45" s="58">
        <f t="shared" si="4"/>
        <v>27046.799999999999</v>
      </c>
    </row>
    <row r="46" spans="1:9" x14ac:dyDescent="0.2">
      <c r="A46" s="49"/>
      <c r="B46" s="50" t="s">
        <v>43</v>
      </c>
      <c r="C46" s="58">
        <f>3*273.2</f>
        <v>819.59999999999991</v>
      </c>
      <c r="D46" s="65" t="s">
        <v>75</v>
      </c>
      <c r="E46" s="58">
        <f>2409/18</f>
        <v>133.83333333333334</v>
      </c>
      <c r="F46" s="58">
        <f t="shared" si="0"/>
        <v>109689.79999999999</v>
      </c>
      <c r="G46" s="58">
        <v>25</v>
      </c>
      <c r="H46" s="58">
        <f t="shared" si="3"/>
        <v>20489.999999999996</v>
      </c>
      <c r="I46" s="58">
        <f t="shared" si="4"/>
        <v>130179.79999999999</v>
      </c>
    </row>
    <row r="47" spans="1:9" x14ac:dyDescent="0.2">
      <c r="A47" s="49"/>
      <c r="B47" s="50" t="s">
        <v>44</v>
      </c>
      <c r="C47" s="58">
        <f>C43+C44</f>
        <v>12624.84</v>
      </c>
      <c r="D47" s="65" t="s">
        <v>74</v>
      </c>
      <c r="E47" s="58">
        <v>0</v>
      </c>
      <c r="F47" s="58">
        <f t="shared" si="0"/>
        <v>0</v>
      </c>
      <c r="G47" s="58">
        <v>10</v>
      </c>
      <c r="H47" s="58">
        <f t="shared" si="3"/>
        <v>126248.4</v>
      </c>
      <c r="I47" s="58">
        <f t="shared" si="4"/>
        <v>126248.4</v>
      </c>
    </row>
    <row r="48" spans="1:9" x14ac:dyDescent="0.2">
      <c r="A48" s="49"/>
      <c r="B48" s="50" t="s">
        <v>59</v>
      </c>
      <c r="C48" s="58">
        <f>240.2+200.45</f>
        <v>440.65</v>
      </c>
      <c r="D48" s="65" t="s">
        <v>75</v>
      </c>
      <c r="E48" s="58">
        <v>58</v>
      </c>
      <c r="F48" s="58">
        <f t="shared" si="0"/>
        <v>25557.699999999997</v>
      </c>
      <c r="G48" s="58">
        <v>35</v>
      </c>
      <c r="H48" s="58">
        <f t="shared" si="3"/>
        <v>15422.75</v>
      </c>
      <c r="I48" s="58">
        <f t="shared" si="4"/>
        <v>40980.449999999997</v>
      </c>
    </row>
    <row r="49" spans="1:11" s="37" customFormat="1" x14ac:dyDescent="0.2">
      <c r="A49" s="51"/>
      <c r="B49" s="52" t="s">
        <v>80</v>
      </c>
      <c r="C49" s="63"/>
      <c r="D49" s="66"/>
      <c r="E49" s="63"/>
      <c r="F49" s="63">
        <f>SUM(F43:F48)</f>
        <v>498542.3</v>
      </c>
      <c r="G49" s="63"/>
      <c r="H49" s="63">
        <f>SUM(H43:H48)</f>
        <v>174455.15</v>
      </c>
      <c r="I49" s="63">
        <f>SUM(I43:I48)</f>
        <v>672997.45</v>
      </c>
    </row>
    <row r="50" spans="1:11" x14ac:dyDescent="0.2">
      <c r="A50" s="49"/>
      <c r="B50" s="50"/>
      <c r="C50" s="49"/>
      <c r="D50" s="56"/>
      <c r="E50" s="58"/>
      <c r="F50" s="58"/>
      <c r="G50" s="58"/>
      <c r="H50" s="58"/>
      <c r="I50" s="58"/>
    </row>
    <row r="51" spans="1:11" x14ac:dyDescent="0.5">
      <c r="A51" s="49"/>
      <c r="B51" s="52" t="s">
        <v>46</v>
      </c>
      <c r="C51" s="58"/>
      <c r="D51" s="67"/>
      <c r="E51" s="58"/>
      <c r="F51" s="58"/>
      <c r="G51" s="58"/>
      <c r="H51" s="58"/>
      <c r="I51" s="58"/>
    </row>
    <row r="52" spans="1:11" x14ac:dyDescent="0.5">
      <c r="A52" s="49"/>
      <c r="B52" s="50" t="s">
        <v>47</v>
      </c>
      <c r="C52" s="58">
        <f>2*(6*17.2*0.05)*1.6</f>
        <v>16.512</v>
      </c>
      <c r="D52" s="67" t="s">
        <v>72</v>
      </c>
      <c r="E52" s="68">
        <v>466</v>
      </c>
      <c r="F52" s="58">
        <f t="shared" si="0"/>
        <v>7694.5920000000006</v>
      </c>
      <c r="G52" s="58">
        <v>112</v>
      </c>
      <c r="H52" s="58">
        <f t="shared" si="3"/>
        <v>1849.3440000000001</v>
      </c>
      <c r="I52" s="58">
        <f t="shared" si="4"/>
        <v>9543.9360000000015</v>
      </c>
    </row>
    <row r="53" spans="1:11" x14ac:dyDescent="0.5">
      <c r="A53" s="49"/>
      <c r="B53" s="50" t="s">
        <v>48</v>
      </c>
      <c r="C53" s="58">
        <f>2*(6*17.2)</f>
        <v>206.39999999999998</v>
      </c>
      <c r="D53" s="67" t="s">
        <v>75</v>
      </c>
      <c r="E53" s="58">
        <v>24.877500000000001</v>
      </c>
      <c r="F53" s="58">
        <f t="shared" si="0"/>
        <v>5134.7159999999994</v>
      </c>
      <c r="G53" s="58">
        <v>5</v>
      </c>
      <c r="H53" s="58">
        <f t="shared" si="3"/>
        <v>1032</v>
      </c>
      <c r="I53" s="58">
        <f t="shared" si="4"/>
        <v>6166.7159999999994</v>
      </c>
      <c r="K53" s="39"/>
    </row>
    <row r="54" spans="1:11" x14ac:dyDescent="0.5">
      <c r="A54" s="49"/>
      <c r="B54" s="50" t="s">
        <v>87</v>
      </c>
      <c r="C54" s="58">
        <f>2*(6*17.2*0.07)</f>
        <v>14.448</v>
      </c>
      <c r="D54" s="67" t="s">
        <v>72</v>
      </c>
      <c r="E54" s="68">
        <v>600</v>
      </c>
      <c r="F54" s="58">
        <f t="shared" si="0"/>
        <v>8668.8000000000011</v>
      </c>
      <c r="G54" s="58">
        <v>112</v>
      </c>
      <c r="H54" s="58">
        <f t="shared" si="3"/>
        <v>1618.1759999999999</v>
      </c>
      <c r="I54" s="58">
        <f t="shared" si="4"/>
        <v>10286.976000000001</v>
      </c>
    </row>
    <row r="55" spans="1:11" x14ac:dyDescent="0.2">
      <c r="A55" s="49"/>
      <c r="B55" s="50" t="s">
        <v>115</v>
      </c>
      <c r="C55" s="58">
        <f>2*(12+35+12+35)</f>
        <v>188</v>
      </c>
      <c r="D55" s="65" t="s">
        <v>90</v>
      </c>
      <c r="E55" s="58">
        <v>75</v>
      </c>
      <c r="F55" s="58">
        <f t="shared" si="0"/>
        <v>14100</v>
      </c>
      <c r="G55" s="58">
        <v>50</v>
      </c>
      <c r="H55" s="58">
        <f t="shared" si="3"/>
        <v>9400</v>
      </c>
      <c r="I55" s="58">
        <f t="shared" si="4"/>
        <v>23500</v>
      </c>
    </row>
    <row r="56" spans="1:11" s="37" customFormat="1" x14ac:dyDescent="0.2">
      <c r="A56" s="51"/>
      <c r="B56" s="52" t="s">
        <v>91</v>
      </c>
      <c r="C56" s="63"/>
      <c r="D56" s="66"/>
      <c r="E56" s="63"/>
      <c r="F56" s="63">
        <f>SUM(F52:F55)</f>
        <v>35598.108</v>
      </c>
      <c r="G56" s="63"/>
      <c r="H56" s="63">
        <f>SUM(H52:H55)</f>
        <v>13899.52</v>
      </c>
      <c r="I56" s="63">
        <f>SUM(I52:I55)</f>
        <v>49497.628000000004</v>
      </c>
    </row>
    <row r="57" spans="1:11" x14ac:dyDescent="0.2">
      <c r="A57" s="49"/>
      <c r="B57" s="50"/>
      <c r="C57" s="58"/>
      <c r="D57" s="65"/>
      <c r="E57" s="58"/>
      <c r="F57" s="58"/>
      <c r="G57" s="58"/>
      <c r="H57" s="58"/>
      <c r="I57" s="58"/>
    </row>
    <row r="58" spans="1:11" x14ac:dyDescent="0.2">
      <c r="A58" s="49"/>
      <c r="B58" s="52" t="s">
        <v>49</v>
      </c>
      <c r="C58" s="58"/>
      <c r="D58" s="65"/>
      <c r="E58" s="58"/>
      <c r="F58" s="58"/>
      <c r="G58" s="58"/>
      <c r="H58" s="58"/>
      <c r="I58" s="58"/>
    </row>
    <row r="59" spans="1:11" x14ac:dyDescent="0.2">
      <c r="A59" s="49"/>
      <c r="B59" s="49" t="s">
        <v>36</v>
      </c>
      <c r="C59" s="58">
        <f>(0.12407*12)*1.25</f>
        <v>1.8610499999999999</v>
      </c>
      <c r="D59" s="65" t="s">
        <v>72</v>
      </c>
      <c r="E59" s="58">
        <v>436.92</v>
      </c>
      <c r="F59" s="58">
        <f t="shared" si="0"/>
        <v>813.12996599999997</v>
      </c>
      <c r="G59" s="58">
        <v>104</v>
      </c>
      <c r="H59" s="58">
        <f t="shared" si="3"/>
        <v>193.54919999999998</v>
      </c>
      <c r="I59" s="58">
        <f t="shared" si="4"/>
        <v>1006.6791659999999</v>
      </c>
    </row>
    <row r="60" spans="1:11" x14ac:dyDescent="0.2">
      <c r="A60" s="49"/>
      <c r="B60" s="49" t="s">
        <v>27</v>
      </c>
      <c r="C60" s="58">
        <f>(0.062035*12)</f>
        <v>0.74441999999999997</v>
      </c>
      <c r="D60" s="65" t="s">
        <v>72</v>
      </c>
      <c r="E60" s="58">
        <v>1635.51</v>
      </c>
      <c r="F60" s="58">
        <f t="shared" si="0"/>
        <v>1217.5063542</v>
      </c>
      <c r="G60" s="58">
        <v>419</v>
      </c>
      <c r="H60" s="58">
        <f t="shared" si="3"/>
        <v>311.91197999999997</v>
      </c>
      <c r="I60" s="58">
        <f t="shared" si="4"/>
        <v>1529.4183342000001</v>
      </c>
    </row>
    <row r="61" spans="1:11" x14ac:dyDescent="0.2">
      <c r="A61" s="49"/>
      <c r="B61" s="50" t="s">
        <v>28</v>
      </c>
      <c r="C61" s="58">
        <f>0.2972*1*12</f>
        <v>3.5664000000000002</v>
      </c>
      <c r="D61" s="65" t="s">
        <v>72</v>
      </c>
      <c r="E61" s="58">
        <v>2344.6799999999998</v>
      </c>
      <c r="F61" s="58">
        <f t="shared" si="0"/>
        <v>8362.0667520000006</v>
      </c>
      <c r="G61" s="58">
        <v>419</v>
      </c>
      <c r="H61" s="58">
        <f t="shared" si="3"/>
        <v>1494.3216</v>
      </c>
      <c r="I61" s="58">
        <f t="shared" si="4"/>
        <v>9856.3883519999999</v>
      </c>
    </row>
    <row r="62" spans="1:11" x14ac:dyDescent="0.2">
      <c r="A62" s="49"/>
      <c r="B62" s="50" t="s">
        <v>37</v>
      </c>
      <c r="C62" s="58">
        <f>(28.4*12)*0.222/1000*1.05</f>
        <v>7.9440479999999994E-2</v>
      </c>
      <c r="D62" s="65" t="s">
        <v>73</v>
      </c>
      <c r="E62" s="58">
        <v>23572.43</v>
      </c>
      <c r="F62" s="58">
        <f t="shared" si="0"/>
        <v>1872.6051539663999</v>
      </c>
      <c r="G62" s="58">
        <v>4400</v>
      </c>
      <c r="H62" s="58">
        <f t="shared" si="3"/>
        <v>349.53811199999996</v>
      </c>
      <c r="I62" s="58">
        <f t="shared" si="4"/>
        <v>2222.1432659663997</v>
      </c>
    </row>
    <row r="63" spans="1:11" x14ac:dyDescent="0.2">
      <c r="A63" s="49"/>
      <c r="B63" s="50" t="s">
        <v>29</v>
      </c>
      <c r="C63" s="58">
        <f>(19*12)*0.499/1000*1.07</f>
        <v>0.12173604000000002</v>
      </c>
      <c r="D63" s="65" t="s">
        <v>73</v>
      </c>
      <c r="E63" s="58">
        <v>22756.54</v>
      </c>
      <c r="F63" s="58">
        <f t="shared" si="0"/>
        <v>2770.2910637016007</v>
      </c>
      <c r="G63" s="58">
        <v>4400</v>
      </c>
      <c r="H63" s="58">
        <f t="shared" si="3"/>
        <v>535.63857600000006</v>
      </c>
      <c r="I63" s="58">
        <f t="shared" si="4"/>
        <v>3305.9296397016005</v>
      </c>
    </row>
    <row r="64" spans="1:11" x14ac:dyDescent="0.2">
      <c r="A64" s="49"/>
      <c r="B64" s="50" t="s">
        <v>30</v>
      </c>
      <c r="C64" s="58">
        <f>(8*12)*0.888/1000*1.09</f>
        <v>9.2920320000000015E-2</v>
      </c>
      <c r="D64" s="65" t="s">
        <v>73</v>
      </c>
      <c r="E64" s="58">
        <v>22761.69</v>
      </c>
      <c r="F64" s="58">
        <f t="shared" si="0"/>
        <v>2115.0235185408001</v>
      </c>
      <c r="G64" s="58">
        <v>3600</v>
      </c>
      <c r="H64" s="58">
        <f t="shared" si="3"/>
        <v>334.51315200000005</v>
      </c>
      <c r="I64" s="58">
        <f t="shared" si="4"/>
        <v>2449.5366705408001</v>
      </c>
    </row>
    <row r="65" spans="1:9" x14ac:dyDescent="0.2">
      <c r="A65" s="49"/>
      <c r="B65" s="50" t="s">
        <v>31</v>
      </c>
      <c r="C65" s="58">
        <f>(C62+C63+C64)*30</f>
        <v>8.822905200000001</v>
      </c>
      <c r="D65" s="65" t="s">
        <v>74</v>
      </c>
      <c r="E65" s="58">
        <v>40.369999999999997</v>
      </c>
      <c r="F65" s="58">
        <f t="shared" si="0"/>
        <v>356.180682924</v>
      </c>
      <c r="G65" s="58">
        <v>0</v>
      </c>
      <c r="H65" s="58">
        <f t="shared" si="3"/>
        <v>0</v>
      </c>
      <c r="I65" s="58">
        <f t="shared" si="4"/>
        <v>356.180682924</v>
      </c>
    </row>
    <row r="66" spans="1:9" x14ac:dyDescent="0.2">
      <c r="A66" s="49"/>
      <c r="B66" s="50" t="s">
        <v>32</v>
      </c>
      <c r="C66" s="58">
        <f>(1.62*12)+(0.2972*24)</f>
        <v>26.572800000000001</v>
      </c>
      <c r="D66" s="65" t="s">
        <v>75</v>
      </c>
      <c r="E66" s="58">
        <v>0</v>
      </c>
      <c r="F66" s="58">
        <f t="shared" si="0"/>
        <v>0</v>
      </c>
      <c r="G66" s="58">
        <v>139</v>
      </c>
      <c r="H66" s="58">
        <f t="shared" si="3"/>
        <v>3693.6192000000001</v>
      </c>
      <c r="I66" s="58">
        <f t="shared" si="4"/>
        <v>3693.6192000000001</v>
      </c>
    </row>
    <row r="67" spans="1:9" x14ac:dyDescent="0.2">
      <c r="A67" s="49"/>
      <c r="B67" s="50" t="s">
        <v>33</v>
      </c>
      <c r="C67" s="58">
        <f>C66*0.8</f>
        <v>21.258240000000001</v>
      </c>
      <c r="D67" s="65" t="s">
        <v>76</v>
      </c>
      <c r="E67" s="58">
        <v>400</v>
      </c>
      <c r="F67" s="58">
        <f t="shared" si="0"/>
        <v>8503.2960000000003</v>
      </c>
      <c r="G67" s="58">
        <v>0</v>
      </c>
      <c r="H67" s="58">
        <f t="shared" si="3"/>
        <v>0</v>
      </c>
      <c r="I67" s="58">
        <f t="shared" si="4"/>
        <v>8503.2960000000003</v>
      </c>
    </row>
    <row r="68" spans="1:9" x14ac:dyDescent="0.2">
      <c r="A68" s="49"/>
      <c r="B68" s="50" t="s">
        <v>34</v>
      </c>
      <c r="C68" s="58">
        <f>C67*0.3</f>
        <v>6.377472</v>
      </c>
      <c r="D68" s="65" t="s">
        <v>76</v>
      </c>
      <c r="E68" s="58">
        <v>400</v>
      </c>
      <c r="F68" s="58">
        <f t="shared" si="0"/>
        <v>2550.9888000000001</v>
      </c>
      <c r="G68" s="58">
        <v>0</v>
      </c>
      <c r="H68" s="58">
        <f t="shared" si="3"/>
        <v>0</v>
      </c>
      <c r="I68" s="58">
        <f t="shared" si="4"/>
        <v>2550.9888000000001</v>
      </c>
    </row>
    <row r="69" spans="1:9" x14ac:dyDescent="0.2">
      <c r="A69" s="49"/>
      <c r="B69" s="50" t="s">
        <v>35</v>
      </c>
      <c r="C69" s="58">
        <f>C66*0.25</f>
        <v>6.6432000000000002</v>
      </c>
      <c r="D69" s="65" t="s">
        <v>74</v>
      </c>
      <c r="E69" s="58">
        <v>56.07</v>
      </c>
      <c r="F69" s="58">
        <f t="shared" si="0"/>
        <v>372.48422400000004</v>
      </c>
      <c r="G69" s="58">
        <v>0</v>
      </c>
      <c r="H69" s="58">
        <f t="shared" si="3"/>
        <v>0</v>
      </c>
      <c r="I69" s="58">
        <f t="shared" si="4"/>
        <v>372.48422400000004</v>
      </c>
    </row>
    <row r="70" spans="1:9" s="37" customFormat="1" x14ac:dyDescent="0.2">
      <c r="A70" s="51"/>
      <c r="B70" s="52" t="s">
        <v>116</v>
      </c>
      <c r="C70" s="63"/>
      <c r="D70" s="66"/>
      <c r="E70" s="63"/>
      <c r="F70" s="63">
        <f>SUM(F59:F69)</f>
        <v>28933.572515332802</v>
      </c>
      <c r="G70" s="63"/>
      <c r="H70" s="63">
        <f>SUM(H59:H69)</f>
        <v>6913.0918199999996</v>
      </c>
      <c r="I70" s="63">
        <f>SUM(I59:I69)</f>
        <v>35846.664335332804</v>
      </c>
    </row>
    <row r="71" spans="1:9" x14ac:dyDescent="0.2">
      <c r="A71" s="49"/>
      <c r="B71" s="52"/>
      <c r="C71" s="58"/>
      <c r="D71" s="65"/>
      <c r="E71" s="58"/>
      <c r="F71" s="58"/>
      <c r="G71" s="58"/>
      <c r="H71" s="58"/>
      <c r="I71" s="58"/>
    </row>
    <row r="72" spans="1:9" x14ac:dyDescent="0.2">
      <c r="A72" s="49"/>
      <c r="B72" s="52" t="s">
        <v>51</v>
      </c>
      <c r="C72" s="58"/>
      <c r="D72" s="65"/>
      <c r="E72" s="58"/>
      <c r="F72" s="58"/>
      <c r="G72" s="58"/>
      <c r="H72" s="58"/>
      <c r="I72" s="58"/>
    </row>
    <row r="73" spans="1:9" x14ac:dyDescent="0.2">
      <c r="A73" s="49"/>
      <c r="B73" s="53" t="s">
        <v>52</v>
      </c>
      <c r="C73" s="58">
        <f>276.1337*1.2369*0.05*1.25</f>
        <v>21.346860845624999</v>
      </c>
      <c r="D73" s="65" t="s">
        <v>72</v>
      </c>
      <c r="E73" s="58">
        <v>436.92</v>
      </c>
      <c r="F73" s="58">
        <f t="shared" si="0"/>
        <v>9326.8704406704746</v>
      </c>
      <c r="G73" s="58">
        <v>112</v>
      </c>
      <c r="H73" s="58">
        <f t="shared" si="3"/>
        <v>2390.8484147099998</v>
      </c>
      <c r="I73" s="58">
        <f t="shared" si="4"/>
        <v>11717.718855380474</v>
      </c>
    </row>
    <row r="74" spans="1:9" x14ac:dyDescent="0.2">
      <c r="A74" s="49"/>
      <c r="B74" s="53" t="s">
        <v>53</v>
      </c>
      <c r="C74" s="58">
        <f>276.1337*1.2369*0.05*1.3</f>
        <v>22.200735279450001</v>
      </c>
      <c r="D74" s="65" t="s">
        <v>72</v>
      </c>
      <c r="E74" s="68">
        <v>950</v>
      </c>
      <c r="F74" s="58">
        <f t="shared" si="0"/>
        <v>21090.698515477499</v>
      </c>
      <c r="G74" s="58">
        <v>112</v>
      </c>
      <c r="H74" s="58">
        <f t="shared" si="3"/>
        <v>2486.4823512984003</v>
      </c>
      <c r="I74" s="58">
        <f t="shared" si="4"/>
        <v>23577.1808667759</v>
      </c>
    </row>
    <row r="75" spans="1:9" x14ac:dyDescent="0.2">
      <c r="A75" s="49"/>
      <c r="B75" s="53" t="s">
        <v>54</v>
      </c>
      <c r="C75" s="58">
        <f>5232.0378-(4891.0445+14.4)</f>
        <v>326.59330000000045</v>
      </c>
      <c r="D75" s="65" t="s">
        <v>75</v>
      </c>
      <c r="E75" s="58">
        <v>25</v>
      </c>
      <c r="F75" s="58">
        <f t="shared" si="0"/>
        <v>8164.8325000000114</v>
      </c>
      <c r="G75" s="58">
        <v>10</v>
      </c>
      <c r="H75" s="58">
        <f t="shared" si="3"/>
        <v>3265.9330000000045</v>
      </c>
      <c r="I75" s="58">
        <f t="shared" si="4"/>
        <v>11430.765500000016</v>
      </c>
    </row>
    <row r="76" spans="1:9" s="37" customFormat="1" x14ac:dyDescent="0.2">
      <c r="A76" s="51"/>
      <c r="B76" s="77" t="s">
        <v>120</v>
      </c>
      <c r="C76" s="63"/>
      <c r="D76" s="66"/>
      <c r="E76" s="63"/>
      <c r="F76" s="63">
        <f>SUM(F73:F75)</f>
        <v>38582.401456147985</v>
      </c>
      <c r="G76" s="63"/>
      <c r="H76" s="63">
        <f>SUM(H73:H75)</f>
        <v>8143.2637660084047</v>
      </c>
      <c r="I76" s="63">
        <f>SUM(I73:I75)</f>
        <v>46725.665222156393</v>
      </c>
    </row>
    <row r="77" spans="1:9" x14ac:dyDescent="0.2">
      <c r="A77" s="49"/>
      <c r="B77" s="50"/>
      <c r="C77" s="58"/>
      <c r="D77" s="65"/>
      <c r="E77" s="58"/>
      <c r="F77" s="58"/>
      <c r="G77" s="58"/>
      <c r="H77" s="58"/>
      <c r="I77" s="58"/>
    </row>
    <row r="78" spans="1:9" x14ac:dyDescent="0.2">
      <c r="A78" s="49"/>
      <c r="B78" s="52" t="s">
        <v>55</v>
      </c>
      <c r="C78" s="58"/>
      <c r="D78" s="65"/>
      <c r="E78" s="58"/>
      <c r="F78" s="58"/>
      <c r="G78" s="58"/>
      <c r="H78" s="58"/>
      <c r="I78" s="58"/>
    </row>
    <row r="79" spans="1:9" x14ac:dyDescent="0.2">
      <c r="A79" s="49"/>
      <c r="B79" s="50" t="s">
        <v>114</v>
      </c>
      <c r="C79" s="58">
        <f>(84+128+56)+(98+158)+49+26+28+21+26+(48+60)+(7+44+7+44)+(36+29+30)</f>
        <v>979</v>
      </c>
      <c r="D79" s="65" t="s">
        <v>90</v>
      </c>
      <c r="E79" s="58">
        <v>170</v>
      </c>
      <c r="F79" s="58">
        <f t="shared" si="0"/>
        <v>166430</v>
      </c>
      <c r="G79" s="58">
        <v>50</v>
      </c>
      <c r="H79" s="58">
        <f t="shared" si="3"/>
        <v>48950</v>
      </c>
      <c r="I79" s="58">
        <f t="shared" si="4"/>
        <v>215380</v>
      </c>
    </row>
    <row r="80" spans="1:9" s="37" customFormat="1" x14ac:dyDescent="0.2">
      <c r="A80" s="51"/>
      <c r="B80" s="52" t="s">
        <v>119</v>
      </c>
      <c r="C80" s="63"/>
      <c r="D80" s="66"/>
      <c r="E80" s="63"/>
      <c r="F80" s="63">
        <f>SUM(F79)</f>
        <v>166430</v>
      </c>
      <c r="G80" s="63"/>
      <c r="H80" s="63">
        <f>SUM(H79)</f>
        <v>48950</v>
      </c>
      <c r="I80" s="63">
        <f>SUM(I79)</f>
        <v>215380</v>
      </c>
    </row>
    <row r="81" spans="1:9" x14ac:dyDescent="0.2">
      <c r="A81" s="49"/>
      <c r="B81" s="50"/>
      <c r="C81" s="58"/>
      <c r="D81" s="65"/>
      <c r="E81" s="58"/>
      <c r="F81" s="58"/>
      <c r="G81" s="58"/>
      <c r="H81" s="58"/>
      <c r="I81" s="58"/>
    </row>
    <row r="82" spans="1:9" x14ac:dyDescent="0.2">
      <c r="A82" s="49"/>
      <c r="B82" s="52" t="s">
        <v>56</v>
      </c>
      <c r="C82" s="58"/>
      <c r="D82" s="65"/>
      <c r="E82" s="58"/>
      <c r="F82" s="58"/>
      <c r="G82" s="58"/>
      <c r="H82" s="58"/>
      <c r="I82" s="58"/>
    </row>
    <row r="83" spans="1:9" x14ac:dyDescent="0.2">
      <c r="A83" s="49"/>
      <c r="B83" s="49" t="s">
        <v>36</v>
      </c>
      <c r="C83" s="58">
        <f>3741.76*0.1*1.25</f>
        <v>467.72</v>
      </c>
      <c r="D83" s="65" t="s">
        <v>72</v>
      </c>
      <c r="E83" s="58">
        <v>436.92</v>
      </c>
      <c r="F83" s="58">
        <f t="shared" si="0"/>
        <v>204356.22240000003</v>
      </c>
      <c r="G83" s="58">
        <v>104</v>
      </c>
      <c r="H83" s="58">
        <f t="shared" si="3"/>
        <v>48642.880000000005</v>
      </c>
      <c r="I83" s="58">
        <f t="shared" si="4"/>
        <v>252999.10240000003</v>
      </c>
    </row>
    <row r="84" spans="1:9" x14ac:dyDescent="0.2">
      <c r="A84" s="49"/>
      <c r="B84" s="49" t="s">
        <v>27</v>
      </c>
      <c r="C84" s="58">
        <f>3741.76*0.05</f>
        <v>187.08800000000002</v>
      </c>
      <c r="D84" s="65" t="s">
        <v>72</v>
      </c>
      <c r="E84" s="58">
        <v>1635.51</v>
      </c>
      <c r="F84" s="58">
        <f t="shared" ref="F84:F147" si="7">C84*E84</f>
        <v>305984.29488000006</v>
      </c>
      <c r="G84" s="58">
        <v>419</v>
      </c>
      <c r="H84" s="58">
        <f t="shared" si="3"/>
        <v>78389.872000000003</v>
      </c>
      <c r="I84" s="58">
        <f t="shared" si="4"/>
        <v>384374.16688000003</v>
      </c>
    </row>
    <row r="85" spans="1:9" x14ac:dyDescent="0.2">
      <c r="A85" s="49"/>
      <c r="B85" s="50" t="s">
        <v>28</v>
      </c>
      <c r="C85" s="58">
        <f>(2500*0.2)+(1241.76*0.12)</f>
        <v>649.01120000000003</v>
      </c>
      <c r="D85" s="65" t="s">
        <v>72</v>
      </c>
      <c r="E85" s="58">
        <v>2344.6799999999998</v>
      </c>
      <c r="F85" s="58">
        <f t="shared" si="7"/>
        <v>1521723.580416</v>
      </c>
      <c r="G85" s="58">
        <v>419</v>
      </c>
      <c r="H85" s="58">
        <f t="shared" si="3"/>
        <v>271935.69280000002</v>
      </c>
      <c r="I85" s="58">
        <f t="shared" si="4"/>
        <v>1793659.2732160001</v>
      </c>
    </row>
    <row r="86" spans="1:9" x14ac:dyDescent="0.2">
      <c r="A86" s="49"/>
      <c r="B86" s="50" t="s">
        <v>57</v>
      </c>
      <c r="C86" s="58">
        <f>2500</f>
        <v>2500</v>
      </c>
      <c r="D86" s="65" t="s">
        <v>75</v>
      </c>
      <c r="E86" s="58">
        <v>97</v>
      </c>
      <c r="F86" s="58">
        <f t="shared" si="7"/>
        <v>242500</v>
      </c>
      <c r="G86" s="58">
        <v>5</v>
      </c>
      <c r="H86" s="58">
        <f t="shared" si="3"/>
        <v>12500</v>
      </c>
      <c r="I86" s="58">
        <f t="shared" si="4"/>
        <v>255000</v>
      </c>
    </row>
    <row r="87" spans="1:9" x14ac:dyDescent="0.2">
      <c r="A87" s="49"/>
      <c r="B87" s="50" t="s">
        <v>58</v>
      </c>
      <c r="C87" s="58">
        <f>1241.76</f>
        <v>1241.76</v>
      </c>
      <c r="D87" s="65" t="s">
        <v>75</v>
      </c>
      <c r="E87" s="58">
        <v>73</v>
      </c>
      <c r="F87" s="58">
        <f t="shared" si="7"/>
        <v>90648.48</v>
      </c>
      <c r="G87" s="58">
        <v>5</v>
      </c>
      <c r="H87" s="58">
        <f t="shared" si="3"/>
        <v>6208.8</v>
      </c>
      <c r="I87" s="58">
        <f t="shared" si="4"/>
        <v>96857.279999999999</v>
      </c>
    </row>
    <row r="88" spans="1:9" x14ac:dyDescent="0.2">
      <c r="A88" s="49"/>
      <c r="B88" s="50" t="s">
        <v>32</v>
      </c>
      <c r="C88" s="58">
        <f>(552.9037*0.12)+(204.5*0.2)</f>
        <v>107.24844399999999</v>
      </c>
      <c r="D88" s="65" t="s">
        <v>75</v>
      </c>
      <c r="E88" s="58">
        <v>0</v>
      </c>
      <c r="F88" s="58">
        <f t="shared" si="7"/>
        <v>0</v>
      </c>
      <c r="G88" s="58">
        <v>139</v>
      </c>
      <c r="H88" s="58">
        <f t="shared" si="3"/>
        <v>14907.533715999998</v>
      </c>
      <c r="I88" s="58">
        <f t="shared" si="4"/>
        <v>14907.533715999998</v>
      </c>
    </row>
    <row r="89" spans="1:9" x14ac:dyDescent="0.2">
      <c r="A89" s="49"/>
      <c r="B89" s="50" t="s">
        <v>33</v>
      </c>
      <c r="C89" s="58">
        <f>C88*0.8</f>
        <v>85.798755200000002</v>
      </c>
      <c r="D89" s="65" t="s">
        <v>76</v>
      </c>
      <c r="E89" s="58">
        <v>400</v>
      </c>
      <c r="F89" s="58">
        <f t="shared" si="7"/>
        <v>34319.502079999998</v>
      </c>
      <c r="G89" s="58">
        <v>0</v>
      </c>
      <c r="H89" s="58">
        <f t="shared" si="3"/>
        <v>0</v>
      </c>
      <c r="I89" s="58">
        <f t="shared" si="4"/>
        <v>34319.502079999998</v>
      </c>
    </row>
    <row r="90" spans="1:9" x14ac:dyDescent="0.2">
      <c r="A90" s="49"/>
      <c r="B90" s="50" t="s">
        <v>34</v>
      </c>
      <c r="C90" s="58">
        <f>C89*0.3</f>
        <v>25.739626560000001</v>
      </c>
      <c r="D90" s="65" t="s">
        <v>76</v>
      </c>
      <c r="E90" s="58">
        <v>400</v>
      </c>
      <c r="F90" s="58">
        <f t="shared" si="7"/>
        <v>10295.850624000001</v>
      </c>
      <c r="G90" s="58">
        <v>0</v>
      </c>
      <c r="H90" s="58">
        <f t="shared" si="3"/>
        <v>0</v>
      </c>
      <c r="I90" s="58">
        <f t="shared" si="4"/>
        <v>10295.850624000001</v>
      </c>
    </row>
    <row r="91" spans="1:9" x14ac:dyDescent="0.2">
      <c r="A91" s="49"/>
      <c r="B91" s="50" t="s">
        <v>35</v>
      </c>
      <c r="C91" s="58">
        <f>C88*0.25</f>
        <v>26.812110999999998</v>
      </c>
      <c r="D91" s="65" t="s">
        <v>74</v>
      </c>
      <c r="E91" s="58">
        <v>56.07</v>
      </c>
      <c r="F91" s="58">
        <f t="shared" si="7"/>
        <v>1503.3550637699998</v>
      </c>
      <c r="G91" s="58">
        <v>0</v>
      </c>
      <c r="H91" s="58">
        <f t="shared" ref="H91:H147" si="8">C91*G91</f>
        <v>0</v>
      </c>
      <c r="I91" s="58">
        <f t="shared" ref="I91:I147" si="9">F91+H91</f>
        <v>1503.3550637699998</v>
      </c>
    </row>
    <row r="92" spans="1:9" x14ac:dyDescent="0.2">
      <c r="A92" s="49"/>
      <c r="B92" s="50" t="s">
        <v>60</v>
      </c>
      <c r="C92" s="58"/>
      <c r="D92" s="65"/>
      <c r="E92" s="58"/>
      <c r="F92" s="58"/>
      <c r="G92" s="58"/>
      <c r="H92" s="58"/>
      <c r="I92" s="58"/>
    </row>
    <row r="93" spans="1:9" x14ac:dyDescent="0.2">
      <c r="A93" s="49"/>
      <c r="B93" s="50" t="s">
        <v>62</v>
      </c>
      <c r="C93" s="58">
        <v>273.2</v>
      </c>
      <c r="D93" s="65" t="s">
        <v>88</v>
      </c>
      <c r="E93" s="58">
        <v>12.3</v>
      </c>
      <c r="F93" s="58">
        <f t="shared" si="7"/>
        <v>3360.36</v>
      </c>
      <c r="G93" s="58">
        <v>0</v>
      </c>
      <c r="H93" s="58">
        <f t="shared" si="8"/>
        <v>0</v>
      </c>
      <c r="I93" s="58">
        <f t="shared" si="9"/>
        <v>3360.36</v>
      </c>
    </row>
    <row r="94" spans="1:9" x14ac:dyDescent="0.2">
      <c r="A94" s="49"/>
      <c r="B94" s="50" t="s">
        <v>63</v>
      </c>
      <c r="C94" s="58">
        <v>19</v>
      </c>
      <c r="D94" s="65" t="s">
        <v>127</v>
      </c>
      <c r="E94" s="58">
        <v>640.36</v>
      </c>
      <c r="F94" s="58">
        <f t="shared" si="7"/>
        <v>12166.84</v>
      </c>
      <c r="G94" s="58">
        <v>0</v>
      </c>
      <c r="H94" s="58">
        <f t="shared" si="8"/>
        <v>0</v>
      </c>
      <c r="I94" s="58">
        <f t="shared" si="9"/>
        <v>12166.84</v>
      </c>
    </row>
    <row r="95" spans="1:9" x14ac:dyDescent="0.2">
      <c r="A95" s="49"/>
      <c r="B95" s="50" t="s">
        <v>64</v>
      </c>
      <c r="C95" s="58">
        <v>925</v>
      </c>
      <c r="D95" s="65" t="s">
        <v>126</v>
      </c>
      <c r="E95" s="58">
        <v>24.6</v>
      </c>
      <c r="F95" s="58">
        <f t="shared" si="7"/>
        <v>22755</v>
      </c>
      <c r="G95" s="58">
        <v>0</v>
      </c>
      <c r="H95" s="58">
        <f t="shared" si="8"/>
        <v>0</v>
      </c>
      <c r="I95" s="58">
        <f t="shared" si="9"/>
        <v>22755</v>
      </c>
    </row>
    <row r="96" spans="1:9" x14ac:dyDescent="0.2">
      <c r="A96" s="49"/>
      <c r="B96" s="50" t="s">
        <v>65</v>
      </c>
      <c r="C96" s="58">
        <f>(462.5*2.226)/1000*1.13</f>
        <v>1.16336325</v>
      </c>
      <c r="D96" s="65" t="s">
        <v>73</v>
      </c>
      <c r="E96" s="58">
        <v>24766.36</v>
      </c>
      <c r="F96" s="58">
        <f t="shared" si="7"/>
        <v>28812.273060269999</v>
      </c>
      <c r="G96" s="58">
        <v>3100</v>
      </c>
      <c r="H96" s="58">
        <f t="shared" si="8"/>
        <v>3606.4260749999999</v>
      </c>
      <c r="I96" s="58">
        <f t="shared" si="9"/>
        <v>32418.699135269999</v>
      </c>
    </row>
    <row r="97" spans="1:9" x14ac:dyDescent="0.2">
      <c r="A97" s="49"/>
      <c r="B97" s="50" t="s">
        <v>66</v>
      </c>
      <c r="C97" s="58">
        <v>2500</v>
      </c>
      <c r="D97" s="65" t="s">
        <v>75</v>
      </c>
      <c r="E97" s="58">
        <v>30</v>
      </c>
      <c r="F97" s="58">
        <f t="shared" si="7"/>
        <v>75000</v>
      </c>
      <c r="G97" s="58">
        <v>5</v>
      </c>
      <c r="H97" s="58">
        <f t="shared" si="8"/>
        <v>12500</v>
      </c>
      <c r="I97" s="58">
        <f t="shared" si="9"/>
        <v>87500</v>
      </c>
    </row>
    <row r="98" spans="1:9" x14ac:dyDescent="0.2">
      <c r="A98" s="49"/>
      <c r="B98" s="50" t="s">
        <v>61</v>
      </c>
      <c r="C98" s="58">
        <v>1075</v>
      </c>
      <c r="D98" s="65" t="s">
        <v>88</v>
      </c>
      <c r="E98" s="58">
        <v>12.3</v>
      </c>
      <c r="F98" s="58">
        <f t="shared" si="7"/>
        <v>13222.5</v>
      </c>
      <c r="G98" s="58">
        <v>0</v>
      </c>
      <c r="H98" s="58">
        <f t="shared" si="8"/>
        <v>0</v>
      </c>
      <c r="I98" s="58">
        <f t="shared" si="9"/>
        <v>13222.5</v>
      </c>
    </row>
    <row r="99" spans="1:9" s="37" customFormat="1" x14ac:dyDescent="0.2">
      <c r="A99" s="51"/>
      <c r="B99" s="52" t="s">
        <v>125</v>
      </c>
      <c r="C99" s="63"/>
      <c r="D99" s="66"/>
      <c r="E99" s="63"/>
      <c r="F99" s="63">
        <f>SUM(F83:F98)</f>
        <v>2566648.2585240398</v>
      </c>
      <c r="G99" s="63"/>
      <c r="H99" s="63">
        <f>SUM(H83:H98)</f>
        <v>448691.20459100005</v>
      </c>
      <c r="I99" s="63">
        <f>SUM(I83:I98)</f>
        <v>3015339.4631150402</v>
      </c>
    </row>
    <row r="100" spans="1:9" x14ac:dyDescent="0.2">
      <c r="A100" s="49"/>
      <c r="B100" s="52"/>
      <c r="C100" s="58"/>
      <c r="D100" s="65"/>
      <c r="E100" s="58"/>
      <c r="F100" s="58"/>
      <c r="G100" s="58"/>
      <c r="H100" s="58"/>
      <c r="I100" s="58"/>
    </row>
    <row r="101" spans="1:9" x14ac:dyDescent="0.2">
      <c r="A101" s="49"/>
      <c r="B101" s="52" t="s">
        <v>113</v>
      </c>
      <c r="C101" s="58"/>
      <c r="D101" s="65"/>
      <c r="E101" s="58"/>
      <c r="F101" s="58"/>
      <c r="G101" s="58"/>
      <c r="H101" s="58"/>
      <c r="I101" s="58"/>
    </row>
    <row r="102" spans="1:9" x14ac:dyDescent="0.2">
      <c r="A102" s="49"/>
      <c r="B102" s="50" t="s">
        <v>69</v>
      </c>
      <c r="C102" s="58">
        <v>3032.2</v>
      </c>
      <c r="D102" s="65" t="s">
        <v>75</v>
      </c>
      <c r="E102" s="58">
        <v>109</v>
      </c>
      <c r="F102" s="58">
        <f t="shared" si="7"/>
        <v>330509.8</v>
      </c>
      <c r="G102" s="58">
        <v>64</v>
      </c>
      <c r="H102" s="58">
        <f t="shared" si="8"/>
        <v>194060.79999999999</v>
      </c>
      <c r="I102" s="58">
        <f t="shared" si="9"/>
        <v>524570.6</v>
      </c>
    </row>
    <row r="103" spans="1:9" x14ac:dyDescent="0.2">
      <c r="A103" s="49"/>
      <c r="B103" s="50" t="s">
        <v>68</v>
      </c>
      <c r="C103" s="58">
        <f>C102</f>
        <v>3032.2</v>
      </c>
      <c r="D103" s="65" t="s">
        <v>75</v>
      </c>
      <c r="E103" s="58">
        <v>0</v>
      </c>
      <c r="F103" s="58">
        <f t="shared" si="7"/>
        <v>0</v>
      </c>
      <c r="G103" s="58">
        <v>40</v>
      </c>
      <c r="H103" s="58">
        <f t="shared" si="8"/>
        <v>121288</v>
      </c>
      <c r="I103" s="58">
        <f t="shared" si="9"/>
        <v>121288</v>
      </c>
    </row>
    <row r="104" spans="1:9" x14ac:dyDescent="0.2">
      <c r="A104" s="49"/>
      <c r="B104" s="50" t="s">
        <v>124</v>
      </c>
      <c r="C104" s="58">
        <v>709.56</v>
      </c>
      <c r="D104" s="65" t="s">
        <v>75</v>
      </c>
      <c r="E104" s="58">
        <v>360</v>
      </c>
      <c r="F104" s="58">
        <f t="shared" si="7"/>
        <v>255441.59999999998</v>
      </c>
      <c r="G104" s="58">
        <v>50</v>
      </c>
      <c r="H104" s="58">
        <f t="shared" ref="H104" si="10">C104*G104</f>
        <v>35478</v>
      </c>
      <c r="I104" s="58">
        <f t="shared" ref="I104" si="11">F104+H104</f>
        <v>290919.59999999998</v>
      </c>
    </row>
    <row r="105" spans="1:9" x14ac:dyDescent="0.2">
      <c r="A105" s="49"/>
      <c r="B105" s="50" t="s">
        <v>130</v>
      </c>
      <c r="C105" s="68"/>
      <c r="D105" s="82"/>
      <c r="E105" s="68"/>
      <c r="F105" s="68"/>
      <c r="G105" s="68"/>
      <c r="H105" s="68"/>
      <c r="I105" s="68"/>
    </row>
    <row r="106" spans="1:9" x14ac:dyDescent="0.2">
      <c r="A106" s="69"/>
      <c r="B106" s="73" t="s">
        <v>136</v>
      </c>
      <c r="C106" s="71">
        <f>(2500-162-163.48)+51.3+305.9+942.8845</f>
        <v>3474.6045000000004</v>
      </c>
      <c r="D106" s="72" t="s">
        <v>75</v>
      </c>
      <c r="E106" s="71">
        <v>4.6729000000000003</v>
      </c>
      <c r="F106" s="71">
        <f t="shared" si="7"/>
        <v>16236.479368050002</v>
      </c>
      <c r="G106" s="71">
        <v>34</v>
      </c>
      <c r="H106" s="71">
        <f t="shared" ref="H106:H110" si="12">C106*G106</f>
        <v>118136.55300000001</v>
      </c>
      <c r="I106" s="71">
        <f t="shared" ref="I106:I110" si="13">F106+H106</f>
        <v>134373.03236805002</v>
      </c>
    </row>
    <row r="107" spans="1:9" x14ac:dyDescent="0.2">
      <c r="A107" s="49"/>
      <c r="B107" s="50" t="s">
        <v>128</v>
      </c>
      <c r="C107" s="68">
        <f>C106</f>
        <v>3474.6045000000004</v>
      </c>
      <c r="D107" s="82" t="s">
        <v>75</v>
      </c>
      <c r="E107" s="68">
        <v>300</v>
      </c>
      <c r="F107" s="68">
        <f t="shared" si="7"/>
        <v>1042381.3500000001</v>
      </c>
      <c r="G107" s="68">
        <v>100</v>
      </c>
      <c r="H107" s="68">
        <f t="shared" si="12"/>
        <v>347460.45</v>
      </c>
      <c r="I107" s="68">
        <f t="shared" si="13"/>
        <v>1389841.8</v>
      </c>
    </row>
    <row r="108" spans="1:9" x14ac:dyDescent="0.2">
      <c r="A108" s="49"/>
      <c r="B108" s="50" t="s">
        <v>26</v>
      </c>
      <c r="C108" s="68"/>
      <c r="D108" s="82"/>
      <c r="E108" s="68"/>
      <c r="F108" s="68"/>
      <c r="G108" s="68"/>
      <c r="H108" s="68"/>
      <c r="I108" s="68"/>
    </row>
    <row r="109" spans="1:9" x14ac:dyDescent="0.2">
      <c r="A109" s="69"/>
      <c r="B109" s="73" t="s">
        <v>136</v>
      </c>
      <c r="C109" s="71">
        <f>175</f>
        <v>175</v>
      </c>
      <c r="D109" s="72" t="s">
        <v>75</v>
      </c>
      <c r="E109" s="71">
        <v>4.6729000000000003</v>
      </c>
      <c r="F109" s="71">
        <f t="shared" si="7"/>
        <v>817.75750000000005</v>
      </c>
      <c r="G109" s="71">
        <v>34</v>
      </c>
      <c r="H109" s="71">
        <f t="shared" si="12"/>
        <v>5950</v>
      </c>
      <c r="I109" s="71">
        <f t="shared" si="13"/>
        <v>6767.7574999999997</v>
      </c>
    </row>
    <row r="110" spans="1:9" x14ac:dyDescent="0.2">
      <c r="A110" s="69"/>
      <c r="B110" s="73" t="s">
        <v>133</v>
      </c>
      <c r="C110" s="71">
        <f>C109</f>
        <v>175</v>
      </c>
      <c r="D110" s="72" t="s">
        <v>75</v>
      </c>
      <c r="E110" s="71">
        <v>350</v>
      </c>
      <c r="F110" s="71">
        <f t="shared" si="7"/>
        <v>61250</v>
      </c>
      <c r="G110" s="71"/>
      <c r="H110" s="71">
        <f t="shared" si="12"/>
        <v>0</v>
      </c>
      <c r="I110" s="71">
        <f t="shared" si="13"/>
        <v>61250</v>
      </c>
    </row>
    <row r="111" spans="1:9" x14ac:dyDescent="0.2">
      <c r="A111" s="49"/>
      <c r="B111" s="50" t="s">
        <v>129</v>
      </c>
      <c r="C111" s="82"/>
      <c r="D111" s="82"/>
      <c r="E111" s="68">
        <v>2850</v>
      </c>
      <c r="F111" s="68"/>
      <c r="G111" s="68"/>
      <c r="H111" s="68"/>
      <c r="I111" s="68"/>
    </row>
    <row r="112" spans="1:9" x14ac:dyDescent="0.2">
      <c r="A112" s="69"/>
      <c r="B112" s="73" t="s">
        <v>136</v>
      </c>
      <c r="C112" s="71">
        <f>162+163.48</f>
        <v>325.48</v>
      </c>
      <c r="D112" s="72" t="s">
        <v>75</v>
      </c>
      <c r="E112" s="71">
        <v>4.6729000000000003</v>
      </c>
      <c r="F112" s="71">
        <f t="shared" ref="F112:F118" si="14">C112*E112</f>
        <v>1520.9354920000001</v>
      </c>
      <c r="G112" s="71">
        <v>34</v>
      </c>
      <c r="H112" s="71">
        <f t="shared" ref="H112:H118" si="15">C112*G112</f>
        <v>11066.32</v>
      </c>
      <c r="I112" s="71">
        <f t="shared" ref="I112:I118" si="16">F112+H112</f>
        <v>12587.255492</v>
      </c>
    </row>
    <row r="113" spans="1:9" x14ac:dyDescent="0.2">
      <c r="A113" s="69"/>
      <c r="B113" s="73" t="s">
        <v>132</v>
      </c>
      <c r="C113" s="71">
        <f>$C$112</f>
        <v>325.48</v>
      </c>
      <c r="D113" s="72" t="s">
        <v>75</v>
      </c>
      <c r="E113" s="71"/>
      <c r="F113" s="71">
        <f t="shared" si="14"/>
        <v>0</v>
      </c>
      <c r="G113" s="71"/>
      <c r="H113" s="71">
        <f t="shared" si="15"/>
        <v>0</v>
      </c>
      <c r="I113" s="71">
        <f t="shared" si="16"/>
        <v>0</v>
      </c>
    </row>
    <row r="114" spans="1:9" x14ac:dyDescent="0.2">
      <c r="A114" s="69"/>
      <c r="B114" s="73" t="s">
        <v>134</v>
      </c>
      <c r="C114" s="71">
        <f t="shared" ref="C114:C117" si="17">$C$112</f>
        <v>325.48</v>
      </c>
      <c r="D114" s="72" t="s">
        <v>75</v>
      </c>
      <c r="E114" s="71"/>
      <c r="F114" s="71">
        <f t="shared" si="14"/>
        <v>0</v>
      </c>
      <c r="G114" s="71"/>
      <c r="H114" s="71">
        <f t="shared" si="15"/>
        <v>0</v>
      </c>
      <c r="I114" s="71">
        <f t="shared" si="16"/>
        <v>0</v>
      </c>
    </row>
    <row r="115" spans="1:9" x14ac:dyDescent="0.2">
      <c r="A115" s="69"/>
      <c r="B115" s="73" t="s">
        <v>135</v>
      </c>
      <c r="C115" s="71">
        <f t="shared" si="17"/>
        <v>325.48</v>
      </c>
      <c r="D115" s="72" t="s">
        <v>75</v>
      </c>
      <c r="E115" s="71"/>
      <c r="F115" s="71">
        <f t="shared" si="14"/>
        <v>0</v>
      </c>
      <c r="G115" s="71"/>
      <c r="H115" s="71">
        <f t="shared" si="15"/>
        <v>0</v>
      </c>
      <c r="I115" s="71">
        <f t="shared" si="16"/>
        <v>0</v>
      </c>
    </row>
    <row r="116" spans="1:9" x14ac:dyDescent="0.2">
      <c r="A116" s="69"/>
      <c r="B116" s="73" t="s">
        <v>137</v>
      </c>
      <c r="C116" s="71">
        <f t="shared" si="17"/>
        <v>325.48</v>
      </c>
      <c r="D116" s="72" t="s">
        <v>75</v>
      </c>
      <c r="E116" s="71"/>
      <c r="F116" s="71">
        <f t="shared" si="14"/>
        <v>0</v>
      </c>
      <c r="G116" s="71"/>
      <c r="H116" s="71">
        <f t="shared" si="15"/>
        <v>0</v>
      </c>
      <c r="I116" s="71">
        <f t="shared" si="16"/>
        <v>0</v>
      </c>
    </row>
    <row r="117" spans="1:9" x14ac:dyDescent="0.2">
      <c r="A117" s="69"/>
      <c r="B117" s="73" t="s">
        <v>131</v>
      </c>
      <c r="C117" s="71">
        <f t="shared" si="17"/>
        <v>325.48</v>
      </c>
      <c r="D117" s="72" t="s">
        <v>75</v>
      </c>
      <c r="E117" s="71">
        <v>350</v>
      </c>
      <c r="F117" s="71">
        <f t="shared" si="14"/>
        <v>113918</v>
      </c>
      <c r="G117" s="71"/>
      <c r="H117" s="71">
        <f t="shared" si="15"/>
        <v>0</v>
      </c>
      <c r="I117" s="71">
        <f t="shared" si="16"/>
        <v>113918</v>
      </c>
    </row>
    <row r="118" spans="1:9" x14ac:dyDescent="0.2">
      <c r="A118" s="49"/>
      <c r="B118" s="50" t="s">
        <v>138</v>
      </c>
      <c r="C118" s="68">
        <f>4.23+0.244+3.12+11.314+7.5429</f>
        <v>26.450900000000001</v>
      </c>
      <c r="D118" s="82" t="s">
        <v>75</v>
      </c>
      <c r="E118" s="68">
        <v>300</v>
      </c>
      <c r="F118" s="68">
        <f t="shared" si="14"/>
        <v>7935.27</v>
      </c>
      <c r="G118" s="68">
        <v>100</v>
      </c>
      <c r="H118" s="68">
        <f t="shared" si="15"/>
        <v>2645.09</v>
      </c>
      <c r="I118" s="68">
        <f t="shared" si="16"/>
        <v>10580.36</v>
      </c>
    </row>
    <row r="119" spans="1:9" s="37" customFormat="1" x14ac:dyDescent="0.2">
      <c r="A119" s="51"/>
      <c r="B119" s="52" t="s">
        <v>118</v>
      </c>
      <c r="C119" s="63"/>
      <c r="D119" s="66"/>
      <c r="E119" s="63"/>
      <c r="F119" s="63">
        <f>SUM(F102:F118)</f>
        <v>1830011.1923600503</v>
      </c>
      <c r="G119" s="63"/>
      <c r="H119" s="63">
        <f>SUM(H102:H118)</f>
        <v>836085.21299999999</v>
      </c>
      <c r="I119" s="63">
        <f>SUM(I102:I118)</f>
        <v>2666096.4053600496</v>
      </c>
    </row>
    <row r="120" spans="1:9" x14ac:dyDescent="0.2">
      <c r="A120" s="49"/>
      <c r="B120" s="50"/>
      <c r="C120" s="58"/>
      <c r="D120" s="65"/>
      <c r="E120" s="58"/>
      <c r="F120" s="58"/>
      <c r="G120" s="58"/>
      <c r="H120" s="58"/>
      <c r="I120" s="58"/>
    </row>
    <row r="121" spans="1:9" x14ac:dyDescent="0.2">
      <c r="A121" s="69"/>
      <c r="B121" s="70" t="s">
        <v>70</v>
      </c>
      <c r="C121" s="71"/>
      <c r="D121" s="72"/>
      <c r="E121" s="71"/>
      <c r="F121" s="71"/>
      <c r="G121" s="71"/>
      <c r="H121" s="71"/>
      <c r="I121" s="71"/>
    </row>
    <row r="122" spans="1:9" x14ac:dyDescent="0.2">
      <c r="A122" s="69"/>
      <c r="B122" s="73" t="s">
        <v>71</v>
      </c>
      <c r="C122" s="71">
        <v>25</v>
      </c>
      <c r="D122" s="72" t="s">
        <v>83</v>
      </c>
      <c r="E122" s="71">
        <v>555</v>
      </c>
      <c r="F122" s="71">
        <f t="shared" si="7"/>
        <v>13875</v>
      </c>
      <c r="G122" s="71">
        <v>555</v>
      </c>
      <c r="H122" s="71">
        <f t="shared" si="8"/>
        <v>13875</v>
      </c>
      <c r="I122" s="71">
        <f t="shared" si="9"/>
        <v>27750</v>
      </c>
    </row>
    <row r="123" spans="1:9" x14ac:dyDescent="0.2">
      <c r="A123" s="69"/>
      <c r="B123" s="73" t="s">
        <v>121</v>
      </c>
      <c r="C123" s="71">
        <v>25</v>
      </c>
      <c r="D123" s="72" t="s">
        <v>83</v>
      </c>
      <c r="E123" s="71">
        <v>3500</v>
      </c>
      <c r="F123" s="71">
        <f t="shared" si="7"/>
        <v>87500</v>
      </c>
      <c r="G123" s="71">
        <v>0</v>
      </c>
      <c r="H123" s="71">
        <f t="shared" ref="H123" si="18">C123*G123</f>
        <v>0</v>
      </c>
      <c r="I123" s="71">
        <f t="shared" ref="I123" si="19">F123+H123</f>
        <v>87500</v>
      </c>
    </row>
    <row r="124" spans="1:9" s="37" customFormat="1" x14ac:dyDescent="0.2">
      <c r="A124" s="74"/>
      <c r="B124" s="70" t="s">
        <v>117</v>
      </c>
      <c r="C124" s="75"/>
      <c r="D124" s="76"/>
      <c r="E124" s="75"/>
      <c r="F124" s="75">
        <f>SUM(F122:F123)</f>
        <v>101375</v>
      </c>
      <c r="G124" s="75"/>
      <c r="H124" s="75">
        <f>SUM(H122:H123)</f>
        <v>13875</v>
      </c>
      <c r="I124" s="75">
        <f>SUM(I122:I123)</f>
        <v>115250</v>
      </c>
    </row>
    <row r="125" spans="1:9" x14ac:dyDescent="0.2">
      <c r="A125" s="49"/>
      <c r="B125" s="50"/>
      <c r="C125" s="58"/>
      <c r="D125" s="65"/>
      <c r="E125" s="58"/>
      <c r="F125" s="58"/>
      <c r="G125" s="58"/>
      <c r="H125" s="58"/>
      <c r="I125" s="58"/>
    </row>
    <row r="126" spans="1:9" x14ac:dyDescent="0.2">
      <c r="A126" s="49"/>
      <c r="B126" s="52" t="s">
        <v>67</v>
      </c>
      <c r="C126" s="58"/>
      <c r="D126" s="65"/>
      <c r="E126" s="58"/>
      <c r="F126" s="58"/>
      <c r="G126" s="58"/>
      <c r="H126" s="58"/>
      <c r="I126" s="58"/>
    </row>
    <row r="127" spans="1:9" x14ac:dyDescent="0.2">
      <c r="A127" s="49"/>
      <c r="B127" s="50" t="s">
        <v>45</v>
      </c>
      <c r="C127" s="58"/>
      <c r="D127" s="65"/>
      <c r="E127" s="58"/>
      <c r="F127" s="58"/>
      <c r="G127" s="58"/>
      <c r="H127" s="58"/>
      <c r="I127" s="58"/>
    </row>
    <row r="128" spans="1:9" x14ac:dyDescent="0.2">
      <c r="A128" s="49"/>
      <c r="B128" s="49" t="s">
        <v>92</v>
      </c>
      <c r="C128" s="58">
        <f>(0.1*0.55*275.931)*1.25</f>
        <v>18.970256250000002</v>
      </c>
      <c r="D128" s="65" t="s">
        <v>72</v>
      </c>
      <c r="E128" s="58">
        <v>436.92</v>
      </c>
      <c r="F128" s="58">
        <f t="shared" ref="F128:F133" si="20">C128*E128</f>
        <v>8288.4843607500006</v>
      </c>
      <c r="G128" s="58">
        <v>104</v>
      </c>
      <c r="H128" s="58">
        <f t="shared" ref="H128:H133" si="21">C128*G128</f>
        <v>1972.9066500000001</v>
      </c>
      <c r="I128" s="58">
        <f t="shared" ref="I128:I133" si="22">F128+H128</f>
        <v>10261.391010750001</v>
      </c>
    </row>
    <row r="129" spans="1:9" x14ac:dyDescent="0.2">
      <c r="A129" s="49"/>
      <c r="B129" s="49" t="s">
        <v>93</v>
      </c>
      <c r="C129" s="58">
        <f>0.05*0.55*275.931</f>
        <v>7.5881025000000006</v>
      </c>
      <c r="D129" s="65" t="s">
        <v>72</v>
      </c>
      <c r="E129" s="58">
        <v>1635.51</v>
      </c>
      <c r="F129" s="58">
        <f t="shared" si="20"/>
        <v>12410.417519775001</v>
      </c>
      <c r="G129" s="58">
        <v>419</v>
      </c>
      <c r="H129" s="58">
        <f t="shared" si="21"/>
        <v>3179.4149475000004</v>
      </c>
      <c r="I129" s="58">
        <f t="shared" si="22"/>
        <v>15589.832467275002</v>
      </c>
    </row>
    <row r="130" spans="1:9" x14ac:dyDescent="0.2">
      <c r="A130" s="49"/>
      <c r="B130" s="50" t="s">
        <v>94</v>
      </c>
      <c r="C130" s="58">
        <f>0.1271*275.931</f>
        <v>35.070830099999995</v>
      </c>
      <c r="D130" s="65" t="s">
        <v>72</v>
      </c>
      <c r="E130" s="58">
        <v>2344.6799999999998</v>
      </c>
      <c r="F130" s="58">
        <f t="shared" si="20"/>
        <v>82229.873918867976</v>
      </c>
      <c r="G130" s="58">
        <v>419</v>
      </c>
      <c r="H130" s="58">
        <f t="shared" si="21"/>
        <v>14694.677811899997</v>
      </c>
      <c r="I130" s="58">
        <f t="shared" si="22"/>
        <v>96924.551730767969</v>
      </c>
    </row>
    <row r="131" spans="1:9" x14ac:dyDescent="0.2">
      <c r="A131" s="49"/>
      <c r="B131" s="50" t="s">
        <v>95</v>
      </c>
      <c r="C131" s="58">
        <f>(1439.655+2748.24)*0.222/1000*1.05</f>
        <v>0.97619832449999988</v>
      </c>
      <c r="D131" s="65" t="s">
        <v>73</v>
      </c>
      <c r="E131" s="58">
        <v>23572.43</v>
      </c>
      <c r="F131" s="58">
        <f t="shared" si="20"/>
        <v>23011.366670393534</v>
      </c>
      <c r="G131" s="58">
        <v>4400</v>
      </c>
      <c r="H131" s="58">
        <f t="shared" si="21"/>
        <v>4295.2726277999991</v>
      </c>
      <c r="I131" s="58">
        <f t="shared" si="22"/>
        <v>27306.639298193535</v>
      </c>
    </row>
    <row r="132" spans="1:9" x14ac:dyDescent="0.2">
      <c r="A132" s="49"/>
      <c r="B132" s="50" t="s">
        <v>96</v>
      </c>
      <c r="C132" s="58">
        <f>(C131)*30</f>
        <v>29.285949734999996</v>
      </c>
      <c r="D132" s="65" t="s">
        <v>74</v>
      </c>
      <c r="E132" s="58">
        <v>40.369999999999997</v>
      </c>
      <c r="F132" s="58">
        <f t="shared" si="20"/>
        <v>1182.2737908019496</v>
      </c>
      <c r="G132" s="58">
        <v>0</v>
      </c>
      <c r="H132" s="58">
        <f t="shared" si="21"/>
        <v>0</v>
      </c>
      <c r="I132" s="58">
        <f t="shared" si="22"/>
        <v>1182.2737908019496</v>
      </c>
    </row>
    <row r="133" spans="1:9" x14ac:dyDescent="0.2">
      <c r="A133" s="49"/>
      <c r="B133" s="50" t="s">
        <v>97</v>
      </c>
      <c r="C133" s="58">
        <f>(2*0.625*275.931)+(0.1271*24)</f>
        <v>347.96415000000002</v>
      </c>
      <c r="D133" s="65" t="s">
        <v>72</v>
      </c>
      <c r="E133" s="58">
        <v>0</v>
      </c>
      <c r="F133" s="58">
        <f t="shared" si="20"/>
        <v>0</v>
      </c>
      <c r="G133" s="58">
        <v>139</v>
      </c>
      <c r="H133" s="58">
        <f t="shared" si="21"/>
        <v>48367.01685</v>
      </c>
      <c r="I133" s="58">
        <f t="shared" si="22"/>
        <v>48367.01685</v>
      </c>
    </row>
    <row r="134" spans="1:9" x14ac:dyDescent="0.2">
      <c r="A134" s="49"/>
      <c r="B134" s="50" t="s">
        <v>98</v>
      </c>
      <c r="C134" s="58">
        <f>C133*0.8</f>
        <v>278.37132000000003</v>
      </c>
      <c r="D134" s="65" t="s">
        <v>76</v>
      </c>
      <c r="E134" s="58">
        <v>400</v>
      </c>
      <c r="F134" s="58">
        <f t="shared" ref="F134:F143" si="23">C134*E134</f>
        <v>111348.52800000001</v>
      </c>
      <c r="G134" s="58">
        <v>0</v>
      </c>
      <c r="H134" s="58">
        <f t="shared" ref="H134:H143" si="24">C134*G134</f>
        <v>0</v>
      </c>
      <c r="I134" s="58">
        <f t="shared" ref="I134:I143" si="25">F134+H134</f>
        <v>111348.52800000001</v>
      </c>
    </row>
    <row r="135" spans="1:9" x14ac:dyDescent="0.2">
      <c r="A135" s="49"/>
      <c r="B135" s="50" t="s">
        <v>99</v>
      </c>
      <c r="C135" s="58">
        <f>C134*0.3</f>
        <v>83.511396000000005</v>
      </c>
      <c r="D135" s="65" t="s">
        <v>76</v>
      </c>
      <c r="E135" s="58">
        <v>400</v>
      </c>
      <c r="F135" s="58">
        <f t="shared" si="23"/>
        <v>33404.558400000002</v>
      </c>
      <c r="G135" s="58">
        <v>0</v>
      </c>
      <c r="H135" s="58">
        <f t="shared" si="24"/>
        <v>0</v>
      </c>
      <c r="I135" s="58">
        <f t="shared" si="25"/>
        <v>33404.558400000002</v>
      </c>
    </row>
    <row r="136" spans="1:9" x14ac:dyDescent="0.2">
      <c r="A136" s="49"/>
      <c r="B136" s="50" t="s">
        <v>100</v>
      </c>
      <c r="C136" s="58">
        <f>C133*0.25</f>
        <v>86.991037500000004</v>
      </c>
      <c r="D136" s="65" t="s">
        <v>74</v>
      </c>
      <c r="E136" s="58">
        <v>56.07</v>
      </c>
      <c r="F136" s="58">
        <f t="shared" si="23"/>
        <v>4877.5874726250004</v>
      </c>
      <c r="G136" s="58">
        <v>0</v>
      </c>
      <c r="H136" s="58">
        <f t="shared" si="24"/>
        <v>0</v>
      </c>
      <c r="I136" s="58">
        <f t="shared" si="25"/>
        <v>4877.5874726250004</v>
      </c>
    </row>
    <row r="137" spans="1:9" x14ac:dyDescent="0.2">
      <c r="A137" s="49"/>
      <c r="B137" s="50" t="s">
        <v>101</v>
      </c>
      <c r="C137" s="58">
        <v>288</v>
      </c>
      <c r="D137" s="65" t="s">
        <v>89</v>
      </c>
      <c r="E137" s="58">
        <v>2300</v>
      </c>
      <c r="F137" s="58">
        <f t="shared" si="23"/>
        <v>662400</v>
      </c>
      <c r="G137" s="58">
        <v>0</v>
      </c>
      <c r="H137" s="58">
        <f t="shared" si="24"/>
        <v>0</v>
      </c>
      <c r="I137" s="58">
        <f t="shared" si="25"/>
        <v>662400</v>
      </c>
    </row>
    <row r="138" spans="1:9" x14ac:dyDescent="0.2">
      <c r="A138" s="49"/>
      <c r="B138" s="50" t="s">
        <v>102</v>
      </c>
      <c r="C138" s="58">
        <v>15</v>
      </c>
      <c r="D138" s="65" t="s">
        <v>83</v>
      </c>
      <c r="E138" s="58">
        <v>1552</v>
      </c>
      <c r="F138" s="58">
        <f t="shared" si="23"/>
        <v>23280</v>
      </c>
      <c r="G138" s="58">
        <v>400</v>
      </c>
      <c r="H138" s="58">
        <f t="shared" si="24"/>
        <v>6000</v>
      </c>
      <c r="I138" s="58">
        <f t="shared" si="25"/>
        <v>29280</v>
      </c>
    </row>
    <row r="139" spans="1:9" x14ac:dyDescent="0.2">
      <c r="A139" s="49"/>
      <c r="B139" s="50" t="s">
        <v>50</v>
      </c>
      <c r="C139" s="58">
        <v>15</v>
      </c>
      <c r="D139" s="65" t="s">
        <v>89</v>
      </c>
      <c r="E139" s="58">
        <v>517.5</v>
      </c>
      <c r="F139" s="58">
        <f t="shared" si="23"/>
        <v>7762.5</v>
      </c>
      <c r="G139" s="58">
        <v>0</v>
      </c>
      <c r="H139" s="58">
        <f t="shared" si="24"/>
        <v>0</v>
      </c>
      <c r="I139" s="58">
        <f t="shared" si="25"/>
        <v>7762.5</v>
      </c>
    </row>
    <row r="140" spans="1:9" x14ac:dyDescent="0.2">
      <c r="A140" s="49"/>
      <c r="B140" s="50" t="s">
        <v>103</v>
      </c>
      <c r="C140" s="58">
        <f>148+8</f>
        <v>156</v>
      </c>
      <c r="D140" s="65" t="s">
        <v>88</v>
      </c>
      <c r="E140" s="58">
        <f>621.5/4</f>
        <v>155.375</v>
      </c>
      <c r="F140" s="58">
        <f t="shared" si="23"/>
        <v>24238.5</v>
      </c>
      <c r="G140" s="58">
        <v>100</v>
      </c>
      <c r="H140" s="58">
        <f t="shared" si="24"/>
        <v>15600</v>
      </c>
      <c r="I140" s="58">
        <f t="shared" si="25"/>
        <v>39838.5</v>
      </c>
    </row>
    <row r="141" spans="1:9" x14ac:dyDescent="0.2">
      <c r="A141" s="49"/>
      <c r="B141" s="50" t="s">
        <v>104</v>
      </c>
      <c r="C141" s="58">
        <v>12</v>
      </c>
      <c r="D141" s="65" t="s">
        <v>88</v>
      </c>
      <c r="E141" s="58">
        <f>3155/4</f>
        <v>788.75</v>
      </c>
      <c r="F141" s="58">
        <f t="shared" si="23"/>
        <v>9465</v>
      </c>
      <c r="G141" s="58">
        <v>400</v>
      </c>
      <c r="H141" s="58">
        <f t="shared" si="24"/>
        <v>4800</v>
      </c>
      <c r="I141" s="58">
        <f t="shared" si="25"/>
        <v>14265</v>
      </c>
    </row>
    <row r="142" spans="1:9" x14ac:dyDescent="0.2">
      <c r="A142" s="49"/>
      <c r="B142" s="50" t="s">
        <v>107</v>
      </c>
      <c r="C142" s="58">
        <v>1</v>
      </c>
      <c r="D142" s="65" t="s">
        <v>111</v>
      </c>
      <c r="E142" s="58">
        <f>(F140+F141)*0.4</f>
        <v>13481.400000000001</v>
      </c>
      <c r="F142" s="58">
        <f t="shared" si="23"/>
        <v>13481.400000000001</v>
      </c>
      <c r="G142" s="58">
        <v>0</v>
      </c>
      <c r="H142" s="58">
        <f t="shared" si="24"/>
        <v>0</v>
      </c>
      <c r="I142" s="58">
        <f t="shared" si="25"/>
        <v>13481.400000000001</v>
      </c>
    </row>
    <row r="143" spans="1:9" x14ac:dyDescent="0.2">
      <c r="A143" s="49"/>
      <c r="B143" s="50" t="s">
        <v>108</v>
      </c>
      <c r="C143" s="58">
        <v>1</v>
      </c>
      <c r="D143" s="65" t="s">
        <v>111</v>
      </c>
      <c r="E143" s="58">
        <v>0</v>
      </c>
      <c r="F143" s="58">
        <f t="shared" si="23"/>
        <v>0</v>
      </c>
      <c r="G143" s="58">
        <f>F142*0.3</f>
        <v>4044.42</v>
      </c>
      <c r="H143" s="58">
        <f t="shared" si="24"/>
        <v>4044.42</v>
      </c>
      <c r="I143" s="58">
        <f t="shared" si="25"/>
        <v>4044.42</v>
      </c>
    </row>
    <row r="144" spans="1:9" x14ac:dyDescent="0.2">
      <c r="A144" s="49"/>
      <c r="B144" s="50" t="s">
        <v>105</v>
      </c>
      <c r="C144" s="58">
        <v>1</v>
      </c>
      <c r="D144" s="65" t="s">
        <v>111</v>
      </c>
      <c r="E144" s="58">
        <f>(F140+F141)*0.3</f>
        <v>10111.049999999999</v>
      </c>
      <c r="F144" s="58">
        <f t="shared" si="7"/>
        <v>10111.049999999999</v>
      </c>
      <c r="G144" s="58">
        <v>0</v>
      </c>
      <c r="H144" s="58">
        <f t="shared" si="8"/>
        <v>0</v>
      </c>
      <c r="I144" s="58">
        <f t="shared" si="9"/>
        <v>10111.049999999999</v>
      </c>
    </row>
    <row r="145" spans="1:9" x14ac:dyDescent="0.2">
      <c r="A145" s="49"/>
      <c r="B145" s="50" t="s">
        <v>109</v>
      </c>
      <c r="C145" s="58">
        <v>1</v>
      </c>
      <c r="D145" s="65" t="s">
        <v>111</v>
      </c>
      <c r="E145" s="58">
        <v>0</v>
      </c>
      <c r="F145" s="58">
        <f t="shared" si="7"/>
        <v>0</v>
      </c>
      <c r="G145" s="58">
        <f>F144*0.3</f>
        <v>3033.3149999999996</v>
      </c>
      <c r="H145" s="58">
        <f t="shared" si="8"/>
        <v>3033.3149999999996</v>
      </c>
      <c r="I145" s="58">
        <f t="shared" si="9"/>
        <v>3033.3149999999996</v>
      </c>
    </row>
    <row r="146" spans="1:9" x14ac:dyDescent="0.2">
      <c r="A146" s="49"/>
      <c r="B146" s="50" t="s">
        <v>106</v>
      </c>
      <c r="C146" s="58">
        <v>1</v>
      </c>
      <c r="D146" s="65" t="s">
        <v>111</v>
      </c>
      <c r="E146" s="58">
        <f>(F140+F141)*0.1</f>
        <v>3370.3500000000004</v>
      </c>
      <c r="F146" s="58">
        <f t="shared" si="7"/>
        <v>3370.3500000000004</v>
      </c>
      <c r="G146" s="58">
        <v>0</v>
      </c>
      <c r="H146" s="58">
        <f t="shared" si="8"/>
        <v>0</v>
      </c>
      <c r="I146" s="58">
        <f t="shared" si="9"/>
        <v>3370.3500000000004</v>
      </c>
    </row>
    <row r="147" spans="1:9" x14ac:dyDescent="0.2">
      <c r="A147" s="49"/>
      <c r="B147" s="50" t="s">
        <v>110</v>
      </c>
      <c r="C147" s="58">
        <v>1</v>
      </c>
      <c r="D147" s="65" t="s">
        <v>111</v>
      </c>
      <c r="E147" s="58">
        <v>0</v>
      </c>
      <c r="F147" s="58">
        <f t="shared" si="7"/>
        <v>0</v>
      </c>
      <c r="G147" s="58">
        <f>F146*0.3</f>
        <v>1011.105</v>
      </c>
      <c r="H147" s="58">
        <f t="shared" si="8"/>
        <v>1011.105</v>
      </c>
      <c r="I147" s="58">
        <f t="shared" si="9"/>
        <v>1011.105</v>
      </c>
    </row>
    <row r="148" spans="1:9" s="37" customFormat="1" x14ac:dyDescent="0.2">
      <c r="A148" s="51"/>
      <c r="B148" s="52" t="s">
        <v>112</v>
      </c>
      <c r="C148" s="63"/>
      <c r="D148" s="66"/>
      <c r="E148" s="63"/>
      <c r="F148" s="63">
        <f>SUM(F128:F147)</f>
        <v>1030861.8901332135</v>
      </c>
      <c r="G148" s="63"/>
      <c r="H148" s="63">
        <f>SUM(H128:H147)</f>
        <v>106998.1288872</v>
      </c>
      <c r="I148" s="63">
        <f>SUM(I128:I147)</f>
        <v>1137860.0190204133</v>
      </c>
    </row>
    <row r="149" spans="1:9" x14ac:dyDescent="0.2">
      <c r="A149" s="49"/>
      <c r="B149" s="50"/>
      <c r="C149" s="58"/>
      <c r="D149" s="65"/>
      <c r="E149" s="58"/>
      <c r="F149" s="58"/>
      <c r="G149" s="58"/>
      <c r="H149" s="58"/>
      <c r="I149" s="58"/>
    </row>
    <row r="150" spans="1:9" x14ac:dyDescent="0.2">
      <c r="A150" s="49"/>
      <c r="B150" s="52" t="s">
        <v>38</v>
      </c>
      <c r="C150" s="58"/>
      <c r="D150" s="65"/>
      <c r="E150" s="58"/>
      <c r="F150" s="58"/>
      <c r="G150" s="58"/>
      <c r="H150" s="58"/>
      <c r="I150" s="58"/>
    </row>
    <row r="151" spans="1:9" x14ac:dyDescent="0.2">
      <c r="A151" s="49"/>
      <c r="B151" s="50" t="s">
        <v>139</v>
      </c>
      <c r="C151" s="58">
        <f>(0.8*0.5)*93</f>
        <v>37.200000000000003</v>
      </c>
      <c r="D151" s="65" t="s">
        <v>75</v>
      </c>
      <c r="E151" s="58">
        <v>80</v>
      </c>
      <c r="F151" s="58">
        <f>C151*E151</f>
        <v>2976</v>
      </c>
      <c r="G151" s="58">
        <v>115</v>
      </c>
      <c r="H151" s="58">
        <f>C151*G151</f>
        <v>4278</v>
      </c>
      <c r="I151" s="58">
        <f>F151+H151</f>
        <v>7254</v>
      </c>
    </row>
    <row r="152" spans="1:9" s="37" customFormat="1" x14ac:dyDescent="0.2">
      <c r="A152" s="51"/>
      <c r="B152" s="52" t="s">
        <v>79</v>
      </c>
      <c r="C152" s="63"/>
      <c r="D152" s="66"/>
      <c r="E152" s="63"/>
      <c r="F152" s="63">
        <f>SUM(F151)</f>
        <v>2976</v>
      </c>
      <c r="G152" s="63"/>
      <c r="H152" s="63">
        <f>SUM(H151)</f>
        <v>4278</v>
      </c>
      <c r="I152" s="63">
        <f>SUM(I151)</f>
        <v>7254</v>
      </c>
    </row>
    <row r="153" spans="1:9" x14ac:dyDescent="0.2">
      <c r="A153" s="49"/>
      <c r="B153" s="50"/>
      <c r="C153" s="58"/>
      <c r="D153" s="65"/>
      <c r="E153" s="58"/>
      <c r="F153" s="58"/>
      <c r="G153" s="58"/>
      <c r="H153" s="58"/>
      <c r="I153" s="58"/>
    </row>
    <row r="154" spans="1:9" s="37" customFormat="1" x14ac:dyDescent="0.2">
      <c r="A154" s="78"/>
      <c r="B154" s="79"/>
      <c r="C154" s="80"/>
      <c r="D154" s="81"/>
      <c r="E154" s="80"/>
      <c r="F154" s="80">
        <f>SUM(F15+F27+F40+F49+F56+F70+F76+F80+F99+F119+F124+F148+F152)</f>
        <v>7013615.2412004182</v>
      </c>
      <c r="G154" s="80"/>
      <c r="H154" s="80">
        <f>SUM(H15+H27+H40+H49+H56+H70+H76+H80+H99+H119+H124+H148+H152)</f>
        <v>2440969.2757041482</v>
      </c>
      <c r="I154" s="80">
        <f>SUM(I15+I27+I40+I49+I56+I70+I76+I80+I99+I119+I124+I148+I152)</f>
        <v>9454584.5169045664</v>
      </c>
    </row>
    <row r="156" spans="1:9" x14ac:dyDescent="0.2">
      <c r="H156" s="39"/>
    </row>
  </sheetData>
  <mergeCells count="10">
    <mergeCell ref="A1:I1"/>
    <mergeCell ref="A2:I2"/>
    <mergeCell ref="A3:I3"/>
    <mergeCell ref="A8:A9"/>
    <mergeCell ref="B8:B9"/>
    <mergeCell ref="C8:C9"/>
    <mergeCell ref="D8:D9"/>
    <mergeCell ref="E8:F8"/>
    <mergeCell ref="G8:H8"/>
    <mergeCell ref="I8:I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9E03-CC9C-4B9F-B3AF-9B3E4AEF5405}">
  <sheetPr>
    <tabColor theme="5"/>
  </sheetPr>
  <dimension ref="A1:N41"/>
  <sheetViews>
    <sheetView view="pageBreakPreview" topLeftCell="A31" zoomScaleNormal="100" zoomScaleSheetLayoutView="100" workbookViewId="0">
      <selection activeCell="F38" sqref="F38"/>
    </sheetView>
  </sheetViews>
  <sheetFormatPr defaultRowHeight="18" customHeight="1" x14ac:dyDescent="0.2"/>
  <cols>
    <col min="1" max="1" width="6.875" style="36" customWidth="1"/>
    <col min="2" max="2" width="8.75" style="36" customWidth="1"/>
    <col min="3" max="3" width="8.125" style="36" customWidth="1"/>
    <col min="4" max="4" width="13.125" style="36" customWidth="1"/>
    <col min="5" max="5" width="11.875" style="36" customWidth="1"/>
    <col min="6" max="6" width="13.375" style="36" customWidth="1"/>
    <col min="7" max="7" width="8.75" style="36" customWidth="1"/>
    <col min="8" max="8" width="6.875" style="36" customWidth="1"/>
    <col min="9" max="9" width="4.375" style="36" customWidth="1"/>
    <col min="10" max="16384" width="9" style="36"/>
  </cols>
  <sheetData>
    <row r="1" spans="1:9" ht="18" customHeight="1" x14ac:dyDescent="0.2">
      <c r="A1" s="214" t="s">
        <v>320</v>
      </c>
      <c r="B1" s="214"/>
      <c r="C1" s="214"/>
      <c r="D1" s="214"/>
      <c r="E1" s="214"/>
      <c r="F1" s="214"/>
      <c r="G1" s="214"/>
      <c r="H1" s="214"/>
      <c r="I1" s="214"/>
    </row>
    <row r="2" spans="1:9" ht="18" customHeight="1" x14ac:dyDescent="0.2">
      <c r="A2" s="214" t="s">
        <v>0</v>
      </c>
      <c r="B2" s="214"/>
      <c r="C2" s="214"/>
      <c r="D2" s="214"/>
      <c r="E2" s="214"/>
      <c r="F2" s="214"/>
      <c r="G2" s="214"/>
      <c r="H2" s="214"/>
      <c r="I2" s="214"/>
    </row>
    <row r="3" spans="1:9" ht="18" customHeight="1" x14ac:dyDescent="0.2">
      <c r="A3" s="214" t="s">
        <v>330</v>
      </c>
      <c r="B3" s="214"/>
      <c r="C3" s="214"/>
      <c r="D3" s="214"/>
      <c r="E3" s="214"/>
      <c r="F3" s="214"/>
      <c r="G3" s="214"/>
      <c r="H3" s="214"/>
      <c r="I3" s="214"/>
    </row>
    <row r="4" spans="1:9" ht="18" customHeight="1" x14ac:dyDescent="0.2">
      <c r="A4" s="214" t="s">
        <v>332</v>
      </c>
      <c r="B4" s="214"/>
      <c r="C4" s="214"/>
      <c r="D4" s="214"/>
      <c r="E4" s="214"/>
      <c r="F4" s="214"/>
      <c r="G4" s="214"/>
      <c r="H4" s="214"/>
      <c r="I4" s="214"/>
    </row>
    <row r="5" spans="1:9" ht="18" customHeight="1" x14ac:dyDescent="0.2">
      <c r="A5" s="214" t="s">
        <v>333</v>
      </c>
      <c r="B5" s="214"/>
      <c r="C5" s="214"/>
      <c r="D5" s="214"/>
      <c r="E5" s="214"/>
      <c r="F5" s="214"/>
      <c r="G5" s="214"/>
      <c r="H5" s="214"/>
      <c r="I5" s="214"/>
    </row>
    <row r="6" spans="1:9" ht="18" customHeight="1" x14ac:dyDescent="0.2">
      <c r="A6" s="214" t="s">
        <v>331</v>
      </c>
      <c r="B6" s="214"/>
      <c r="C6" s="214"/>
      <c r="D6" s="214"/>
      <c r="E6" s="214"/>
      <c r="F6" s="214"/>
      <c r="G6" s="214"/>
      <c r="H6" s="214"/>
      <c r="I6" s="214"/>
    </row>
    <row r="7" spans="1:9" ht="15" customHeight="1" x14ac:dyDescent="0.2">
      <c r="A7" s="2"/>
      <c r="B7" s="3"/>
      <c r="C7" s="3"/>
      <c r="D7" s="3"/>
      <c r="E7" s="3"/>
      <c r="F7" s="3"/>
      <c r="G7" s="3"/>
      <c r="H7" s="3"/>
      <c r="I7" s="3"/>
    </row>
    <row r="8" spans="1:9" ht="18" customHeight="1" x14ac:dyDescent="0.2">
      <c r="A8" s="4" t="s">
        <v>329</v>
      </c>
      <c r="B8" s="5"/>
      <c r="C8" s="5"/>
      <c r="D8" s="5"/>
      <c r="E8" s="5"/>
      <c r="F8" s="5"/>
      <c r="G8" s="5"/>
      <c r="H8" s="5"/>
      <c r="I8" s="5"/>
    </row>
    <row r="9" spans="1:9" ht="18" customHeight="1" x14ac:dyDescent="0.2">
      <c r="A9" s="5" t="s">
        <v>334</v>
      </c>
      <c r="B9" s="5"/>
      <c r="C9" s="6"/>
      <c r="D9" s="6"/>
      <c r="E9" s="6"/>
      <c r="F9" s="1"/>
      <c r="G9" s="1"/>
      <c r="H9" s="5"/>
      <c r="I9" s="5"/>
    </row>
    <row r="10" spans="1:9" ht="18" customHeight="1" x14ac:dyDescent="0.2">
      <c r="A10" s="47" t="s">
        <v>335</v>
      </c>
      <c r="B10" s="5"/>
      <c r="C10" s="5"/>
      <c r="D10" s="5"/>
      <c r="E10" s="5"/>
      <c r="G10" s="7"/>
      <c r="H10" s="6"/>
      <c r="I10" s="6"/>
    </row>
    <row r="11" spans="1:9" ht="36" customHeight="1" x14ac:dyDescent="0.2">
      <c r="A11" s="8" t="s">
        <v>1</v>
      </c>
      <c r="B11" s="215" t="s">
        <v>15</v>
      </c>
      <c r="C11" s="216"/>
      <c r="D11" s="178" t="s">
        <v>296</v>
      </c>
      <c r="E11" s="8" t="s">
        <v>2</v>
      </c>
      <c r="F11" s="9" t="s">
        <v>297</v>
      </c>
      <c r="G11" s="215" t="s">
        <v>3</v>
      </c>
      <c r="H11" s="217"/>
      <c r="I11" s="216"/>
    </row>
    <row r="12" spans="1:9" ht="18" customHeight="1" x14ac:dyDescent="0.2">
      <c r="A12" s="10">
        <v>1</v>
      </c>
      <c r="B12" s="179" t="s">
        <v>4</v>
      </c>
      <c r="C12" s="180"/>
      <c r="D12" s="12">
        <f>'ปร.4 งานก่อสร้าง'!I14</f>
        <v>13905259.459999999</v>
      </c>
      <c r="E12" s="13">
        <v>1.2686999999999999</v>
      </c>
      <c r="F12" s="14">
        <f>D12*E12</f>
        <v>17641602.676901996</v>
      </c>
      <c r="G12" s="218" t="s">
        <v>2</v>
      </c>
      <c r="H12" s="219"/>
      <c r="I12" s="220"/>
    </row>
    <row r="13" spans="1:9" ht="18" customHeight="1" x14ac:dyDescent="0.2">
      <c r="A13" s="15">
        <v>2</v>
      </c>
      <c r="B13" s="16" t="s">
        <v>143</v>
      </c>
      <c r="C13" s="181"/>
      <c r="D13" s="17">
        <f>ครุภัณฑ์!I57</f>
        <v>14239540</v>
      </c>
      <c r="E13" s="18">
        <v>1</v>
      </c>
      <c r="F13" s="14">
        <f t="shared" ref="F13" si="0">D13*E13</f>
        <v>14239540</v>
      </c>
      <c r="G13" s="11" t="s">
        <v>5</v>
      </c>
      <c r="I13" s="19">
        <v>7.0000000000000007E-2</v>
      </c>
    </row>
    <row r="14" spans="1:9" ht="18" customHeight="1" x14ac:dyDescent="0.2">
      <c r="A14" s="15">
        <v>3</v>
      </c>
      <c r="B14" s="16" t="s">
        <v>159</v>
      </c>
      <c r="C14" s="182"/>
      <c r="D14" s="17">
        <f>ค่าใช้จ่ายพิเศษ!I15</f>
        <v>619800</v>
      </c>
      <c r="E14" s="20">
        <v>1</v>
      </c>
      <c r="F14" s="14">
        <f>D14*E14</f>
        <v>619800</v>
      </c>
      <c r="G14" s="21" t="s">
        <v>6</v>
      </c>
      <c r="I14" s="19">
        <v>7.0000000000000007E-2</v>
      </c>
    </row>
    <row r="15" spans="1:9" ht="18" customHeight="1" x14ac:dyDescent="0.2">
      <c r="A15" s="11"/>
      <c r="B15" s="11"/>
      <c r="C15" s="32"/>
      <c r="D15" s="12"/>
      <c r="E15" s="13"/>
      <c r="F15" s="14"/>
      <c r="G15" s="11" t="s">
        <v>7</v>
      </c>
      <c r="I15" s="19">
        <v>0</v>
      </c>
    </row>
    <row r="16" spans="1:9" ht="18" customHeight="1" x14ac:dyDescent="0.2">
      <c r="A16" s="22"/>
      <c r="B16" s="22"/>
      <c r="C16" s="30"/>
      <c r="D16" s="24"/>
      <c r="E16" s="205"/>
      <c r="F16" s="206"/>
      <c r="G16" s="11" t="s">
        <v>8</v>
      </c>
      <c r="I16" s="19">
        <v>0</v>
      </c>
    </row>
    <row r="17" spans="1:9" ht="18" customHeight="1" thickBot="1" x14ac:dyDescent="0.25">
      <c r="A17" s="27" t="s">
        <v>9</v>
      </c>
      <c r="B17" s="1"/>
      <c r="C17" s="5"/>
      <c r="D17" s="28" t="s">
        <v>10</v>
      </c>
      <c r="E17" s="28"/>
      <c r="F17" s="31">
        <f>SUM(F12:F16)</f>
        <v>32500942.676901996</v>
      </c>
      <c r="G17" s="207" t="s">
        <v>292</v>
      </c>
      <c r="H17" s="23" t="s">
        <v>11</v>
      </c>
      <c r="I17" s="30"/>
    </row>
    <row r="18" spans="1:9" ht="18" customHeight="1" thickTop="1" x14ac:dyDescent="0.2">
      <c r="A18" s="22"/>
      <c r="B18" s="23"/>
      <c r="C18" s="23" t="s">
        <v>13</v>
      </c>
      <c r="D18" s="209" t="str">
        <f>BAHTTEXT(F17)</f>
        <v>สามสิบสองล้านห้าแสนเก้าร้อยสี่สิบสองบาทหกสิบแปดสตางค์</v>
      </c>
      <c r="E18" s="23"/>
      <c r="F18" s="33"/>
      <c r="G18" s="23"/>
      <c r="H18" s="23"/>
      <c r="I18" s="30"/>
    </row>
    <row r="19" spans="1:9" ht="18" customHeight="1" x14ac:dyDescent="0.2">
      <c r="A19" s="183" t="s">
        <v>295</v>
      </c>
      <c r="B19" s="5"/>
      <c r="C19" s="34">
        <f>F17/(59*89)</f>
        <v>6189.4768000194244</v>
      </c>
      <c r="D19" s="5" t="s">
        <v>298</v>
      </c>
      <c r="E19" s="5"/>
      <c r="F19" s="5"/>
      <c r="G19" s="5"/>
      <c r="H19" s="5"/>
      <c r="I19" s="5"/>
    </row>
    <row r="20" spans="1:9" ht="16.5" customHeight="1" x14ac:dyDescent="0.2">
      <c r="A20" s="183"/>
      <c r="B20" s="5"/>
      <c r="C20" s="28"/>
      <c r="D20" s="5"/>
      <c r="E20" s="5"/>
      <c r="F20" s="5"/>
      <c r="G20" s="5"/>
      <c r="H20" s="5"/>
      <c r="I20" s="5"/>
    </row>
    <row r="21" spans="1:9" ht="18" customHeight="1" x14ac:dyDescent="0.2">
      <c r="A21" s="183"/>
      <c r="B21" s="3" t="s">
        <v>339</v>
      </c>
      <c r="C21" s="28"/>
      <c r="D21" s="5"/>
      <c r="E21" s="5"/>
      <c r="F21" s="5"/>
      <c r="G21" s="5"/>
      <c r="H21" s="43"/>
      <c r="I21" s="5"/>
    </row>
    <row r="22" spans="1:9" ht="18.75" customHeight="1" x14ac:dyDescent="0.2">
      <c r="A22" s="28"/>
      <c r="B22" s="5"/>
      <c r="C22" s="35"/>
      <c r="D22" s="28"/>
      <c r="E22" s="5"/>
      <c r="F22" s="5"/>
      <c r="G22" s="5"/>
      <c r="H22" s="5"/>
      <c r="I22" s="5"/>
    </row>
    <row r="23" spans="1:9" ht="18" customHeight="1" x14ac:dyDescent="0.2">
      <c r="A23" s="5"/>
      <c r="B23" s="7"/>
      <c r="C23" s="5" t="s">
        <v>300</v>
      </c>
      <c r="D23" s="5"/>
      <c r="E23" s="5"/>
      <c r="G23" s="5" t="s">
        <v>336</v>
      </c>
      <c r="I23" s="5"/>
    </row>
    <row r="24" spans="1:9" ht="18" customHeight="1" x14ac:dyDescent="0.2">
      <c r="A24" s="5"/>
      <c r="B24" s="5"/>
      <c r="C24" s="5"/>
      <c r="D24" s="213" t="s">
        <v>337</v>
      </c>
      <c r="E24" s="213"/>
      <c r="F24" s="213"/>
      <c r="I24" s="5"/>
    </row>
    <row r="25" spans="1:9" ht="18" customHeight="1" x14ac:dyDescent="0.2">
      <c r="A25" s="5"/>
      <c r="B25" s="5"/>
      <c r="D25" s="213" t="s">
        <v>338</v>
      </c>
      <c r="E25" s="213"/>
      <c r="F25" s="213"/>
      <c r="I25" s="5"/>
    </row>
    <row r="26" spans="1:9" ht="18.75" customHeight="1" x14ac:dyDescent="0.2">
      <c r="A26" s="5"/>
      <c r="B26" s="5"/>
      <c r="C26" s="5"/>
      <c r="D26" s="6"/>
      <c r="E26" s="6"/>
      <c r="F26" s="5"/>
      <c r="I26" s="5"/>
    </row>
    <row r="27" spans="1:9" ht="18" customHeight="1" x14ac:dyDescent="0.2">
      <c r="A27" s="5"/>
      <c r="B27" s="7"/>
      <c r="C27" s="5" t="s">
        <v>300</v>
      </c>
      <c r="D27" s="6"/>
      <c r="E27" s="6"/>
      <c r="F27" s="5"/>
      <c r="G27" s="5" t="s">
        <v>303</v>
      </c>
      <c r="I27" s="5"/>
    </row>
    <row r="28" spans="1:9" ht="18" customHeight="1" x14ac:dyDescent="0.2">
      <c r="A28" s="5"/>
      <c r="B28" s="7"/>
      <c r="C28" s="6"/>
      <c r="D28" s="213" t="s">
        <v>299</v>
      </c>
      <c r="E28" s="213"/>
      <c r="F28" s="213"/>
      <c r="I28" s="5"/>
    </row>
    <row r="29" spans="1:9" ht="18" customHeight="1" x14ac:dyDescent="0.2">
      <c r="A29" s="5"/>
      <c r="B29" s="7"/>
      <c r="C29" s="6"/>
      <c r="D29" s="213" t="s">
        <v>302</v>
      </c>
      <c r="E29" s="213"/>
      <c r="F29" s="213"/>
      <c r="I29" s="5"/>
    </row>
    <row r="30" spans="1:9" ht="18.75" customHeight="1" x14ac:dyDescent="0.2">
      <c r="A30" s="5"/>
      <c r="B30" s="7"/>
      <c r="C30" s="6"/>
      <c r="D30" s="6"/>
      <c r="E30" s="6"/>
      <c r="F30" s="5"/>
      <c r="I30" s="5"/>
    </row>
    <row r="31" spans="1:9" ht="18" customHeight="1" x14ac:dyDescent="0.2">
      <c r="A31" s="5"/>
      <c r="B31" s="7"/>
      <c r="C31" s="5" t="s">
        <v>300</v>
      </c>
      <c r="D31" s="6"/>
      <c r="E31" s="6"/>
      <c r="F31" s="42"/>
      <c r="G31" s="5" t="s">
        <v>303</v>
      </c>
      <c r="I31" s="5"/>
    </row>
    <row r="32" spans="1:9" ht="18" customHeight="1" x14ac:dyDescent="0.2">
      <c r="A32" s="5"/>
      <c r="B32" s="7"/>
      <c r="C32" s="5"/>
      <c r="D32" s="222" t="s">
        <v>304</v>
      </c>
      <c r="E32" s="222"/>
      <c r="F32" s="222"/>
      <c r="I32" s="5"/>
    </row>
    <row r="33" spans="1:14" ht="18" customHeight="1" x14ac:dyDescent="0.2">
      <c r="A33" s="5"/>
      <c r="B33" s="7"/>
      <c r="C33" s="5"/>
      <c r="D33" s="213" t="s">
        <v>238</v>
      </c>
      <c r="E33" s="213"/>
      <c r="F33" s="213"/>
      <c r="I33" s="5"/>
    </row>
    <row r="34" spans="1:14" ht="18.75" customHeight="1" x14ac:dyDescent="0.2">
      <c r="A34" s="5"/>
      <c r="B34" s="7"/>
      <c r="C34" s="5"/>
      <c r="D34" s="43"/>
      <c r="E34" s="5"/>
      <c r="F34" s="5"/>
      <c r="I34" s="5"/>
    </row>
    <row r="35" spans="1:14" ht="18" customHeight="1" x14ac:dyDescent="0.2">
      <c r="A35" s="5"/>
      <c r="B35" s="7"/>
      <c r="C35" s="5" t="s">
        <v>300</v>
      </c>
      <c r="D35" s="5"/>
      <c r="E35" s="5"/>
      <c r="F35" s="5"/>
      <c r="G35" s="5" t="s">
        <v>303</v>
      </c>
      <c r="I35" s="5"/>
    </row>
    <row r="36" spans="1:14" ht="18" customHeight="1" x14ac:dyDescent="0.2">
      <c r="A36" s="5"/>
      <c r="B36" s="7"/>
      <c r="C36" s="5"/>
      <c r="D36" s="222" t="s">
        <v>305</v>
      </c>
      <c r="E36" s="222"/>
      <c r="F36" s="222"/>
      <c r="I36" s="5"/>
      <c r="L36" s="222"/>
      <c r="M36" s="222"/>
      <c r="N36" s="222"/>
    </row>
    <row r="37" spans="1:14" ht="18" customHeight="1" x14ac:dyDescent="0.2">
      <c r="A37" s="5"/>
      <c r="B37" s="7"/>
      <c r="C37" s="5"/>
      <c r="D37" s="221" t="s">
        <v>306</v>
      </c>
      <c r="E37" s="221"/>
      <c r="F37" s="221"/>
      <c r="I37" s="5"/>
      <c r="L37" s="221"/>
      <c r="M37" s="221"/>
      <c r="N37" s="221"/>
    </row>
    <row r="38" spans="1:14" ht="18.75" customHeight="1" x14ac:dyDescent="0.2">
      <c r="A38" s="5"/>
      <c r="B38" s="7"/>
      <c r="C38" s="5"/>
      <c r="D38" s="5"/>
      <c r="E38" s="5"/>
      <c r="F38" s="5"/>
      <c r="I38" s="5"/>
    </row>
    <row r="39" spans="1:14" ht="18" customHeight="1" x14ac:dyDescent="0.2">
      <c r="A39" s="5"/>
      <c r="B39" s="7"/>
      <c r="C39" s="5" t="s">
        <v>300</v>
      </c>
      <c r="D39" s="5"/>
      <c r="E39" s="5"/>
      <c r="F39" s="5"/>
      <c r="G39" s="208" t="s">
        <v>303</v>
      </c>
      <c r="H39" s="208"/>
      <c r="I39" s="5"/>
    </row>
    <row r="40" spans="1:14" ht="18" customHeight="1" x14ac:dyDescent="0.2">
      <c r="A40" s="5"/>
      <c r="B40" s="5"/>
      <c r="C40" s="5"/>
      <c r="D40" s="222" t="s">
        <v>307</v>
      </c>
      <c r="E40" s="222"/>
      <c r="F40" s="222"/>
      <c r="G40" s="5"/>
      <c r="H40" s="5"/>
      <c r="I40" s="5"/>
    </row>
    <row r="41" spans="1:14" ht="18" customHeight="1" x14ac:dyDescent="0.2">
      <c r="A41" s="5"/>
      <c r="B41" s="5"/>
      <c r="C41" s="5"/>
      <c r="D41" s="221" t="s">
        <v>308</v>
      </c>
      <c r="E41" s="221"/>
      <c r="F41" s="221"/>
      <c r="H41" s="39"/>
      <c r="I41" s="5"/>
    </row>
  </sheetData>
  <mergeCells count="21">
    <mergeCell ref="L37:N37"/>
    <mergeCell ref="B11:C11"/>
    <mergeCell ref="G11:I11"/>
    <mergeCell ref="G12:I12"/>
    <mergeCell ref="A2:I2"/>
    <mergeCell ref="L36:N36"/>
    <mergeCell ref="A3:I3"/>
    <mergeCell ref="A4:I4"/>
    <mergeCell ref="A6:I6"/>
    <mergeCell ref="A1:I1"/>
    <mergeCell ref="A5:I5"/>
    <mergeCell ref="D41:F41"/>
    <mergeCell ref="D24:F24"/>
    <mergeCell ref="D25:F25"/>
    <mergeCell ref="D28:F28"/>
    <mergeCell ref="D29:F29"/>
    <mergeCell ref="D32:F32"/>
    <mergeCell ref="D33:F33"/>
    <mergeCell ref="D36:F36"/>
    <mergeCell ref="D37:F37"/>
    <mergeCell ref="D40:F40"/>
  </mergeCells>
  <pageMargins left="0.70078740157480324" right="0.70078740157480324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B1AF9-3DC8-4195-85E9-BC3E0DE46C03}">
  <dimension ref="A1:K32"/>
  <sheetViews>
    <sheetView topLeftCell="A22" workbookViewId="0">
      <selection activeCell="J14" sqref="J14"/>
    </sheetView>
  </sheetViews>
  <sheetFormatPr defaultRowHeight="21.75" x14ac:dyDescent="0.2"/>
  <cols>
    <col min="1" max="1" width="3.125" style="5" customWidth="1"/>
    <col min="2" max="2" width="6.875" style="5" customWidth="1"/>
    <col min="3" max="3" width="8.75" style="5" customWidth="1"/>
    <col min="4" max="4" width="3.625" style="5" customWidth="1"/>
    <col min="5" max="5" width="7.875" style="5" customWidth="1"/>
    <col min="6" max="6" width="11.875" style="5" customWidth="1"/>
    <col min="7" max="7" width="5.5" style="5" customWidth="1"/>
    <col min="8" max="8" width="10.375" style="5" customWidth="1"/>
    <col min="9" max="9" width="9.625" style="5" customWidth="1"/>
    <col min="10" max="10" width="10.125" style="5" customWidth="1"/>
    <col min="11" max="11" width="3.75" style="5" customWidth="1"/>
    <col min="12" max="256" width="9" style="5"/>
    <col min="257" max="257" width="3.125" style="5" customWidth="1"/>
    <col min="258" max="258" width="6.875" style="5" customWidth="1"/>
    <col min="259" max="259" width="8.75" style="5" customWidth="1"/>
    <col min="260" max="260" width="3.625" style="5" customWidth="1"/>
    <col min="261" max="261" width="7.875" style="5" customWidth="1"/>
    <col min="262" max="262" width="11.875" style="5" customWidth="1"/>
    <col min="263" max="263" width="5.5" style="5" customWidth="1"/>
    <col min="264" max="264" width="10.375" style="5" customWidth="1"/>
    <col min="265" max="265" width="9.625" style="5" customWidth="1"/>
    <col min="266" max="266" width="6.875" style="5" customWidth="1"/>
    <col min="267" max="267" width="3.75" style="5" customWidth="1"/>
    <col min="268" max="512" width="9" style="5"/>
    <col min="513" max="513" width="3.125" style="5" customWidth="1"/>
    <col min="514" max="514" width="6.875" style="5" customWidth="1"/>
    <col min="515" max="515" width="8.75" style="5" customWidth="1"/>
    <col min="516" max="516" width="3.625" style="5" customWidth="1"/>
    <col min="517" max="517" width="7.875" style="5" customWidth="1"/>
    <col min="518" max="518" width="11.875" style="5" customWidth="1"/>
    <col min="519" max="519" width="5.5" style="5" customWidth="1"/>
    <col min="520" max="520" width="10.375" style="5" customWidth="1"/>
    <col min="521" max="521" width="9.625" style="5" customWidth="1"/>
    <col min="522" max="522" width="6.875" style="5" customWidth="1"/>
    <col min="523" max="523" width="3.75" style="5" customWidth="1"/>
    <col min="524" max="768" width="9" style="5"/>
    <col min="769" max="769" width="3.125" style="5" customWidth="1"/>
    <col min="770" max="770" width="6.875" style="5" customWidth="1"/>
    <col min="771" max="771" width="8.75" style="5" customWidth="1"/>
    <col min="772" max="772" width="3.625" style="5" customWidth="1"/>
    <col min="773" max="773" width="7.875" style="5" customWidth="1"/>
    <col min="774" max="774" width="11.875" style="5" customWidth="1"/>
    <col min="775" max="775" width="5.5" style="5" customWidth="1"/>
    <col min="776" max="776" width="10.375" style="5" customWidth="1"/>
    <col min="777" max="777" width="9.625" style="5" customWidth="1"/>
    <col min="778" max="778" width="6.875" style="5" customWidth="1"/>
    <col min="779" max="779" width="3.75" style="5" customWidth="1"/>
    <col min="780" max="1024" width="9" style="5"/>
    <col min="1025" max="1025" width="3.125" style="5" customWidth="1"/>
    <col min="1026" max="1026" width="6.875" style="5" customWidth="1"/>
    <col min="1027" max="1027" width="8.75" style="5" customWidth="1"/>
    <col min="1028" max="1028" width="3.625" style="5" customWidth="1"/>
    <col min="1029" max="1029" width="7.875" style="5" customWidth="1"/>
    <col min="1030" max="1030" width="11.875" style="5" customWidth="1"/>
    <col min="1031" max="1031" width="5.5" style="5" customWidth="1"/>
    <col min="1032" max="1032" width="10.375" style="5" customWidth="1"/>
    <col min="1033" max="1033" width="9.625" style="5" customWidth="1"/>
    <col min="1034" max="1034" width="6.875" style="5" customWidth="1"/>
    <col min="1035" max="1035" width="3.75" style="5" customWidth="1"/>
    <col min="1036" max="1280" width="9" style="5"/>
    <col min="1281" max="1281" width="3.125" style="5" customWidth="1"/>
    <col min="1282" max="1282" width="6.875" style="5" customWidth="1"/>
    <col min="1283" max="1283" width="8.75" style="5" customWidth="1"/>
    <col min="1284" max="1284" width="3.625" style="5" customWidth="1"/>
    <col min="1285" max="1285" width="7.875" style="5" customWidth="1"/>
    <col min="1286" max="1286" width="11.875" style="5" customWidth="1"/>
    <col min="1287" max="1287" width="5.5" style="5" customWidth="1"/>
    <col min="1288" max="1288" width="10.375" style="5" customWidth="1"/>
    <col min="1289" max="1289" width="9.625" style="5" customWidth="1"/>
    <col min="1290" max="1290" width="6.875" style="5" customWidth="1"/>
    <col min="1291" max="1291" width="3.75" style="5" customWidth="1"/>
    <col min="1292" max="1536" width="9" style="5"/>
    <col min="1537" max="1537" width="3.125" style="5" customWidth="1"/>
    <col min="1538" max="1538" width="6.875" style="5" customWidth="1"/>
    <col min="1539" max="1539" width="8.75" style="5" customWidth="1"/>
    <col min="1540" max="1540" width="3.625" style="5" customWidth="1"/>
    <col min="1541" max="1541" width="7.875" style="5" customWidth="1"/>
    <col min="1542" max="1542" width="11.875" style="5" customWidth="1"/>
    <col min="1543" max="1543" width="5.5" style="5" customWidth="1"/>
    <col min="1544" max="1544" width="10.375" style="5" customWidth="1"/>
    <col min="1545" max="1545" width="9.625" style="5" customWidth="1"/>
    <col min="1546" max="1546" width="6.875" style="5" customWidth="1"/>
    <col min="1547" max="1547" width="3.75" style="5" customWidth="1"/>
    <col min="1548" max="1792" width="9" style="5"/>
    <col min="1793" max="1793" width="3.125" style="5" customWidth="1"/>
    <col min="1794" max="1794" width="6.875" style="5" customWidth="1"/>
    <col min="1795" max="1795" width="8.75" style="5" customWidth="1"/>
    <col min="1796" max="1796" width="3.625" style="5" customWidth="1"/>
    <col min="1797" max="1797" width="7.875" style="5" customWidth="1"/>
    <col min="1798" max="1798" width="11.875" style="5" customWidth="1"/>
    <col min="1799" max="1799" width="5.5" style="5" customWidth="1"/>
    <col min="1800" max="1800" width="10.375" style="5" customWidth="1"/>
    <col min="1801" max="1801" width="9.625" style="5" customWidth="1"/>
    <col min="1802" max="1802" width="6.875" style="5" customWidth="1"/>
    <col min="1803" max="1803" width="3.75" style="5" customWidth="1"/>
    <col min="1804" max="2048" width="9" style="5"/>
    <col min="2049" max="2049" width="3.125" style="5" customWidth="1"/>
    <col min="2050" max="2050" width="6.875" style="5" customWidth="1"/>
    <col min="2051" max="2051" width="8.75" style="5" customWidth="1"/>
    <col min="2052" max="2052" width="3.625" style="5" customWidth="1"/>
    <col min="2053" max="2053" width="7.875" style="5" customWidth="1"/>
    <col min="2054" max="2054" width="11.875" style="5" customWidth="1"/>
    <col min="2055" max="2055" width="5.5" style="5" customWidth="1"/>
    <col min="2056" max="2056" width="10.375" style="5" customWidth="1"/>
    <col min="2057" max="2057" width="9.625" style="5" customWidth="1"/>
    <col min="2058" max="2058" width="6.875" style="5" customWidth="1"/>
    <col min="2059" max="2059" width="3.75" style="5" customWidth="1"/>
    <col min="2060" max="2304" width="9" style="5"/>
    <col min="2305" max="2305" width="3.125" style="5" customWidth="1"/>
    <col min="2306" max="2306" width="6.875" style="5" customWidth="1"/>
    <col min="2307" max="2307" width="8.75" style="5" customWidth="1"/>
    <col min="2308" max="2308" width="3.625" style="5" customWidth="1"/>
    <col min="2309" max="2309" width="7.875" style="5" customWidth="1"/>
    <col min="2310" max="2310" width="11.875" style="5" customWidth="1"/>
    <col min="2311" max="2311" width="5.5" style="5" customWidth="1"/>
    <col min="2312" max="2312" width="10.375" style="5" customWidth="1"/>
    <col min="2313" max="2313" width="9.625" style="5" customWidth="1"/>
    <col min="2314" max="2314" width="6.875" style="5" customWidth="1"/>
    <col min="2315" max="2315" width="3.75" style="5" customWidth="1"/>
    <col min="2316" max="2560" width="9" style="5"/>
    <col min="2561" max="2561" width="3.125" style="5" customWidth="1"/>
    <col min="2562" max="2562" width="6.875" style="5" customWidth="1"/>
    <col min="2563" max="2563" width="8.75" style="5" customWidth="1"/>
    <col min="2564" max="2564" width="3.625" style="5" customWidth="1"/>
    <col min="2565" max="2565" width="7.875" style="5" customWidth="1"/>
    <col min="2566" max="2566" width="11.875" style="5" customWidth="1"/>
    <col min="2567" max="2567" width="5.5" style="5" customWidth="1"/>
    <col min="2568" max="2568" width="10.375" style="5" customWidth="1"/>
    <col min="2569" max="2569" width="9.625" style="5" customWidth="1"/>
    <col min="2570" max="2570" width="6.875" style="5" customWidth="1"/>
    <col min="2571" max="2571" width="3.75" style="5" customWidth="1"/>
    <col min="2572" max="2816" width="9" style="5"/>
    <col min="2817" max="2817" width="3.125" style="5" customWidth="1"/>
    <col min="2818" max="2818" width="6.875" style="5" customWidth="1"/>
    <col min="2819" max="2819" width="8.75" style="5" customWidth="1"/>
    <col min="2820" max="2820" width="3.625" style="5" customWidth="1"/>
    <col min="2821" max="2821" width="7.875" style="5" customWidth="1"/>
    <col min="2822" max="2822" width="11.875" style="5" customWidth="1"/>
    <col min="2823" max="2823" width="5.5" style="5" customWidth="1"/>
    <col min="2824" max="2824" width="10.375" style="5" customWidth="1"/>
    <col min="2825" max="2825" width="9.625" style="5" customWidth="1"/>
    <col min="2826" max="2826" width="6.875" style="5" customWidth="1"/>
    <col min="2827" max="2827" width="3.75" style="5" customWidth="1"/>
    <col min="2828" max="3072" width="9" style="5"/>
    <col min="3073" max="3073" width="3.125" style="5" customWidth="1"/>
    <col min="3074" max="3074" width="6.875" style="5" customWidth="1"/>
    <col min="3075" max="3075" width="8.75" style="5" customWidth="1"/>
    <col min="3076" max="3076" width="3.625" style="5" customWidth="1"/>
    <col min="3077" max="3077" width="7.875" style="5" customWidth="1"/>
    <col min="3078" max="3078" width="11.875" style="5" customWidth="1"/>
    <col min="3079" max="3079" width="5.5" style="5" customWidth="1"/>
    <col min="3080" max="3080" width="10.375" style="5" customWidth="1"/>
    <col min="3081" max="3081" width="9.625" style="5" customWidth="1"/>
    <col min="3082" max="3082" width="6.875" style="5" customWidth="1"/>
    <col min="3083" max="3083" width="3.75" style="5" customWidth="1"/>
    <col min="3084" max="3328" width="9" style="5"/>
    <col min="3329" max="3329" width="3.125" style="5" customWidth="1"/>
    <col min="3330" max="3330" width="6.875" style="5" customWidth="1"/>
    <col min="3331" max="3331" width="8.75" style="5" customWidth="1"/>
    <col min="3332" max="3332" width="3.625" style="5" customWidth="1"/>
    <col min="3333" max="3333" width="7.875" style="5" customWidth="1"/>
    <col min="3334" max="3334" width="11.875" style="5" customWidth="1"/>
    <col min="3335" max="3335" width="5.5" style="5" customWidth="1"/>
    <col min="3336" max="3336" width="10.375" style="5" customWidth="1"/>
    <col min="3337" max="3337" width="9.625" style="5" customWidth="1"/>
    <col min="3338" max="3338" width="6.875" style="5" customWidth="1"/>
    <col min="3339" max="3339" width="3.75" style="5" customWidth="1"/>
    <col min="3340" max="3584" width="9" style="5"/>
    <col min="3585" max="3585" width="3.125" style="5" customWidth="1"/>
    <col min="3586" max="3586" width="6.875" style="5" customWidth="1"/>
    <col min="3587" max="3587" width="8.75" style="5" customWidth="1"/>
    <col min="3588" max="3588" width="3.625" style="5" customWidth="1"/>
    <col min="3589" max="3589" width="7.875" style="5" customWidth="1"/>
    <col min="3590" max="3590" width="11.875" style="5" customWidth="1"/>
    <col min="3591" max="3591" width="5.5" style="5" customWidth="1"/>
    <col min="3592" max="3592" width="10.375" style="5" customWidth="1"/>
    <col min="3593" max="3593" width="9.625" style="5" customWidth="1"/>
    <col min="3594" max="3594" width="6.875" style="5" customWidth="1"/>
    <col min="3595" max="3595" width="3.75" style="5" customWidth="1"/>
    <col min="3596" max="3840" width="9" style="5"/>
    <col min="3841" max="3841" width="3.125" style="5" customWidth="1"/>
    <col min="3842" max="3842" width="6.875" style="5" customWidth="1"/>
    <col min="3843" max="3843" width="8.75" style="5" customWidth="1"/>
    <col min="3844" max="3844" width="3.625" style="5" customWidth="1"/>
    <col min="3845" max="3845" width="7.875" style="5" customWidth="1"/>
    <col min="3846" max="3846" width="11.875" style="5" customWidth="1"/>
    <col min="3847" max="3847" width="5.5" style="5" customWidth="1"/>
    <col min="3848" max="3848" width="10.375" style="5" customWidth="1"/>
    <col min="3849" max="3849" width="9.625" style="5" customWidth="1"/>
    <col min="3850" max="3850" width="6.875" style="5" customWidth="1"/>
    <col min="3851" max="3851" width="3.75" style="5" customWidth="1"/>
    <col min="3852" max="4096" width="9" style="5"/>
    <col min="4097" max="4097" width="3.125" style="5" customWidth="1"/>
    <col min="4098" max="4098" width="6.875" style="5" customWidth="1"/>
    <col min="4099" max="4099" width="8.75" style="5" customWidth="1"/>
    <col min="4100" max="4100" width="3.625" style="5" customWidth="1"/>
    <col min="4101" max="4101" width="7.875" style="5" customWidth="1"/>
    <col min="4102" max="4102" width="11.875" style="5" customWidth="1"/>
    <col min="4103" max="4103" width="5.5" style="5" customWidth="1"/>
    <col min="4104" max="4104" width="10.375" style="5" customWidth="1"/>
    <col min="4105" max="4105" width="9.625" style="5" customWidth="1"/>
    <col min="4106" max="4106" width="6.875" style="5" customWidth="1"/>
    <col min="4107" max="4107" width="3.75" style="5" customWidth="1"/>
    <col min="4108" max="4352" width="9" style="5"/>
    <col min="4353" max="4353" width="3.125" style="5" customWidth="1"/>
    <col min="4354" max="4354" width="6.875" style="5" customWidth="1"/>
    <col min="4355" max="4355" width="8.75" style="5" customWidth="1"/>
    <col min="4356" max="4356" width="3.625" style="5" customWidth="1"/>
    <col min="4357" max="4357" width="7.875" style="5" customWidth="1"/>
    <col min="4358" max="4358" width="11.875" style="5" customWidth="1"/>
    <col min="4359" max="4359" width="5.5" style="5" customWidth="1"/>
    <col min="4360" max="4360" width="10.375" style="5" customWidth="1"/>
    <col min="4361" max="4361" width="9.625" style="5" customWidth="1"/>
    <col min="4362" max="4362" width="6.875" style="5" customWidth="1"/>
    <col min="4363" max="4363" width="3.75" style="5" customWidth="1"/>
    <col min="4364" max="4608" width="9" style="5"/>
    <col min="4609" max="4609" width="3.125" style="5" customWidth="1"/>
    <col min="4610" max="4610" width="6.875" style="5" customWidth="1"/>
    <col min="4611" max="4611" width="8.75" style="5" customWidth="1"/>
    <col min="4612" max="4612" width="3.625" style="5" customWidth="1"/>
    <col min="4613" max="4613" width="7.875" style="5" customWidth="1"/>
    <col min="4614" max="4614" width="11.875" style="5" customWidth="1"/>
    <col min="4615" max="4615" width="5.5" style="5" customWidth="1"/>
    <col min="4616" max="4616" width="10.375" style="5" customWidth="1"/>
    <col min="4617" max="4617" width="9.625" style="5" customWidth="1"/>
    <col min="4618" max="4618" width="6.875" style="5" customWidth="1"/>
    <col min="4619" max="4619" width="3.75" style="5" customWidth="1"/>
    <col min="4620" max="4864" width="9" style="5"/>
    <col min="4865" max="4865" width="3.125" style="5" customWidth="1"/>
    <col min="4866" max="4866" width="6.875" style="5" customWidth="1"/>
    <col min="4867" max="4867" width="8.75" style="5" customWidth="1"/>
    <col min="4868" max="4868" width="3.625" style="5" customWidth="1"/>
    <col min="4869" max="4869" width="7.875" style="5" customWidth="1"/>
    <col min="4870" max="4870" width="11.875" style="5" customWidth="1"/>
    <col min="4871" max="4871" width="5.5" style="5" customWidth="1"/>
    <col min="4872" max="4872" width="10.375" style="5" customWidth="1"/>
    <col min="4873" max="4873" width="9.625" style="5" customWidth="1"/>
    <col min="4874" max="4874" width="6.875" style="5" customWidth="1"/>
    <col min="4875" max="4875" width="3.75" style="5" customWidth="1"/>
    <col min="4876" max="5120" width="9" style="5"/>
    <col min="5121" max="5121" width="3.125" style="5" customWidth="1"/>
    <col min="5122" max="5122" width="6.875" style="5" customWidth="1"/>
    <col min="5123" max="5123" width="8.75" style="5" customWidth="1"/>
    <col min="5124" max="5124" width="3.625" style="5" customWidth="1"/>
    <col min="5125" max="5125" width="7.875" style="5" customWidth="1"/>
    <col min="5126" max="5126" width="11.875" style="5" customWidth="1"/>
    <col min="5127" max="5127" width="5.5" style="5" customWidth="1"/>
    <col min="5128" max="5128" width="10.375" style="5" customWidth="1"/>
    <col min="5129" max="5129" width="9.625" style="5" customWidth="1"/>
    <col min="5130" max="5130" width="6.875" style="5" customWidth="1"/>
    <col min="5131" max="5131" width="3.75" style="5" customWidth="1"/>
    <col min="5132" max="5376" width="9" style="5"/>
    <col min="5377" max="5377" width="3.125" style="5" customWidth="1"/>
    <col min="5378" max="5378" width="6.875" style="5" customWidth="1"/>
    <col min="5379" max="5379" width="8.75" style="5" customWidth="1"/>
    <col min="5380" max="5380" width="3.625" style="5" customWidth="1"/>
    <col min="5381" max="5381" width="7.875" style="5" customWidth="1"/>
    <col min="5382" max="5382" width="11.875" style="5" customWidth="1"/>
    <col min="5383" max="5383" width="5.5" style="5" customWidth="1"/>
    <col min="5384" max="5384" width="10.375" style="5" customWidth="1"/>
    <col min="5385" max="5385" width="9.625" style="5" customWidth="1"/>
    <col min="5386" max="5386" width="6.875" style="5" customWidth="1"/>
    <col min="5387" max="5387" width="3.75" style="5" customWidth="1"/>
    <col min="5388" max="5632" width="9" style="5"/>
    <col min="5633" max="5633" width="3.125" style="5" customWidth="1"/>
    <col min="5634" max="5634" width="6.875" style="5" customWidth="1"/>
    <col min="5635" max="5635" width="8.75" style="5" customWidth="1"/>
    <col min="5636" max="5636" width="3.625" style="5" customWidth="1"/>
    <col min="5637" max="5637" width="7.875" style="5" customWidth="1"/>
    <col min="5638" max="5638" width="11.875" style="5" customWidth="1"/>
    <col min="5639" max="5639" width="5.5" style="5" customWidth="1"/>
    <col min="5640" max="5640" width="10.375" style="5" customWidth="1"/>
    <col min="5641" max="5641" width="9.625" style="5" customWidth="1"/>
    <col min="5642" max="5642" width="6.875" style="5" customWidth="1"/>
    <col min="5643" max="5643" width="3.75" style="5" customWidth="1"/>
    <col min="5644" max="5888" width="9" style="5"/>
    <col min="5889" max="5889" width="3.125" style="5" customWidth="1"/>
    <col min="5890" max="5890" width="6.875" style="5" customWidth="1"/>
    <col min="5891" max="5891" width="8.75" style="5" customWidth="1"/>
    <col min="5892" max="5892" width="3.625" style="5" customWidth="1"/>
    <col min="5893" max="5893" width="7.875" style="5" customWidth="1"/>
    <col min="5894" max="5894" width="11.875" style="5" customWidth="1"/>
    <col min="5895" max="5895" width="5.5" style="5" customWidth="1"/>
    <col min="5896" max="5896" width="10.375" style="5" customWidth="1"/>
    <col min="5897" max="5897" width="9.625" style="5" customWidth="1"/>
    <col min="5898" max="5898" width="6.875" style="5" customWidth="1"/>
    <col min="5899" max="5899" width="3.75" style="5" customWidth="1"/>
    <col min="5900" max="6144" width="9" style="5"/>
    <col min="6145" max="6145" width="3.125" style="5" customWidth="1"/>
    <col min="6146" max="6146" width="6.875" style="5" customWidth="1"/>
    <col min="6147" max="6147" width="8.75" style="5" customWidth="1"/>
    <col min="6148" max="6148" width="3.625" style="5" customWidth="1"/>
    <col min="6149" max="6149" width="7.875" style="5" customWidth="1"/>
    <col min="6150" max="6150" width="11.875" style="5" customWidth="1"/>
    <col min="6151" max="6151" width="5.5" style="5" customWidth="1"/>
    <col min="6152" max="6152" width="10.375" style="5" customWidth="1"/>
    <col min="6153" max="6153" width="9.625" style="5" customWidth="1"/>
    <col min="6154" max="6154" width="6.875" style="5" customWidth="1"/>
    <col min="6155" max="6155" width="3.75" style="5" customWidth="1"/>
    <col min="6156" max="6400" width="9" style="5"/>
    <col min="6401" max="6401" width="3.125" style="5" customWidth="1"/>
    <col min="6402" max="6402" width="6.875" style="5" customWidth="1"/>
    <col min="6403" max="6403" width="8.75" style="5" customWidth="1"/>
    <col min="6404" max="6404" width="3.625" style="5" customWidth="1"/>
    <col min="6405" max="6405" width="7.875" style="5" customWidth="1"/>
    <col min="6406" max="6406" width="11.875" style="5" customWidth="1"/>
    <col min="6407" max="6407" width="5.5" style="5" customWidth="1"/>
    <col min="6408" max="6408" width="10.375" style="5" customWidth="1"/>
    <col min="6409" max="6409" width="9.625" style="5" customWidth="1"/>
    <col min="6410" max="6410" width="6.875" style="5" customWidth="1"/>
    <col min="6411" max="6411" width="3.75" style="5" customWidth="1"/>
    <col min="6412" max="6656" width="9" style="5"/>
    <col min="6657" max="6657" width="3.125" style="5" customWidth="1"/>
    <col min="6658" max="6658" width="6.875" style="5" customWidth="1"/>
    <col min="6659" max="6659" width="8.75" style="5" customWidth="1"/>
    <col min="6660" max="6660" width="3.625" style="5" customWidth="1"/>
    <col min="6661" max="6661" width="7.875" style="5" customWidth="1"/>
    <col min="6662" max="6662" width="11.875" style="5" customWidth="1"/>
    <col min="6663" max="6663" width="5.5" style="5" customWidth="1"/>
    <col min="6664" max="6664" width="10.375" style="5" customWidth="1"/>
    <col min="6665" max="6665" width="9.625" style="5" customWidth="1"/>
    <col min="6666" max="6666" width="6.875" style="5" customWidth="1"/>
    <col min="6667" max="6667" width="3.75" style="5" customWidth="1"/>
    <col min="6668" max="6912" width="9" style="5"/>
    <col min="6913" max="6913" width="3.125" style="5" customWidth="1"/>
    <col min="6914" max="6914" width="6.875" style="5" customWidth="1"/>
    <col min="6915" max="6915" width="8.75" style="5" customWidth="1"/>
    <col min="6916" max="6916" width="3.625" style="5" customWidth="1"/>
    <col min="6917" max="6917" width="7.875" style="5" customWidth="1"/>
    <col min="6918" max="6918" width="11.875" style="5" customWidth="1"/>
    <col min="6919" max="6919" width="5.5" style="5" customWidth="1"/>
    <col min="6920" max="6920" width="10.375" style="5" customWidth="1"/>
    <col min="6921" max="6921" width="9.625" style="5" customWidth="1"/>
    <col min="6922" max="6922" width="6.875" style="5" customWidth="1"/>
    <col min="6923" max="6923" width="3.75" style="5" customWidth="1"/>
    <col min="6924" max="7168" width="9" style="5"/>
    <col min="7169" max="7169" width="3.125" style="5" customWidth="1"/>
    <col min="7170" max="7170" width="6.875" style="5" customWidth="1"/>
    <col min="7171" max="7171" width="8.75" style="5" customWidth="1"/>
    <col min="7172" max="7172" width="3.625" style="5" customWidth="1"/>
    <col min="7173" max="7173" width="7.875" style="5" customWidth="1"/>
    <col min="7174" max="7174" width="11.875" style="5" customWidth="1"/>
    <col min="7175" max="7175" width="5.5" style="5" customWidth="1"/>
    <col min="7176" max="7176" width="10.375" style="5" customWidth="1"/>
    <col min="7177" max="7177" width="9.625" style="5" customWidth="1"/>
    <col min="7178" max="7178" width="6.875" style="5" customWidth="1"/>
    <col min="7179" max="7179" width="3.75" style="5" customWidth="1"/>
    <col min="7180" max="7424" width="9" style="5"/>
    <col min="7425" max="7425" width="3.125" style="5" customWidth="1"/>
    <col min="7426" max="7426" width="6.875" style="5" customWidth="1"/>
    <col min="7427" max="7427" width="8.75" style="5" customWidth="1"/>
    <col min="7428" max="7428" width="3.625" style="5" customWidth="1"/>
    <col min="7429" max="7429" width="7.875" style="5" customWidth="1"/>
    <col min="7430" max="7430" width="11.875" style="5" customWidth="1"/>
    <col min="7431" max="7431" width="5.5" style="5" customWidth="1"/>
    <col min="7432" max="7432" width="10.375" style="5" customWidth="1"/>
    <col min="7433" max="7433" width="9.625" style="5" customWidth="1"/>
    <col min="7434" max="7434" width="6.875" style="5" customWidth="1"/>
    <col min="7435" max="7435" width="3.75" style="5" customWidth="1"/>
    <col min="7436" max="7680" width="9" style="5"/>
    <col min="7681" max="7681" width="3.125" style="5" customWidth="1"/>
    <col min="7682" max="7682" width="6.875" style="5" customWidth="1"/>
    <col min="7683" max="7683" width="8.75" style="5" customWidth="1"/>
    <col min="7684" max="7684" width="3.625" style="5" customWidth="1"/>
    <col min="7685" max="7685" width="7.875" style="5" customWidth="1"/>
    <col min="7686" max="7686" width="11.875" style="5" customWidth="1"/>
    <col min="7687" max="7687" width="5.5" style="5" customWidth="1"/>
    <col min="7688" max="7688" width="10.375" style="5" customWidth="1"/>
    <col min="7689" max="7689" width="9.625" style="5" customWidth="1"/>
    <col min="7690" max="7690" width="6.875" style="5" customWidth="1"/>
    <col min="7691" max="7691" width="3.75" style="5" customWidth="1"/>
    <col min="7692" max="7936" width="9" style="5"/>
    <col min="7937" max="7937" width="3.125" style="5" customWidth="1"/>
    <col min="7938" max="7938" width="6.875" style="5" customWidth="1"/>
    <col min="7939" max="7939" width="8.75" style="5" customWidth="1"/>
    <col min="7940" max="7940" width="3.625" style="5" customWidth="1"/>
    <col min="7941" max="7941" width="7.875" style="5" customWidth="1"/>
    <col min="7942" max="7942" width="11.875" style="5" customWidth="1"/>
    <col min="7943" max="7943" width="5.5" style="5" customWidth="1"/>
    <col min="7944" max="7944" width="10.375" style="5" customWidth="1"/>
    <col min="7945" max="7945" width="9.625" style="5" customWidth="1"/>
    <col min="7946" max="7946" width="6.875" style="5" customWidth="1"/>
    <col min="7947" max="7947" width="3.75" style="5" customWidth="1"/>
    <col min="7948" max="8192" width="9" style="5"/>
    <col min="8193" max="8193" width="3.125" style="5" customWidth="1"/>
    <col min="8194" max="8194" width="6.875" style="5" customWidth="1"/>
    <col min="8195" max="8195" width="8.75" style="5" customWidth="1"/>
    <col min="8196" max="8196" width="3.625" style="5" customWidth="1"/>
    <col min="8197" max="8197" width="7.875" style="5" customWidth="1"/>
    <col min="8198" max="8198" width="11.875" style="5" customWidth="1"/>
    <col min="8199" max="8199" width="5.5" style="5" customWidth="1"/>
    <col min="8200" max="8200" width="10.375" style="5" customWidth="1"/>
    <col min="8201" max="8201" width="9.625" style="5" customWidth="1"/>
    <col min="8202" max="8202" width="6.875" style="5" customWidth="1"/>
    <col min="8203" max="8203" width="3.75" style="5" customWidth="1"/>
    <col min="8204" max="8448" width="9" style="5"/>
    <col min="8449" max="8449" width="3.125" style="5" customWidth="1"/>
    <col min="8450" max="8450" width="6.875" style="5" customWidth="1"/>
    <col min="8451" max="8451" width="8.75" style="5" customWidth="1"/>
    <col min="8452" max="8452" width="3.625" style="5" customWidth="1"/>
    <col min="8453" max="8453" width="7.875" style="5" customWidth="1"/>
    <col min="8454" max="8454" width="11.875" style="5" customWidth="1"/>
    <col min="8455" max="8455" width="5.5" style="5" customWidth="1"/>
    <col min="8456" max="8456" width="10.375" style="5" customWidth="1"/>
    <col min="8457" max="8457" width="9.625" style="5" customWidth="1"/>
    <col min="8458" max="8458" width="6.875" style="5" customWidth="1"/>
    <col min="8459" max="8459" width="3.75" style="5" customWidth="1"/>
    <col min="8460" max="8704" width="9" style="5"/>
    <col min="8705" max="8705" width="3.125" style="5" customWidth="1"/>
    <col min="8706" max="8706" width="6.875" style="5" customWidth="1"/>
    <col min="8707" max="8707" width="8.75" style="5" customWidth="1"/>
    <col min="8708" max="8708" width="3.625" style="5" customWidth="1"/>
    <col min="8709" max="8709" width="7.875" style="5" customWidth="1"/>
    <col min="8710" max="8710" width="11.875" style="5" customWidth="1"/>
    <col min="8711" max="8711" width="5.5" style="5" customWidth="1"/>
    <col min="8712" max="8712" width="10.375" style="5" customWidth="1"/>
    <col min="8713" max="8713" width="9.625" style="5" customWidth="1"/>
    <col min="8714" max="8714" width="6.875" style="5" customWidth="1"/>
    <col min="8715" max="8715" width="3.75" style="5" customWidth="1"/>
    <col min="8716" max="8960" width="9" style="5"/>
    <col min="8961" max="8961" width="3.125" style="5" customWidth="1"/>
    <col min="8962" max="8962" width="6.875" style="5" customWidth="1"/>
    <col min="8963" max="8963" width="8.75" style="5" customWidth="1"/>
    <col min="8964" max="8964" width="3.625" style="5" customWidth="1"/>
    <col min="8965" max="8965" width="7.875" style="5" customWidth="1"/>
    <col min="8966" max="8966" width="11.875" style="5" customWidth="1"/>
    <col min="8967" max="8967" width="5.5" style="5" customWidth="1"/>
    <col min="8968" max="8968" width="10.375" style="5" customWidth="1"/>
    <col min="8969" max="8969" width="9.625" style="5" customWidth="1"/>
    <col min="8970" max="8970" width="6.875" style="5" customWidth="1"/>
    <col min="8971" max="8971" width="3.75" style="5" customWidth="1"/>
    <col min="8972" max="9216" width="9" style="5"/>
    <col min="9217" max="9217" width="3.125" style="5" customWidth="1"/>
    <col min="9218" max="9218" width="6.875" style="5" customWidth="1"/>
    <col min="9219" max="9219" width="8.75" style="5" customWidth="1"/>
    <col min="9220" max="9220" width="3.625" style="5" customWidth="1"/>
    <col min="9221" max="9221" width="7.875" style="5" customWidth="1"/>
    <col min="9222" max="9222" width="11.875" style="5" customWidth="1"/>
    <col min="9223" max="9223" width="5.5" style="5" customWidth="1"/>
    <col min="9224" max="9224" width="10.375" style="5" customWidth="1"/>
    <col min="9225" max="9225" width="9.625" style="5" customWidth="1"/>
    <col min="9226" max="9226" width="6.875" style="5" customWidth="1"/>
    <col min="9227" max="9227" width="3.75" style="5" customWidth="1"/>
    <col min="9228" max="9472" width="9" style="5"/>
    <col min="9473" max="9473" width="3.125" style="5" customWidth="1"/>
    <col min="9474" max="9474" width="6.875" style="5" customWidth="1"/>
    <col min="9475" max="9475" width="8.75" style="5" customWidth="1"/>
    <col min="9476" max="9476" width="3.625" style="5" customWidth="1"/>
    <col min="9477" max="9477" width="7.875" style="5" customWidth="1"/>
    <col min="9478" max="9478" width="11.875" style="5" customWidth="1"/>
    <col min="9479" max="9479" width="5.5" style="5" customWidth="1"/>
    <col min="9480" max="9480" width="10.375" style="5" customWidth="1"/>
    <col min="9481" max="9481" width="9.625" style="5" customWidth="1"/>
    <col min="9482" max="9482" width="6.875" style="5" customWidth="1"/>
    <col min="9483" max="9483" width="3.75" style="5" customWidth="1"/>
    <col min="9484" max="9728" width="9" style="5"/>
    <col min="9729" max="9729" width="3.125" style="5" customWidth="1"/>
    <col min="9730" max="9730" width="6.875" style="5" customWidth="1"/>
    <col min="9731" max="9731" width="8.75" style="5" customWidth="1"/>
    <col min="9732" max="9732" width="3.625" style="5" customWidth="1"/>
    <col min="9733" max="9733" width="7.875" style="5" customWidth="1"/>
    <col min="9734" max="9734" width="11.875" style="5" customWidth="1"/>
    <col min="9735" max="9735" width="5.5" style="5" customWidth="1"/>
    <col min="9736" max="9736" width="10.375" style="5" customWidth="1"/>
    <col min="9737" max="9737" width="9.625" style="5" customWidth="1"/>
    <col min="9738" max="9738" width="6.875" style="5" customWidth="1"/>
    <col min="9739" max="9739" width="3.75" style="5" customWidth="1"/>
    <col min="9740" max="9984" width="9" style="5"/>
    <col min="9985" max="9985" width="3.125" style="5" customWidth="1"/>
    <col min="9986" max="9986" width="6.875" style="5" customWidth="1"/>
    <col min="9987" max="9987" width="8.75" style="5" customWidth="1"/>
    <col min="9988" max="9988" width="3.625" style="5" customWidth="1"/>
    <col min="9989" max="9989" width="7.875" style="5" customWidth="1"/>
    <col min="9990" max="9990" width="11.875" style="5" customWidth="1"/>
    <col min="9991" max="9991" width="5.5" style="5" customWidth="1"/>
    <col min="9992" max="9992" width="10.375" style="5" customWidth="1"/>
    <col min="9993" max="9993" width="9.625" style="5" customWidth="1"/>
    <col min="9994" max="9994" width="6.875" style="5" customWidth="1"/>
    <col min="9995" max="9995" width="3.75" style="5" customWidth="1"/>
    <col min="9996" max="10240" width="9" style="5"/>
    <col min="10241" max="10241" width="3.125" style="5" customWidth="1"/>
    <col min="10242" max="10242" width="6.875" style="5" customWidth="1"/>
    <col min="10243" max="10243" width="8.75" style="5" customWidth="1"/>
    <col min="10244" max="10244" width="3.625" style="5" customWidth="1"/>
    <col min="10245" max="10245" width="7.875" style="5" customWidth="1"/>
    <col min="10246" max="10246" width="11.875" style="5" customWidth="1"/>
    <col min="10247" max="10247" width="5.5" style="5" customWidth="1"/>
    <col min="10248" max="10248" width="10.375" style="5" customWidth="1"/>
    <col min="10249" max="10249" width="9.625" style="5" customWidth="1"/>
    <col min="10250" max="10250" width="6.875" style="5" customWidth="1"/>
    <col min="10251" max="10251" width="3.75" style="5" customWidth="1"/>
    <col min="10252" max="10496" width="9" style="5"/>
    <col min="10497" max="10497" width="3.125" style="5" customWidth="1"/>
    <col min="10498" max="10498" width="6.875" style="5" customWidth="1"/>
    <col min="10499" max="10499" width="8.75" style="5" customWidth="1"/>
    <col min="10500" max="10500" width="3.625" style="5" customWidth="1"/>
    <col min="10501" max="10501" width="7.875" style="5" customWidth="1"/>
    <col min="10502" max="10502" width="11.875" style="5" customWidth="1"/>
    <col min="10503" max="10503" width="5.5" style="5" customWidth="1"/>
    <col min="10504" max="10504" width="10.375" style="5" customWidth="1"/>
    <col min="10505" max="10505" width="9.625" style="5" customWidth="1"/>
    <col min="10506" max="10506" width="6.875" style="5" customWidth="1"/>
    <col min="10507" max="10507" width="3.75" style="5" customWidth="1"/>
    <col min="10508" max="10752" width="9" style="5"/>
    <col min="10753" max="10753" width="3.125" style="5" customWidth="1"/>
    <col min="10754" max="10754" width="6.875" style="5" customWidth="1"/>
    <col min="10755" max="10755" width="8.75" style="5" customWidth="1"/>
    <col min="10756" max="10756" width="3.625" style="5" customWidth="1"/>
    <col min="10757" max="10757" width="7.875" style="5" customWidth="1"/>
    <col min="10758" max="10758" width="11.875" style="5" customWidth="1"/>
    <col min="10759" max="10759" width="5.5" style="5" customWidth="1"/>
    <col min="10760" max="10760" width="10.375" style="5" customWidth="1"/>
    <col min="10761" max="10761" width="9.625" style="5" customWidth="1"/>
    <col min="10762" max="10762" width="6.875" style="5" customWidth="1"/>
    <col min="10763" max="10763" width="3.75" style="5" customWidth="1"/>
    <col min="10764" max="11008" width="9" style="5"/>
    <col min="11009" max="11009" width="3.125" style="5" customWidth="1"/>
    <col min="11010" max="11010" width="6.875" style="5" customWidth="1"/>
    <col min="11011" max="11011" width="8.75" style="5" customWidth="1"/>
    <col min="11012" max="11012" width="3.625" style="5" customWidth="1"/>
    <col min="11013" max="11013" width="7.875" style="5" customWidth="1"/>
    <col min="11014" max="11014" width="11.875" style="5" customWidth="1"/>
    <col min="11015" max="11015" width="5.5" style="5" customWidth="1"/>
    <col min="11016" max="11016" width="10.375" style="5" customWidth="1"/>
    <col min="11017" max="11017" width="9.625" style="5" customWidth="1"/>
    <col min="11018" max="11018" width="6.875" style="5" customWidth="1"/>
    <col min="11019" max="11019" width="3.75" style="5" customWidth="1"/>
    <col min="11020" max="11264" width="9" style="5"/>
    <col min="11265" max="11265" width="3.125" style="5" customWidth="1"/>
    <col min="11266" max="11266" width="6.875" style="5" customWidth="1"/>
    <col min="11267" max="11267" width="8.75" style="5" customWidth="1"/>
    <col min="11268" max="11268" width="3.625" style="5" customWidth="1"/>
    <col min="11269" max="11269" width="7.875" style="5" customWidth="1"/>
    <col min="11270" max="11270" width="11.875" style="5" customWidth="1"/>
    <col min="11271" max="11271" width="5.5" style="5" customWidth="1"/>
    <col min="11272" max="11272" width="10.375" style="5" customWidth="1"/>
    <col min="11273" max="11273" width="9.625" style="5" customWidth="1"/>
    <col min="11274" max="11274" width="6.875" style="5" customWidth="1"/>
    <col min="11275" max="11275" width="3.75" style="5" customWidth="1"/>
    <col min="11276" max="11520" width="9" style="5"/>
    <col min="11521" max="11521" width="3.125" style="5" customWidth="1"/>
    <col min="11522" max="11522" width="6.875" style="5" customWidth="1"/>
    <col min="11523" max="11523" width="8.75" style="5" customWidth="1"/>
    <col min="11524" max="11524" width="3.625" style="5" customWidth="1"/>
    <col min="11525" max="11525" width="7.875" style="5" customWidth="1"/>
    <col min="11526" max="11526" width="11.875" style="5" customWidth="1"/>
    <col min="11527" max="11527" width="5.5" style="5" customWidth="1"/>
    <col min="11528" max="11528" width="10.375" style="5" customWidth="1"/>
    <col min="11529" max="11529" width="9.625" style="5" customWidth="1"/>
    <col min="11530" max="11530" width="6.875" style="5" customWidth="1"/>
    <col min="11531" max="11531" width="3.75" style="5" customWidth="1"/>
    <col min="11532" max="11776" width="9" style="5"/>
    <col min="11777" max="11777" width="3.125" style="5" customWidth="1"/>
    <col min="11778" max="11778" width="6.875" style="5" customWidth="1"/>
    <col min="11779" max="11779" width="8.75" style="5" customWidth="1"/>
    <col min="11780" max="11780" width="3.625" style="5" customWidth="1"/>
    <col min="11781" max="11781" width="7.875" style="5" customWidth="1"/>
    <col min="11782" max="11782" width="11.875" style="5" customWidth="1"/>
    <col min="11783" max="11783" width="5.5" style="5" customWidth="1"/>
    <col min="11784" max="11784" width="10.375" style="5" customWidth="1"/>
    <col min="11785" max="11785" width="9.625" style="5" customWidth="1"/>
    <col min="11786" max="11786" width="6.875" style="5" customWidth="1"/>
    <col min="11787" max="11787" width="3.75" style="5" customWidth="1"/>
    <col min="11788" max="12032" width="9" style="5"/>
    <col min="12033" max="12033" width="3.125" style="5" customWidth="1"/>
    <col min="12034" max="12034" width="6.875" style="5" customWidth="1"/>
    <col min="12035" max="12035" width="8.75" style="5" customWidth="1"/>
    <col min="12036" max="12036" width="3.625" style="5" customWidth="1"/>
    <col min="12037" max="12037" width="7.875" style="5" customWidth="1"/>
    <col min="12038" max="12038" width="11.875" style="5" customWidth="1"/>
    <col min="12039" max="12039" width="5.5" style="5" customWidth="1"/>
    <col min="12040" max="12040" width="10.375" style="5" customWidth="1"/>
    <col min="12041" max="12041" width="9.625" style="5" customWidth="1"/>
    <col min="12042" max="12042" width="6.875" style="5" customWidth="1"/>
    <col min="12043" max="12043" width="3.75" style="5" customWidth="1"/>
    <col min="12044" max="12288" width="9" style="5"/>
    <col min="12289" max="12289" width="3.125" style="5" customWidth="1"/>
    <col min="12290" max="12290" width="6.875" style="5" customWidth="1"/>
    <col min="12291" max="12291" width="8.75" style="5" customWidth="1"/>
    <col min="12292" max="12292" width="3.625" style="5" customWidth="1"/>
    <col min="12293" max="12293" width="7.875" style="5" customWidth="1"/>
    <col min="12294" max="12294" width="11.875" style="5" customWidth="1"/>
    <col min="12295" max="12295" width="5.5" style="5" customWidth="1"/>
    <col min="12296" max="12296" width="10.375" style="5" customWidth="1"/>
    <col min="12297" max="12297" width="9.625" style="5" customWidth="1"/>
    <col min="12298" max="12298" width="6.875" style="5" customWidth="1"/>
    <col min="12299" max="12299" width="3.75" style="5" customWidth="1"/>
    <col min="12300" max="12544" width="9" style="5"/>
    <col min="12545" max="12545" width="3.125" style="5" customWidth="1"/>
    <col min="12546" max="12546" width="6.875" style="5" customWidth="1"/>
    <col min="12547" max="12547" width="8.75" style="5" customWidth="1"/>
    <col min="12548" max="12548" width="3.625" style="5" customWidth="1"/>
    <col min="12549" max="12549" width="7.875" style="5" customWidth="1"/>
    <col min="12550" max="12550" width="11.875" style="5" customWidth="1"/>
    <col min="12551" max="12551" width="5.5" style="5" customWidth="1"/>
    <col min="12552" max="12552" width="10.375" style="5" customWidth="1"/>
    <col min="12553" max="12553" width="9.625" style="5" customWidth="1"/>
    <col min="12554" max="12554" width="6.875" style="5" customWidth="1"/>
    <col min="12555" max="12555" width="3.75" style="5" customWidth="1"/>
    <col min="12556" max="12800" width="9" style="5"/>
    <col min="12801" max="12801" width="3.125" style="5" customWidth="1"/>
    <col min="12802" max="12802" width="6.875" style="5" customWidth="1"/>
    <col min="12803" max="12803" width="8.75" style="5" customWidth="1"/>
    <col min="12804" max="12804" width="3.625" style="5" customWidth="1"/>
    <col min="12805" max="12805" width="7.875" style="5" customWidth="1"/>
    <col min="12806" max="12806" width="11.875" style="5" customWidth="1"/>
    <col min="12807" max="12807" width="5.5" style="5" customWidth="1"/>
    <col min="12808" max="12808" width="10.375" style="5" customWidth="1"/>
    <col min="12809" max="12809" width="9.625" style="5" customWidth="1"/>
    <col min="12810" max="12810" width="6.875" style="5" customWidth="1"/>
    <col min="12811" max="12811" width="3.75" style="5" customWidth="1"/>
    <col min="12812" max="13056" width="9" style="5"/>
    <col min="13057" max="13057" width="3.125" style="5" customWidth="1"/>
    <col min="13058" max="13058" width="6.875" style="5" customWidth="1"/>
    <col min="13059" max="13059" width="8.75" style="5" customWidth="1"/>
    <col min="13060" max="13060" width="3.625" style="5" customWidth="1"/>
    <col min="13061" max="13061" width="7.875" style="5" customWidth="1"/>
    <col min="13062" max="13062" width="11.875" style="5" customWidth="1"/>
    <col min="13063" max="13063" width="5.5" style="5" customWidth="1"/>
    <col min="13064" max="13064" width="10.375" style="5" customWidth="1"/>
    <col min="13065" max="13065" width="9.625" style="5" customWidth="1"/>
    <col min="13066" max="13066" width="6.875" style="5" customWidth="1"/>
    <col min="13067" max="13067" width="3.75" style="5" customWidth="1"/>
    <col min="13068" max="13312" width="9" style="5"/>
    <col min="13313" max="13313" width="3.125" style="5" customWidth="1"/>
    <col min="13314" max="13314" width="6.875" style="5" customWidth="1"/>
    <col min="13315" max="13315" width="8.75" style="5" customWidth="1"/>
    <col min="13316" max="13316" width="3.625" style="5" customWidth="1"/>
    <col min="13317" max="13317" width="7.875" style="5" customWidth="1"/>
    <col min="13318" max="13318" width="11.875" style="5" customWidth="1"/>
    <col min="13319" max="13319" width="5.5" style="5" customWidth="1"/>
    <col min="13320" max="13320" width="10.375" style="5" customWidth="1"/>
    <col min="13321" max="13321" width="9.625" style="5" customWidth="1"/>
    <col min="13322" max="13322" width="6.875" style="5" customWidth="1"/>
    <col min="13323" max="13323" width="3.75" style="5" customWidth="1"/>
    <col min="13324" max="13568" width="9" style="5"/>
    <col min="13569" max="13569" width="3.125" style="5" customWidth="1"/>
    <col min="13570" max="13570" width="6.875" style="5" customWidth="1"/>
    <col min="13571" max="13571" width="8.75" style="5" customWidth="1"/>
    <col min="13572" max="13572" width="3.625" style="5" customWidth="1"/>
    <col min="13573" max="13573" width="7.875" style="5" customWidth="1"/>
    <col min="13574" max="13574" width="11.875" style="5" customWidth="1"/>
    <col min="13575" max="13575" width="5.5" style="5" customWidth="1"/>
    <col min="13576" max="13576" width="10.375" style="5" customWidth="1"/>
    <col min="13577" max="13577" width="9.625" style="5" customWidth="1"/>
    <col min="13578" max="13578" width="6.875" style="5" customWidth="1"/>
    <col min="13579" max="13579" width="3.75" style="5" customWidth="1"/>
    <col min="13580" max="13824" width="9" style="5"/>
    <col min="13825" max="13825" width="3.125" style="5" customWidth="1"/>
    <col min="13826" max="13826" width="6.875" style="5" customWidth="1"/>
    <col min="13827" max="13827" width="8.75" style="5" customWidth="1"/>
    <col min="13828" max="13828" width="3.625" style="5" customWidth="1"/>
    <col min="13829" max="13829" width="7.875" style="5" customWidth="1"/>
    <col min="13830" max="13830" width="11.875" style="5" customWidth="1"/>
    <col min="13831" max="13831" width="5.5" style="5" customWidth="1"/>
    <col min="13832" max="13832" width="10.375" style="5" customWidth="1"/>
    <col min="13833" max="13833" width="9.625" style="5" customWidth="1"/>
    <col min="13834" max="13834" width="6.875" style="5" customWidth="1"/>
    <col min="13835" max="13835" width="3.75" style="5" customWidth="1"/>
    <col min="13836" max="14080" width="9" style="5"/>
    <col min="14081" max="14081" width="3.125" style="5" customWidth="1"/>
    <col min="14082" max="14082" width="6.875" style="5" customWidth="1"/>
    <col min="14083" max="14083" width="8.75" style="5" customWidth="1"/>
    <col min="14084" max="14084" width="3.625" style="5" customWidth="1"/>
    <col min="14085" max="14085" width="7.875" style="5" customWidth="1"/>
    <col min="14086" max="14086" width="11.875" style="5" customWidth="1"/>
    <col min="14087" max="14087" width="5.5" style="5" customWidth="1"/>
    <col min="14088" max="14088" width="10.375" style="5" customWidth="1"/>
    <col min="14089" max="14089" width="9.625" style="5" customWidth="1"/>
    <col min="14090" max="14090" width="6.875" style="5" customWidth="1"/>
    <col min="14091" max="14091" width="3.75" style="5" customWidth="1"/>
    <col min="14092" max="14336" width="9" style="5"/>
    <col min="14337" max="14337" width="3.125" style="5" customWidth="1"/>
    <col min="14338" max="14338" width="6.875" style="5" customWidth="1"/>
    <col min="14339" max="14339" width="8.75" style="5" customWidth="1"/>
    <col min="14340" max="14340" width="3.625" style="5" customWidth="1"/>
    <col min="14341" max="14341" width="7.875" style="5" customWidth="1"/>
    <col min="14342" max="14342" width="11.875" style="5" customWidth="1"/>
    <col min="14343" max="14343" width="5.5" style="5" customWidth="1"/>
    <col min="14344" max="14344" width="10.375" style="5" customWidth="1"/>
    <col min="14345" max="14345" width="9.625" style="5" customWidth="1"/>
    <col min="14346" max="14346" width="6.875" style="5" customWidth="1"/>
    <col min="14347" max="14347" width="3.75" style="5" customWidth="1"/>
    <col min="14348" max="14592" width="9" style="5"/>
    <col min="14593" max="14593" width="3.125" style="5" customWidth="1"/>
    <col min="14594" max="14594" width="6.875" style="5" customWidth="1"/>
    <col min="14595" max="14595" width="8.75" style="5" customWidth="1"/>
    <col min="14596" max="14596" width="3.625" style="5" customWidth="1"/>
    <col min="14597" max="14597" width="7.875" style="5" customWidth="1"/>
    <col min="14598" max="14598" width="11.875" style="5" customWidth="1"/>
    <col min="14599" max="14599" width="5.5" style="5" customWidth="1"/>
    <col min="14600" max="14600" width="10.375" style="5" customWidth="1"/>
    <col min="14601" max="14601" width="9.625" style="5" customWidth="1"/>
    <col min="14602" max="14602" width="6.875" style="5" customWidth="1"/>
    <col min="14603" max="14603" width="3.75" style="5" customWidth="1"/>
    <col min="14604" max="14848" width="9" style="5"/>
    <col min="14849" max="14849" width="3.125" style="5" customWidth="1"/>
    <col min="14850" max="14850" width="6.875" style="5" customWidth="1"/>
    <col min="14851" max="14851" width="8.75" style="5" customWidth="1"/>
    <col min="14852" max="14852" width="3.625" style="5" customWidth="1"/>
    <col min="14853" max="14853" width="7.875" style="5" customWidth="1"/>
    <col min="14854" max="14854" width="11.875" style="5" customWidth="1"/>
    <col min="14855" max="14855" width="5.5" style="5" customWidth="1"/>
    <col min="14856" max="14856" width="10.375" style="5" customWidth="1"/>
    <col min="14857" max="14857" width="9.625" style="5" customWidth="1"/>
    <col min="14858" max="14858" width="6.875" style="5" customWidth="1"/>
    <col min="14859" max="14859" width="3.75" style="5" customWidth="1"/>
    <col min="14860" max="15104" width="9" style="5"/>
    <col min="15105" max="15105" width="3.125" style="5" customWidth="1"/>
    <col min="15106" max="15106" width="6.875" style="5" customWidth="1"/>
    <col min="15107" max="15107" width="8.75" style="5" customWidth="1"/>
    <col min="15108" max="15108" width="3.625" style="5" customWidth="1"/>
    <col min="15109" max="15109" width="7.875" style="5" customWidth="1"/>
    <col min="15110" max="15110" width="11.875" style="5" customWidth="1"/>
    <col min="15111" max="15111" width="5.5" style="5" customWidth="1"/>
    <col min="15112" max="15112" width="10.375" style="5" customWidth="1"/>
    <col min="15113" max="15113" width="9.625" style="5" customWidth="1"/>
    <col min="15114" max="15114" width="6.875" style="5" customWidth="1"/>
    <col min="15115" max="15115" width="3.75" style="5" customWidth="1"/>
    <col min="15116" max="15360" width="9" style="5"/>
    <col min="15361" max="15361" width="3.125" style="5" customWidth="1"/>
    <col min="15362" max="15362" width="6.875" style="5" customWidth="1"/>
    <col min="15363" max="15363" width="8.75" style="5" customWidth="1"/>
    <col min="15364" max="15364" width="3.625" style="5" customWidth="1"/>
    <col min="15365" max="15365" width="7.875" style="5" customWidth="1"/>
    <col min="15366" max="15366" width="11.875" style="5" customWidth="1"/>
    <col min="15367" max="15367" width="5.5" style="5" customWidth="1"/>
    <col min="15368" max="15368" width="10.375" style="5" customWidth="1"/>
    <col min="15369" max="15369" width="9.625" style="5" customWidth="1"/>
    <col min="15370" max="15370" width="6.875" style="5" customWidth="1"/>
    <col min="15371" max="15371" width="3.75" style="5" customWidth="1"/>
    <col min="15372" max="15616" width="9" style="5"/>
    <col min="15617" max="15617" width="3.125" style="5" customWidth="1"/>
    <col min="15618" max="15618" width="6.875" style="5" customWidth="1"/>
    <col min="15619" max="15619" width="8.75" style="5" customWidth="1"/>
    <col min="15620" max="15620" width="3.625" style="5" customWidth="1"/>
    <col min="15621" max="15621" width="7.875" style="5" customWidth="1"/>
    <col min="15622" max="15622" width="11.875" style="5" customWidth="1"/>
    <col min="15623" max="15623" width="5.5" style="5" customWidth="1"/>
    <col min="15624" max="15624" width="10.375" style="5" customWidth="1"/>
    <col min="15625" max="15625" width="9.625" style="5" customWidth="1"/>
    <col min="15626" max="15626" width="6.875" style="5" customWidth="1"/>
    <col min="15627" max="15627" width="3.75" style="5" customWidth="1"/>
    <col min="15628" max="15872" width="9" style="5"/>
    <col min="15873" max="15873" width="3.125" style="5" customWidth="1"/>
    <col min="15874" max="15874" width="6.875" style="5" customWidth="1"/>
    <col min="15875" max="15875" width="8.75" style="5" customWidth="1"/>
    <col min="15876" max="15876" width="3.625" style="5" customWidth="1"/>
    <col min="15877" max="15877" width="7.875" style="5" customWidth="1"/>
    <col min="15878" max="15878" width="11.875" style="5" customWidth="1"/>
    <col min="15879" max="15879" width="5.5" style="5" customWidth="1"/>
    <col min="15880" max="15880" width="10.375" style="5" customWidth="1"/>
    <col min="15881" max="15881" width="9.625" style="5" customWidth="1"/>
    <col min="15882" max="15882" width="6.875" style="5" customWidth="1"/>
    <col min="15883" max="15883" width="3.75" style="5" customWidth="1"/>
    <col min="15884" max="16128" width="9" style="5"/>
    <col min="16129" max="16129" width="3.125" style="5" customWidth="1"/>
    <col min="16130" max="16130" width="6.875" style="5" customWidth="1"/>
    <col min="16131" max="16131" width="8.75" style="5" customWidth="1"/>
    <col min="16132" max="16132" width="3.625" style="5" customWidth="1"/>
    <col min="16133" max="16133" width="7.875" style="5" customWidth="1"/>
    <col min="16134" max="16134" width="11.875" style="5" customWidth="1"/>
    <col min="16135" max="16135" width="5.5" style="5" customWidth="1"/>
    <col min="16136" max="16136" width="10.375" style="5" customWidth="1"/>
    <col min="16137" max="16137" width="9.625" style="5" customWidth="1"/>
    <col min="16138" max="16138" width="6.875" style="5" customWidth="1"/>
    <col min="16139" max="16139" width="3.75" style="5" customWidth="1"/>
    <col min="16140" max="16384" width="9" style="5"/>
  </cols>
  <sheetData>
    <row r="1" spans="1:11" x14ac:dyDescent="0.2">
      <c r="J1" s="215" t="s">
        <v>341</v>
      </c>
      <c r="K1" s="216"/>
    </row>
    <row r="2" spans="1:11" ht="18.75" x14ac:dyDescent="0.2">
      <c r="J2" s="6"/>
      <c r="K2" s="6"/>
    </row>
    <row r="3" spans="1:11" ht="27" x14ac:dyDescent="0.2">
      <c r="A3" s="223" t="s">
        <v>342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ht="18.7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x14ac:dyDescent="0.2">
      <c r="A5" s="5" t="s">
        <v>343</v>
      </c>
    </row>
    <row r="6" spans="1:11" x14ac:dyDescent="0.2">
      <c r="B6" s="210" t="s">
        <v>344</v>
      </c>
      <c r="C6" s="210"/>
      <c r="D6" s="210"/>
      <c r="E6" s="210"/>
      <c r="F6" s="210"/>
      <c r="G6" s="210"/>
      <c r="H6" s="210"/>
      <c r="I6" s="210"/>
      <c r="J6" s="210"/>
      <c r="K6" s="210"/>
    </row>
    <row r="7" spans="1:11" x14ac:dyDescent="0.2">
      <c r="B7" s="211" t="s">
        <v>345</v>
      </c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2">
      <c r="B8" s="210" t="s">
        <v>344</v>
      </c>
      <c r="C8" s="211"/>
      <c r="D8" s="211"/>
      <c r="E8" s="211"/>
      <c r="F8" s="211"/>
      <c r="G8" s="211"/>
      <c r="H8" s="211"/>
      <c r="I8" s="211"/>
      <c r="J8" s="211"/>
      <c r="K8" s="211"/>
    </row>
    <row r="9" spans="1:11" x14ac:dyDescent="0.2">
      <c r="B9" s="211" t="s">
        <v>346</v>
      </c>
      <c r="C9" s="211"/>
      <c r="D9" s="211"/>
      <c r="E9" s="211"/>
      <c r="F9" s="211"/>
      <c r="G9" s="211"/>
      <c r="H9" s="211"/>
      <c r="I9" s="211"/>
      <c r="J9" s="211"/>
      <c r="K9" s="211"/>
    </row>
    <row r="11" spans="1:11" x14ac:dyDescent="0.2">
      <c r="A11" s="5" t="s">
        <v>347</v>
      </c>
      <c r="D11" s="210" t="s">
        <v>348</v>
      </c>
      <c r="E11" s="210"/>
      <c r="F11" s="210"/>
      <c r="G11" s="210"/>
      <c r="H11" s="210"/>
      <c r="I11" s="210"/>
      <c r="J11" s="210"/>
      <c r="K11" s="210"/>
    </row>
    <row r="13" spans="1:11" x14ac:dyDescent="0.2">
      <c r="A13" s="5" t="s">
        <v>349</v>
      </c>
      <c r="E13" s="210"/>
      <c r="F13" s="224">
        <v>32497440</v>
      </c>
      <c r="G13" s="224"/>
      <c r="H13" s="210"/>
      <c r="I13" s="210"/>
      <c r="J13" s="210"/>
      <c r="K13" s="5" t="s">
        <v>251</v>
      </c>
    </row>
    <row r="15" spans="1:11" x14ac:dyDescent="0.2">
      <c r="A15" s="5" t="s">
        <v>350</v>
      </c>
    </row>
    <row r="16" spans="1:11" x14ac:dyDescent="0.2">
      <c r="B16" s="5" t="s">
        <v>351</v>
      </c>
      <c r="C16" s="5" t="s">
        <v>352</v>
      </c>
    </row>
    <row r="17" spans="1:11" ht="18.75" x14ac:dyDescent="0.2">
      <c r="B17" s="210"/>
      <c r="C17" s="211"/>
      <c r="D17" s="211"/>
      <c r="E17" s="211"/>
      <c r="F17" s="211"/>
      <c r="G17" s="211"/>
      <c r="H17" s="211"/>
      <c r="I17" s="211"/>
      <c r="J17" s="211"/>
      <c r="K17" s="211"/>
    </row>
    <row r="18" spans="1:11" ht="18.75" x14ac:dyDescent="0.2">
      <c r="B18" s="211"/>
      <c r="C18" s="211"/>
      <c r="D18" s="211"/>
      <c r="E18" s="211"/>
      <c r="F18" s="211"/>
      <c r="G18" s="211"/>
      <c r="H18" s="211"/>
      <c r="I18" s="211"/>
      <c r="J18" s="211"/>
      <c r="K18" s="211"/>
    </row>
    <row r="19" spans="1:11" ht="18.75" x14ac:dyDescent="0.2">
      <c r="B19" s="211"/>
      <c r="C19" s="211"/>
      <c r="D19" s="211"/>
      <c r="E19" s="211"/>
      <c r="F19" s="211"/>
      <c r="G19" s="211"/>
      <c r="H19" s="211"/>
      <c r="I19" s="211"/>
      <c r="J19" s="211"/>
      <c r="K19" s="211"/>
    </row>
    <row r="20" spans="1:11" ht="18.75" x14ac:dyDescent="0.2">
      <c r="B20" s="211"/>
      <c r="C20" s="211"/>
      <c r="D20" s="211"/>
      <c r="E20" s="211"/>
      <c r="F20" s="211"/>
      <c r="G20" s="211"/>
      <c r="H20" s="211"/>
      <c r="I20" s="211"/>
      <c r="J20" s="211"/>
      <c r="K20" s="211"/>
    </row>
    <row r="22" spans="1:11" x14ac:dyDescent="0.2">
      <c r="A22" s="5" t="s">
        <v>353</v>
      </c>
      <c r="D22" s="210"/>
      <c r="E22" s="210"/>
      <c r="F22" s="210"/>
      <c r="G22" s="5" t="s">
        <v>354</v>
      </c>
      <c r="H22" s="225">
        <v>32500942.68</v>
      </c>
      <c r="I22" s="225"/>
      <c r="J22" s="212"/>
      <c r="K22" s="5" t="s">
        <v>251</v>
      </c>
    </row>
    <row r="24" spans="1:11" x14ac:dyDescent="0.2">
      <c r="A24" s="5" t="s">
        <v>355</v>
      </c>
    </row>
    <row r="25" spans="1:11" x14ac:dyDescent="0.2">
      <c r="B25" s="5" t="s">
        <v>356</v>
      </c>
    </row>
    <row r="27" spans="1:11" x14ac:dyDescent="0.2">
      <c r="A27" s="5" t="s">
        <v>357</v>
      </c>
    </row>
    <row r="28" spans="1:11" x14ac:dyDescent="0.2">
      <c r="B28" s="5" t="s">
        <v>358</v>
      </c>
    </row>
    <row r="29" spans="1:11" x14ac:dyDescent="0.2">
      <c r="B29" s="5" t="s">
        <v>359</v>
      </c>
    </row>
    <row r="30" spans="1:11" x14ac:dyDescent="0.2">
      <c r="B30" s="5" t="s">
        <v>360</v>
      </c>
    </row>
    <row r="31" spans="1:11" x14ac:dyDescent="0.2">
      <c r="B31" s="5" t="s">
        <v>361</v>
      </c>
    </row>
    <row r="32" spans="1:11" x14ac:dyDescent="0.2">
      <c r="B32" s="5" t="s">
        <v>362</v>
      </c>
    </row>
  </sheetData>
  <mergeCells count="4">
    <mergeCell ref="J1:K1"/>
    <mergeCell ref="A3:K3"/>
    <mergeCell ref="F13:G13"/>
    <mergeCell ref="H22:I22"/>
  </mergeCells>
  <pageMargins left="0.6692913385826772" right="0.6692913385826772" top="0.59055118110236227" bottom="0.59055118110236227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50FD3-6C09-4F57-9512-DE89B09000ED}">
  <sheetPr>
    <tabColor theme="9"/>
  </sheetPr>
  <dimension ref="A1:M29"/>
  <sheetViews>
    <sheetView view="pageBreakPreview" zoomScaleNormal="100" zoomScaleSheetLayoutView="100" workbookViewId="0">
      <selection sqref="A1:I1"/>
    </sheetView>
  </sheetViews>
  <sheetFormatPr defaultRowHeight="18" customHeight="1" x14ac:dyDescent="0.2"/>
  <cols>
    <col min="1" max="1" width="5.625" style="54" customWidth="1"/>
    <col min="2" max="2" width="42.125" style="36" customWidth="1"/>
    <col min="3" max="3" width="9.375" style="36" customWidth="1"/>
    <col min="4" max="4" width="6.875" style="54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26" t="s">
        <v>320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ht="18" customHeight="1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ht="18" customHeight="1" x14ac:dyDescent="0.2">
      <c r="A3" s="226"/>
      <c r="B3" s="226"/>
      <c r="C3" s="226"/>
      <c r="D3" s="226"/>
      <c r="E3" s="226"/>
      <c r="F3" s="226"/>
      <c r="G3" s="226"/>
      <c r="H3" s="226"/>
      <c r="I3" s="226"/>
      <c r="J3" s="37"/>
      <c r="K3" s="37"/>
      <c r="L3" s="37"/>
      <c r="M3" s="37"/>
    </row>
    <row r="4" spans="1:13" s="47" customFormat="1" ht="18" customHeight="1" x14ac:dyDescent="0.2">
      <c r="A4" s="47" t="str">
        <f>ปร.5!A8</f>
        <v>ชื่อโครงการ   โครงการก่อสร้างสนามกีฬาชุมชน ขนาด 59.00 x 89.00 เมตร</v>
      </c>
      <c r="D4" s="54"/>
    </row>
    <row r="5" spans="1:13" s="47" customFormat="1" ht="18" customHeight="1" x14ac:dyDescent="0.2">
      <c r="A5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5" s="54"/>
    </row>
    <row r="6" spans="1:13" s="47" customFormat="1" ht="18" customHeight="1" x14ac:dyDescent="0.2">
      <c r="A6" s="47" t="str">
        <f>ปร.5!A10</f>
        <v>คณะกรรมการกำหนดราคากลางเมื่อ วันที่ 11 ตุลาคม 2567</v>
      </c>
      <c r="D6" s="54"/>
    </row>
    <row r="7" spans="1:13" ht="18" customHeight="1" x14ac:dyDescent="0.2">
      <c r="A7" s="227" t="s">
        <v>17</v>
      </c>
      <c r="B7" s="227" t="s">
        <v>15</v>
      </c>
      <c r="C7" s="227" t="s">
        <v>18</v>
      </c>
      <c r="D7" s="227" t="s">
        <v>16</v>
      </c>
      <c r="E7" s="227" t="s">
        <v>19</v>
      </c>
      <c r="F7" s="227"/>
      <c r="G7" s="227" t="s">
        <v>20</v>
      </c>
      <c r="H7" s="227"/>
      <c r="I7" s="228" t="s">
        <v>21</v>
      </c>
    </row>
    <row r="8" spans="1:13" ht="18" customHeight="1" x14ac:dyDescent="0.2">
      <c r="A8" s="227"/>
      <c r="B8" s="227"/>
      <c r="C8" s="227"/>
      <c r="D8" s="227"/>
      <c r="E8" s="44" t="s">
        <v>22</v>
      </c>
      <c r="F8" s="45" t="s">
        <v>23</v>
      </c>
      <c r="G8" s="44" t="s">
        <v>22</v>
      </c>
      <c r="H8" s="45" t="s">
        <v>24</v>
      </c>
      <c r="I8" s="228"/>
    </row>
    <row r="9" spans="1:13" ht="18" customHeight="1" x14ac:dyDescent="0.2">
      <c r="A9" s="133">
        <v>1</v>
      </c>
      <c r="B9" s="136" t="s">
        <v>236</v>
      </c>
      <c r="C9" s="133"/>
      <c r="D9" s="133"/>
      <c r="E9" s="133"/>
      <c r="F9" s="134"/>
      <c r="G9" s="133"/>
      <c r="H9" s="134"/>
      <c r="I9" s="135"/>
    </row>
    <row r="10" spans="1:13" ht="18" customHeight="1" x14ac:dyDescent="0.2">
      <c r="A10" s="56">
        <v>1.1000000000000001</v>
      </c>
      <c r="B10" s="49" t="str">
        <f>งานโครงสร้าง!B9</f>
        <v>งานวิศวกรรมโครงสร้าง</v>
      </c>
      <c r="C10" s="58">
        <v>1</v>
      </c>
      <c r="D10" s="56" t="s">
        <v>111</v>
      </c>
      <c r="E10" s="58"/>
      <c r="F10" s="58">
        <f>งานโครงสร้าง!F16</f>
        <v>3978579.5200000005</v>
      </c>
      <c r="G10" s="58"/>
      <c r="H10" s="58">
        <f>งานโครงสร้าง!H16</f>
        <v>1090960.6400000001</v>
      </c>
      <c r="I10" s="58">
        <f>งานโครงสร้าง!I16</f>
        <v>5069540.16</v>
      </c>
    </row>
    <row r="11" spans="1:13" ht="18" customHeight="1" x14ac:dyDescent="0.2">
      <c r="A11" s="56">
        <v>1.2</v>
      </c>
      <c r="B11" s="49" t="str">
        <f>งานสถาปัตยกรรม!B9</f>
        <v>งานสถาปัตยกรรม</v>
      </c>
      <c r="C11" s="58">
        <v>1</v>
      </c>
      <c r="D11" s="56" t="s">
        <v>111</v>
      </c>
      <c r="E11" s="58"/>
      <c r="F11" s="58">
        <f>งานสถาปัตยกรรม!F17</f>
        <v>4370832.6899999995</v>
      </c>
      <c r="G11" s="58"/>
      <c r="H11" s="58">
        <f>งานสถาปัตยกรรม!H17</f>
        <v>2104988.4</v>
      </c>
      <c r="I11" s="58">
        <f>งานสถาปัตยกรรม!I17</f>
        <v>6475821.0899999999</v>
      </c>
    </row>
    <row r="12" spans="1:13" ht="18" customHeight="1" x14ac:dyDescent="0.2">
      <c r="A12" s="56">
        <v>1.3</v>
      </c>
      <c r="B12" s="49" t="str">
        <f>งานระบบไฟฟ้าและแสงสว่าง!B9</f>
        <v>งานระบบไฟฟ้าและแสงสว่าง</v>
      </c>
      <c r="C12" s="58">
        <v>1</v>
      </c>
      <c r="D12" s="56" t="s">
        <v>111</v>
      </c>
      <c r="E12" s="58"/>
      <c r="F12" s="58">
        <f>งานระบบไฟฟ้าและแสงสว่าง!F15</f>
        <v>1305000</v>
      </c>
      <c r="G12" s="58"/>
      <c r="H12" s="58">
        <f>งานระบบไฟฟ้าและแสงสว่าง!H15</f>
        <v>87500</v>
      </c>
      <c r="I12" s="58">
        <f>งานระบบไฟฟ้าและแสงสว่าง!I15</f>
        <v>1392500</v>
      </c>
    </row>
    <row r="13" spans="1:13" ht="18" customHeight="1" x14ac:dyDescent="0.2">
      <c r="A13" s="56">
        <v>1.4</v>
      </c>
      <c r="B13" s="49" t="str">
        <f>งานระบบสุขาภิบาล!B9</f>
        <v>งานระบบสุขาภิบาล</v>
      </c>
      <c r="C13" s="58">
        <v>1</v>
      </c>
      <c r="D13" s="56" t="s">
        <v>111</v>
      </c>
      <c r="E13" s="58"/>
      <c r="F13" s="58">
        <f>งานระบบสุขาภิบาล!F23</f>
        <v>884684.58</v>
      </c>
      <c r="G13" s="58"/>
      <c r="H13" s="58">
        <f>งานระบบสุขาภิบาล!H23</f>
        <v>82713.63</v>
      </c>
      <c r="I13" s="58">
        <f>งานระบบสุขาภิบาล!I23</f>
        <v>967398.20999999985</v>
      </c>
    </row>
    <row r="14" spans="1:13" ht="18" customHeight="1" thickBot="1" x14ac:dyDescent="0.25">
      <c r="A14" s="98"/>
      <c r="B14" s="101" t="s">
        <v>237</v>
      </c>
      <c r="C14" s="99"/>
      <c r="D14" s="100"/>
      <c r="E14" s="99"/>
      <c r="F14" s="99">
        <f>SUM(F10:F13)</f>
        <v>10539096.790000001</v>
      </c>
      <c r="G14" s="99"/>
      <c r="H14" s="99">
        <f>SUM(H10:H13)</f>
        <v>3366162.67</v>
      </c>
      <c r="I14" s="99">
        <f>SUM(I10:I13)</f>
        <v>13905259.459999999</v>
      </c>
    </row>
    <row r="15" spans="1:13" ht="18" customHeight="1" thickTop="1" x14ac:dyDescent="0.2">
      <c r="A15" s="36"/>
      <c r="D15" s="36"/>
    </row>
    <row r="16" spans="1:13" ht="18" customHeight="1" x14ac:dyDescent="0.2">
      <c r="A16" s="36"/>
      <c r="D16" s="36"/>
    </row>
    <row r="17" spans="1:8" ht="18" customHeight="1" x14ac:dyDescent="0.2">
      <c r="A17" s="36"/>
      <c r="D17" s="36"/>
    </row>
    <row r="18" spans="1:8" ht="18" customHeight="1" x14ac:dyDescent="0.2">
      <c r="A18" s="36"/>
      <c r="D18" s="36"/>
    </row>
    <row r="19" spans="1:8" ht="18" customHeight="1" x14ac:dyDescent="0.2">
      <c r="A19" s="36"/>
      <c r="D19" s="36"/>
    </row>
    <row r="20" spans="1:8" ht="18" customHeight="1" x14ac:dyDescent="0.2">
      <c r="A20" s="36"/>
      <c r="D20" s="36"/>
    </row>
    <row r="21" spans="1:8" ht="18" customHeight="1" x14ac:dyDescent="0.2">
      <c r="A21" s="36"/>
      <c r="D21" s="36"/>
    </row>
    <row r="22" spans="1:8" ht="18" customHeight="1" x14ac:dyDescent="0.2">
      <c r="A22" s="36"/>
      <c r="D22" s="36"/>
    </row>
    <row r="23" spans="1:8" ht="18" customHeight="1" x14ac:dyDescent="0.2">
      <c r="A23" s="36"/>
      <c r="D23" s="36"/>
    </row>
    <row r="24" spans="1:8" s="37" customFormat="1" ht="18" customHeight="1" x14ac:dyDescent="0.2"/>
    <row r="25" spans="1:8" ht="18" customHeight="1" x14ac:dyDescent="0.2">
      <c r="A25" s="36"/>
      <c r="D25" s="36"/>
    </row>
    <row r="26" spans="1:8" ht="18" customHeight="1" x14ac:dyDescent="0.2">
      <c r="A26" s="36"/>
      <c r="D26" s="36"/>
    </row>
    <row r="27" spans="1:8" s="37" customFormat="1" ht="18" customHeight="1" x14ac:dyDescent="0.2"/>
    <row r="29" spans="1:8" ht="18" customHeight="1" x14ac:dyDescent="0.2">
      <c r="H29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D9BBB-3DBF-4075-A9CB-5A8B327991D8}">
  <sheetPr>
    <tabColor theme="9" tint="0.39997558519241921"/>
  </sheetPr>
  <dimension ref="A1:P97"/>
  <sheetViews>
    <sheetView view="pageBreakPreview" topLeftCell="A7" zoomScaleNormal="100" zoomScaleSheetLayoutView="100" workbookViewId="0">
      <selection activeCell="B21" sqref="B21"/>
    </sheetView>
  </sheetViews>
  <sheetFormatPr defaultRowHeight="18" customHeight="1" x14ac:dyDescent="0.2"/>
  <cols>
    <col min="1" max="1" width="5.625" style="54" customWidth="1"/>
    <col min="2" max="2" width="42.125" style="36" customWidth="1"/>
    <col min="3" max="3" width="9.375" style="36" customWidth="1"/>
    <col min="4" max="4" width="6.875" style="54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0" width="9" style="36"/>
    <col min="11" max="13" width="9" style="36" customWidth="1"/>
    <col min="14" max="16384" width="9" style="36"/>
  </cols>
  <sheetData>
    <row r="1" spans="1:13" ht="18" customHeight="1" x14ac:dyDescent="0.2">
      <c r="A1" s="226" t="s">
        <v>320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ht="18" customHeight="1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ht="18" customHeight="1" x14ac:dyDescent="0.2">
      <c r="A3" s="226"/>
      <c r="B3" s="226"/>
      <c r="C3" s="226"/>
      <c r="D3" s="226"/>
      <c r="E3" s="226"/>
      <c r="F3" s="226"/>
      <c r="G3" s="226"/>
      <c r="H3" s="226"/>
      <c r="I3" s="226"/>
      <c r="J3" s="37"/>
      <c r="K3" s="37"/>
      <c r="L3" s="37"/>
      <c r="M3" s="37"/>
    </row>
    <row r="4" spans="1:13" s="47" customFormat="1" ht="18" customHeight="1" x14ac:dyDescent="0.2">
      <c r="A4" s="47" t="str">
        <f>ปร.5!A8</f>
        <v>ชื่อโครงการ   โครงการก่อสร้างสนามกีฬาชุมชน ขนาด 59.00 x 89.00 เมตร</v>
      </c>
      <c r="D4" s="54"/>
    </row>
    <row r="5" spans="1:13" s="47" customFormat="1" ht="18" customHeight="1" x14ac:dyDescent="0.2">
      <c r="A5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5" s="54"/>
    </row>
    <row r="6" spans="1:13" s="47" customFormat="1" ht="18" customHeight="1" x14ac:dyDescent="0.2">
      <c r="A6" s="47" t="str">
        <f>ปร.5!A10</f>
        <v>คณะกรรมการกำหนดราคากลางเมื่อ วันที่ 11 ตุลาคม 2567</v>
      </c>
      <c r="D6" s="54"/>
    </row>
    <row r="7" spans="1:13" ht="18" customHeight="1" x14ac:dyDescent="0.2">
      <c r="A7" s="227" t="s">
        <v>17</v>
      </c>
      <c r="B7" s="227" t="s">
        <v>15</v>
      </c>
      <c r="C7" s="227" t="s">
        <v>18</v>
      </c>
      <c r="D7" s="227" t="s">
        <v>16</v>
      </c>
      <c r="E7" s="227" t="s">
        <v>19</v>
      </c>
      <c r="F7" s="227"/>
      <c r="G7" s="227" t="s">
        <v>20</v>
      </c>
      <c r="H7" s="227"/>
      <c r="I7" s="228" t="s">
        <v>21</v>
      </c>
    </row>
    <row r="8" spans="1:13" ht="18" customHeight="1" x14ac:dyDescent="0.2">
      <c r="A8" s="227"/>
      <c r="B8" s="227"/>
      <c r="C8" s="227"/>
      <c r="D8" s="227"/>
      <c r="E8" s="44" t="s">
        <v>22</v>
      </c>
      <c r="F8" s="45" t="s">
        <v>23</v>
      </c>
      <c r="G8" s="44" t="s">
        <v>22</v>
      </c>
      <c r="H8" s="45" t="s">
        <v>24</v>
      </c>
      <c r="I8" s="228"/>
    </row>
    <row r="9" spans="1:13" s="37" customFormat="1" ht="18" customHeight="1" x14ac:dyDescent="0.2">
      <c r="A9" s="110">
        <v>1.1000000000000001</v>
      </c>
      <c r="B9" s="124" t="s">
        <v>175</v>
      </c>
      <c r="C9" s="124"/>
      <c r="D9" s="110"/>
      <c r="E9" s="111"/>
      <c r="F9" s="111"/>
      <c r="G9" s="111"/>
      <c r="H9" s="111"/>
      <c r="I9" s="111"/>
    </row>
    <row r="10" spans="1:13" ht="18" customHeight="1" x14ac:dyDescent="0.2">
      <c r="A10" s="185" t="s">
        <v>162</v>
      </c>
      <c r="B10" s="186" t="str">
        <f>B18</f>
        <v>งานดิน</v>
      </c>
      <c r="C10" s="187">
        <v>1</v>
      </c>
      <c r="D10" s="191" t="s">
        <v>111</v>
      </c>
      <c r="E10" s="187"/>
      <c r="F10" s="187">
        <f>F23</f>
        <v>1000407.92</v>
      </c>
      <c r="G10" s="187"/>
      <c r="H10" s="187">
        <f>H23</f>
        <v>492349.24</v>
      </c>
      <c r="I10" s="187">
        <f>I23</f>
        <v>1492757.1600000001</v>
      </c>
    </row>
    <row r="11" spans="1:13" ht="18" customHeight="1" x14ac:dyDescent="0.2">
      <c r="A11" s="185" t="s">
        <v>163</v>
      </c>
      <c r="B11" s="186" t="str">
        <f>B24</f>
        <v>งานฐานรากรับรั้วเหล็ก</v>
      </c>
      <c r="C11" s="187">
        <v>1</v>
      </c>
      <c r="D11" s="191" t="s">
        <v>111</v>
      </c>
      <c r="E11" s="187"/>
      <c r="F11" s="187">
        <f>F34</f>
        <v>88553.9</v>
      </c>
      <c r="G11" s="187"/>
      <c r="H11" s="187">
        <f>H34</f>
        <v>20183</v>
      </c>
      <c r="I11" s="187">
        <f>I34</f>
        <v>108736.90000000001</v>
      </c>
    </row>
    <row r="12" spans="1:13" ht="18" customHeight="1" x14ac:dyDescent="0.2">
      <c r="A12" s="185" t="s">
        <v>164</v>
      </c>
      <c r="B12" s="186" t="str">
        <f>B35</f>
        <v>งานเสาตอม่อรับรั้วเหล็ก</v>
      </c>
      <c r="C12" s="187">
        <v>1</v>
      </c>
      <c r="D12" s="191" t="s">
        <v>111</v>
      </c>
      <c r="E12" s="187"/>
      <c r="F12" s="187">
        <f>F46</f>
        <v>89046.18</v>
      </c>
      <c r="G12" s="187"/>
      <c r="H12" s="187">
        <f>H46</f>
        <v>26000.400000000001</v>
      </c>
      <c r="I12" s="187">
        <f>I46</f>
        <v>115046.57999999999</v>
      </c>
    </row>
    <row r="13" spans="1:13" ht="18" customHeight="1" x14ac:dyDescent="0.2">
      <c r="A13" s="185" t="s">
        <v>165</v>
      </c>
      <c r="B13" s="186" t="str">
        <f>B47</f>
        <v>งานพื้น</v>
      </c>
      <c r="C13" s="187">
        <v>1</v>
      </c>
      <c r="D13" s="191" t="s">
        <v>111</v>
      </c>
      <c r="E13" s="187"/>
      <c r="F13" s="187">
        <f>F58</f>
        <v>2497445.7300000004</v>
      </c>
      <c r="G13" s="187"/>
      <c r="H13" s="187">
        <f>H58</f>
        <v>471653</v>
      </c>
      <c r="I13" s="187">
        <f>I58</f>
        <v>2969098.73</v>
      </c>
    </row>
    <row r="14" spans="1:13" ht="18" customHeight="1" x14ac:dyDescent="0.2">
      <c r="A14" s="185" t="s">
        <v>166</v>
      </c>
      <c r="B14" s="186" t="str">
        <f>B59</f>
        <v>งานบันได</v>
      </c>
      <c r="C14" s="187">
        <v>1</v>
      </c>
      <c r="D14" s="191" t="s">
        <v>111</v>
      </c>
      <c r="E14" s="187"/>
      <c r="F14" s="187">
        <f>F71</f>
        <v>29678.15</v>
      </c>
      <c r="G14" s="187"/>
      <c r="H14" s="187">
        <f>H71</f>
        <v>7260</v>
      </c>
      <c r="I14" s="187">
        <f>I71</f>
        <v>36938.15</v>
      </c>
    </row>
    <row r="15" spans="1:13" ht="18" customHeight="1" x14ac:dyDescent="0.2">
      <c r="A15" s="188" t="s">
        <v>167</v>
      </c>
      <c r="B15" s="189" t="str">
        <f>B72</f>
        <v>งานรางระบายน้ำ</v>
      </c>
      <c r="C15" s="190">
        <v>1</v>
      </c>
      <c r="D15" s="192" t="s">
        <v>111</v>
      </c>
      <c r="E15" s="190"/>
      <c r="F15" s="190">
        <f>F82</f>
        <v>273447.64</v>
      </c>
      <c r="G15" s="190"/>
      <c r="H15" s="190">
        <f>H82</f>
        <v>73515</v>
      </c>
      <c r="I15" s="190">
        <f>I82</f>
        <v>346962.64</v>
      </c>
    </row>
    <row r="16" spans="1:13" s="37" customFormat="1" ht="18" customHeight="1" thickBot="1" x14ac:dyDescent="0.25">
      <c r="A16" s="98"/>
      <c r="B16" s="98" t="s">
        <v>177</v>
      </c>
      <c r="C16" s="99"/>
      <c r="D16" s="100"/>
      <c r="E16" s="99"/>
      <c r="F16" s="99">
        <f>SUM(F10:F15)</f>
        <v>3978579.5200000005</v>
      </c>
      <c r="G16" s="99"/>
      <c r="H16" s="99">
        <f>SUM(H10:H15)</f>
        <v>1090960.6400000001</v>
      </c>
      <c r="I16" s="99">
        <f>SUM(I10:I15)</f>
        <v>5069540.16</v>
      </c>
    </row>
    <row r="17" spans="1:9" s="37" customFormat="1" ht="18" customHeight="1" thickTop="1" x14ac:dyDescent="0.2">
      <c r="A17" s="87">
        <v>1.1000000000000001</v>
      </c>
      <c r="B17" s="88" t="s">
        <v>175</v>
      </c>
      <c r="C17" s="88"/>
      <c r="D17" s="87"/>
      <c r="E17" s="89"/>
      <c r="F17" s="89"/>
      <c r="G17" s="89"/>
      <c r="H17" s="89"/>
      <c r="I17" s="89"/>
    </row>
    <row r="18" spans="1:9" ht="18" customHeight="1" x14ac:dyDescent="0.2">
      <c r="A18" s="62" t="s">
        <v>162</v>
      </c>
      <c r="B18" s="51" t="s">
        <v>84</v>
      </c>
      <c r="C18" s="49"/>
      <c r="D18" s="56"/>
      <c r="E18" s="58"/>
      <c r="F18" s="58"/>
      <c r="G18" s="58"/>
      <c r="H18" s="58"/>
      <c r="I18" s="58"/>
    </row>
    <row r="19" spans="1:9" ht="18" customHeight="1" x14ac:dyDescent="0.2">
      <c r="A19" s="62"/>
      <c r="B19" s="84" t="s">
        <v>123</v>
      </c>
      <c r="C19" s="85">
        <f>ROUNDUP(59*89,0)</f>
        <v>5251</v>
      </c>
      <c r="D19" s="86" t="s">
        <v>75</v>
      </c>
      <c r="E19" s="85">
        <v>0</v>
      </c>
      <c r="F19" s="85">
        <f>ROUNDDOWN(C19*E19,2)</f>
        <v>0</v>
      </c>
      <c r="G19" s="85">
        <v>11.24</v>
      </c>
      <c r="H19" s="85">
        <f>ROUNDDOWN(C19*G19,2)</f>
        <v>59021.24</v>
      </c>
      <c r="I19" s="85">
        <f>F19+H19</f>
        <v>59021.24</v>
      </c>
    </row>
    <row r="20" spans="1:9" ht="18" customHeight="1" x14ac:dyDescent="0.2">
      <c r="A20" s="56"/>
      <c r="B20" s="49" t="s">
        <v>85</v>
      </c>
      <c r="C20" s="58">
        <f>ROUNDUP((27.0816+83.9101280875+1.404)*1.3,0)</f>
        <v>147</v>
      </c>
      <c r="D20" s="65" t="s">
        <v>72</v>
      </c>
      <c r="E20" s="68">
        <v>0</v>
      </c>
      <c r="F20" s="85">
        <f t="shared" ref="F20:F22" si="0">ROUNDDOWN(C20*E20,2)</f>
        <v>0</v>
      </c>
      <c r="G20" s="58">
        <v>112</v>
      </c>
      <c r="H20" s="85">
        <f t="shared" ref="H20:H22" si="1">ROUNDDOWN(C20*G20,2)</f>
        <v>16464</v>
      </c>
      <c r="I20" s="58">
        <f>F20+H20</f>
        <v>16464</v>
      </c>
    </row>
    <row r="21" spans="1:9" ht="18" customHeight="1" x14ac:dyDescent="0.2">
      <c r="A21" s="56"/>
      <c r="B21" s="49" t="s">
        <v>122</v>
      </c>
      <c r="C21" s="58">
        <f>ROUNDUP((51.864066+127.5779505+375+333.0768+(2421.35*0.05)-(1527.38*0.03))*1.3,0)</f>
        <v>1252</v>
      </c>
      <c r="D21" s="65" t="s">
        <v>72</v>
      </c>
      <c r="E21" s="68">
        <f>150+126.56</f>
        <v>276.56</v>
      </c>
      <c r="F21" s="85">
        <f t="shared" si="0"/>
        <v>346253.12</v>
      </c>
      <c r="G21" s="58">
        <v>112</v>
      </c>
      <c r="H21" s="85">
        <f t="shared" si="1"/>
        <v>140224</v>
      </c>
      <c r="I21" s="58">
        <f>F21+H21</f>
        <v>486477.12</v>
      </c>
    </row>
    <row r="22" spans="1:9" ht="18" customHeight="1" x14ac:dyDescent="0.2">
      <c r="A22" s="83"/>
      <c r="B22" s="84" t="s">
        <v>340</v>
      </c>
      <c r="C22" s="85">
        <f>ROUNDUP(65*95*0.4,0)</f>
        <v>2470</v>
      </c>
      <c r="D22" s="65" t="s">
        <v>72</v>
      </c>
      <c r="E22" s="204">
        <f>(50+126.56)*1.5</f>
        <v>264.84000000000003</v>
      </c>
      <c r="F22" s="85">
        <f t="shared" si="0"/>
        <v>654154.80000000005</v>
      </c>
      <c r="G22" s="85">
        <v>112</v>
      </c>
      <c r="H22" s="85">
        <f t="shared" si="1"/>
        <v>276640</v>
      </c>
      <c r="I22" s="58">
        <f>F22+H22</f>
        <v>930794.8</v>
      </c>
    </row>
    <row r="23" spans="1:9" s="37" customFormat="1" ht="18" customHeight="1" x14ac:dyDescent="0.2">
      <c r="A23" s="90"/>
      <c r="B23" s="90" t="s">
        <v>86</v>
      </c>
      <c r="C23" s="91"/>
      <c r="D23" s="92"/>
      <c r="E23" s="199"/>
      <c r="F23" s="91">
        <f>SUM(F19:F22)</f>
        <v>1000407.92</v>
      </c>
      <c r="G23" s="91"/>
      <c r="H23" s="91">
        <f>SUM(H19:H22)</f>
        <v>492349.24</v>
      </c>
      <c r="I23" s="91">
        <f>SUM(I19:I22)</f>
        <v>1492757.1600000001</v>
      </c>
    </row>
    <row r="24" spans="1:9" s="37" customFormat="1" ht="18" customHeight="1" x14ac:dyDescent="0.2">
      <c r="A24" s="87" t="s">
        <v>163</v>
      </c>
      <c r="B24" s="131" t="s">
        <v>78</v>
      </c>
      <c r="C24" s="88"/>
      <c r="D24" s="87"/>
      <c r="E24" s="89"/>
      <c r="F24" s="89"/>
      <c r="G24" s="89"/>
      <c r="H24" s="89"/>
      <c r="I24" s="89"/>
    </row>
    <row r="25" spans="1:9" ht="18" customHeight="1" x14ac:dyDescent="0.2">
      <c r="A25" s="56"/>
      <c r="B25" s="132" t="s">
        <v>36</v>
      </c>
      <c r="C25" s="59">
        <f>ROUNDUP((0.8*0.8*0.1)*(93)*1.25,0)</f>
        <v>8</v>
      </c>
      <c r="D25" s="56" t="s">
        <v>72</v>
      </c>
      <c r="E25" s="58">
        <v>436.92</v>
      </c>
      <c r="F25" s="85">
        <f>ROUNDDOWN(C25*E25,2)</f>
        <v>3495.36</v>
      </c>
      <c r="G25" s="58">
        <v>104</v>
      </c>
      <c r="H25" s="85">
        <f t="shared" ref="H25:H33" si="2">ROUNDDOWN(C25*G25,2)</f>
        <v>832</v>
      </c>
      <c r="I25" s="58">
        <f>F25+H25</f>
        <v>4327.3600000000006</v>
      </c>
    </row>
    <row r="26" spans="1:9" ht="18" customHeight="1" x14ac:dyDescent="0.2">
      <c r="A26" s="56"/>
      <c r="B26" s="132" t="s">
        <v>27</v>
      </c>
      <c r="C26" s="59">
        <f>ROUNDUP((0.8*0.8*0.05)*(93)*1.05,0)</f>
        <v>4</v>
      </c>
      <c r="D26" s="56" t="s">
        <v>72</v>
      </c>
      <c r="E26" s="58">
        <v>1304.3</v>
      </c>
      <c r="F26" s="85">
        <f t="shared" ref="F26:F33" si="3">ROUNDDOWN(C26*E26,2)</f>
        <v>5217.2</v>
      </c>
      <c r="G26" s="58">
        <v>419</v>
      </c>
      <c r="H26" s="85">
        <f t="shared" si="2"/>
        <v>1676</v>
      </c>
      <c r="I26" s="58">
        <f t="shared" ref="I26:I33" si="4">F26+H26</f>
        <v>6893.2</v>
      </c>
    </row>
    <row r="27" spans="1:9" ht="18" customHeight="1" x14ac:dyDescent="0.2">
      <c r="A27" s="56"/>
      <c r="B27" s="50" t="s">
        <v>148</v>
      </c>
      <c r="C27" s="59">
        <f>ROUNDUP((0.8*0.8*0.2)*(93)*1.05,0)</f>
        <v>13</v>
      </c>
      <c r="D27" s="56" t="s">
        <v>72</v>
      </c>
      <c r="E27" s="58">
        <v>2204.0500000000002</v>
      </c>
      <c r="F27" s="85">
        <f t="shared" si="3"/>
        <v>28652.65</v>
      </c>
      <c r="G27" s="58">
        <v>419</v>
      </c>
      <c r="H27" s="85">
        <f t="shared" si="2"/>
        <v>5447</v>
      </c>
      <c r="I27" s="58">
        <f t="shared" si="4"/>
        <v>34099.65</v>
      </c>
    </row>
    <row r="28" spans="1:9" ht="18" customHeight="1" x14ac:dyDescent="0.2">
      <c r="A28" s="56"/>
      <c r="B28" s="50" t="s">
        <v>30</v>
      </c>
      <c r="C28" s="59">
        <v>1.08</v>
      </c>
      <c r="D28" s="56" t="s">
        <v>73</v>
      </c>
      <c r="E28" s="58">
        <v>21971.97</v>
      </c>
      <c r="F28" s="85">
        <f t="shared" si="3"/>
        <v>23729.72</v>
      </c>
      <c r="G28" s="58">
        <v>3600</v>
      </c>
      <c r="H28" s="85">
        <f t="shared" si="2"/>
        <v>3888</v>
      </c>
      <c r="I28" s="58">
        <f t="shared" si="4"/>
        <v>27617.72</v>
      </c>
    </row>
    <row r="29" spans="1:9" ht="18" customHeight="1" x14ac:dyDescent="0.2">
      <c r="A29" s="56"/>
      <c r="B29" s="50" t="s">
        <v>31</v>
      </c>
      <c r="C29" s="59">
        <f>ROUNDUP((C28)*30,0)</f>
        <v>33</v>
      </c>
      <c r="D29" s="56" t="s">
        <v>74</v>
      </c>
      <c r="E29" s="58">
        <v>40.840000000000003</v>
      </c>
      <c r="F29" s="85">
        <f t="shared" si="3"/>
        <v>1347.72</v>
      </c>
      <c r="G29" s="58">
        <v>0</v>
      </c>
      <c r="H29" s="85">
        <f t="shared" si="2"/>
        <v>0</v>
      </c>
      <c r="I29" s="58">
        <f t="shared" si="4"/>
        <v>1347.72</v>
      </c>
    </row>
    <row r="30" spans="1:9" ht="18" customHeight="1" x14ac:dyDescent="0.2">
      <c r="A30" s="56"/>
      <c r="B30" s="50" t="s">
        <v>32</v>
      </c>
      <c r="C30" s="59">
        <f>ROUNDUP((3.2*0.2)*93,0)</f>
        <v>60</v>
      </c>
      <c r="D30" s="56" t="s">
        <v>75</v>
      </c>
      <c r="E30" s="58">
        <v>0</v>
      </c>
      <c r="F30" s="85">
        <f t="shared" si="3"/>
        <v>0</v>
      </c>
      <c r="G30" s="58">
        <v>139</v>
      </c>
      <c r="H30" s="85">
        <f t="shared" si="2"/>
        <v>8340</v>
      </c>
      <c r="I30" s="58">
        <f t="shared" si="4"/>
        <v>8340</v>
      </c>
    </row>
    <row r="31" spans="1:9" ht="18" customHeight="1" x14ac:dyDescent="0.2">
      <c r="A31" s="56"/>
      <c r="B31" s="50" t="s">
        <v>33</v>
      </c>
      <c r="C31" s="59">
        <f>ROUNDUP(C30*0.8,0)</f>
        <v>48</v>
      </c>
      <c r="D31" s="56" t="s">
        <v>76</v>
      </c>
      <c r="E31" s="58">
        <v>400</v>
      </c>
      <c r="F31" s="85">
        <f t="shared" si="3"/>
        <v>19200</v>
      </c>
      <c r="G31" s="58">
        <v>0</v>
      </c>
      <c r="H31" s="85">
        <f t="shared" si="2"/>
        <v>0</v>
      </c>
      <c r="I31" s="58">
        <f t="shared" si="4"/>
        <v>19200</v>
      </c>
    </row>
    <row r="32" spans="1:9" ht="18" customHeight="1" x14ac:dyDescent="0.2">
      <c r="A32" s="56"/>
      <c r="B32" s="50" t="s">
        <v>34</v>
      </c>
      <c r="C32" s="59">
        <f>ROUNDUP(C31*0.3,0)</f>
        <v>15</v>
      </c>
      <c r="D32" s="56" t="s">
        <v>76</v>
      </c>
      <c r="E32" s="58">
        <v>400</v>
      </c>
      <c r="F32" s="85">
        <f t="shared" si="3"/>
        <v>6000</v>
      </c>
      <c r="G32" s="58">
        <v>0</v>
      </c>
      <c r="H32" s="85">
        <f t="shared" si="2"/>
        <v>0</v>
      </c>
      <c r="I32" s="58">
        <f t="shared" si="4"/>
        <v>6000</v>
      </c>
    </row>
    <row r="33" spans="1:14" ht="18" customHeight="1" x14ac:dyDescent="0.2">
      <c r="A33" s="83"/>
      <c r="B33" s="93" t="s">
        <v>35</v>
      </c>
      <c r="C33" s="94">
        <f>ROUNDUP(C30*0.25,0)</f>
        <v>15</v>
      </c>
      <c r="D33" s="83" t="s">
        <v>74</v>
      </c>
      <c r="E33" s="85">
        <v>60.75</v>
      </c>
      <c r="F33" s="85">
        <f t="shared" si="3"/>
        <v>911.25</v>
      </c>
      <c r="G33" s="85">
        <v>0</v>
      </c>
      <c r="H33" s="85">
        <f t="shared" si="2"/>
        <v>0</v>
      </c>
      <c r="I33" s="85">
        <f t="shared" si="4"/>
        <v>911.25</v>
      </c>
    </row>
    <row r="34" spans="1:14" s="37" customFormat="1" ht="18" customHeight="1" x14ac:dyDescent="0.2">
      <c r="A34" s="90"/>
      <c r="B34" s="90" t="s">
        <v>312</v>
      </c>
      <c r="C34" s="96"/>
      <c r="D34" s="90"/>
      <c r="E34" s="91"/>
      <c r="F34" s="91">
        <f>SUM(F25:F33)</f>
        <v>88553.9</v>
      </c>
      <c r="G34" s="91"/>
      <c r="H34" s="91">
        <f>SUM(H25:H33)</f>
        <v>20183</v>
      </c>
      <c r="I34" s="91">
        <f>SUM(I25:I33)</f>
        <v>108736.90000000001</v>
      </c>
    </row>
    <row r="35" spans="1:14" s="37" customFormat="1" ht="18" customHeight="1" x14ac:dyDescent="0.2">
      <c r="A35" s="87" t="s">
        <v>164</v>
      </c>
      <c r="B35" s="95" t="s">
        <v>38</v>
      </c>
      <c r="C35" s="88"/>
      <c r="D35" s="87"/>
      <c r="E35" s="89"/>
      <c r="F35" s="89"/>
      <c r="G35" s="89"/>
      <c r="H35" s="89"/>
      <c r="I35" s="89"/>
    </row>
    <row r="36" spans="1:14" ht="18" customHeight="1" x14ac:dyDescent="0.2">
      <c r="A36" s="56"/>
      <c r="B36" s="50" t="s">
        <v>148</v>
      </c>
      <c r="C36" s="58">
        <f>ROUNDUP((0.2*0.2*0.5)*(93)*1.05,0)</f>
        <v>2</v>
      </c>
      <c r="D36" s="56" t="s">
        <v>72</v>
      </c>
      <c r="E36" s="58">
        <v>2204.0500000000002</v>
      </c>
      <c r="F36" s="85">
        <f t="shared" ref="F36:F45" si="5">ROUNDDOWN(C36*E36,2)</f>
        <v>4408.1000000000004</v>
      </c>
      <c r="G36" s="58">
        <v>419</v>
      </c>
      <c r="H36" s="85">
        <f t="shared" ref="H36:H45" si="6">ROUNDDOWN(C36*G36,2)</f>
        <v>838</v>
      </c>
      <c r="I36" s="58">
        <f t="shared" ref="I36:I45" si="7">F36+H36</f>
        <v>5246.1</v>
      </c>
    </row>
    <row r="37" spans="1:14" ht="18" customHeight="1" x14ac:dyDescent="0.2">
      <c r="A37" s="56"/>
      <c r="B37" s="50" t="s">
        <v>37</v>
      </c>
      <c r="C37" s="58">
        <v>0.09</v>
      </c>
      <c r="D37" s="56" t="s">
        <v>73</v>
      </c>
      <c r="E37" s="58">
        <v>21889.25</v>
      </c>
      <c r="F37" s="85">
        <f t="shared" si="5"/>
        <v>1970.03</v>
      </c>
      <c r="G37" s="58">
        <v>4400</v>
      </c>
      <c r="H37" s="85">
        <f t="shared" si="6"/>
        <v>396</v>
      </c>
      <c r="I37" s="58">
        <f t="shared" si="7"/>
        <v>2366.0299999999997</v>
      </c>
    </row>
    <row r="38" spans="1:14" ht="18" customHeight="1" x14ac:dyDescent="0.2">
      <c r="A38" s="56"/>
      <c r="B38" s="50" t="s">
        <v>30</v>
      </c>
      <c r="C38" s="58">
        <v>0.36</v>
      </c>
      <c r="D38" s="56" t="s">
        <v>73</v>
      </c>
      <c r="E38" s="58">
        <v>21971.97</v>
      </c>
      <c r="F38" s="85">
        <f t="shared" si="5"/>
        <v>7909.9</v>
      </c>
      <c r="G38" s="58">
        <v>3600</v>
      </c>
      <c r="H38" s="85">
        <f t="shared" si="6"/>
        <v>1296</v>
      </c>
      <c r="I38" s="58">
        <f t="shared" si="7"/>
        <v>9205.9</v>
      </c>
    </row>
    <row r="39" spans="1:14" ht="18" customHeight="1" x14ac:dyDescent="0.2">
      <c r="A39" s="56"/>
      <c r="B39" s="50" t="s">
        <v>31</v>
      </c>
      <c r="C39" s="58">
        <f>ROUNDUP((C37+C38)*30,0)</f>
        <v>14</v>
      </c>
      <c r="D39" s="56" t="s">
        <v>74</v>
      </c>
      <c r="E39" s="58">
        <v>40.840000000000003</v>
      </c>
      <c r="F39" s="85">
        <f t="shared" si="5"/>
        <v>571.76</v>
      </c>
      <c r="G39" s="58">
        <v>0</v>
      </c>
      <c r="H39" s="85">
        <f t="shared" si="6"/>
        <v>0</v>
      </c>
      <c r="I39" s="58">
        <f t="shared" si="7"/>
        <v>571.76</v>
      </c>
    </row>
    <row r="40" spans="1:14" ht="18" customHeight="1" x14ac:dyDescent="0.2">
      <c r="A40" s="56"/>
      <c r="B40" s="50" t="s">
        <v>32</v>
      </c>
      <c r="C40" s="58">
        <f>ROUNDUP((0.8*1.4)*93,0)</f>
        <v>105</v>
      </c>
      <c r="D40" s="56" t="s">
        <v>75</v>
      </c>
      <c r="E40" s="58">
        <v>0</v>
      </c>
      <c r="F40" s="85">
        <f t="shared" si="5"/>
        <v>0</v>
      </c>
      <c r="G40" s="58">
        <v>139</v>
      </c>
      <c r="H40" s="85">
        <f t="shared" si="6"/>
        <v>14595</v>
      </c>
      <c r="I40" s="58">
        <f t="shared" si="7"/>
        <v>14595</v>
      </c>
    </row>
    <row r="41" spans="1:14" ht="18" customHeight="1" x14ac:dyDescent="0.2">
      <c r="A41" s="56"/>
      <c r="B41" s="50" t="s">
        <v>33</v>
      </c>
      <c r="C41" s="58">
        <f>ROUNDUP(C40*0.8,0)</f>
        <v>84</v>
      </c>
      <c r="D41" s="56" t="s">
        <v>76</v>
      </c>
      <c r="E41" s="58">
        <v>400</v>
      </c>
      <c r="F41" s="85">
        <f t="shared" si="5"/>
        <v>33600</v>
      </c>
      <c r="G41" s="58">
        <v>0</v>
      </c>
      <c r="H41" s="85">
        <f t="shared" si="6"/>
        <v>0</v>
      </c>
      <c r="I41" s="58">
        <f t="shared" si="7"/>
        <v>33600</v>
      </c>
    </row>
    <row r="42" spans="1:14" ht="18" customHeight="1" x14ac:dyDescent="0.2">
      <c r="A42" s="56"/>
      <c r="B42" s="50" t="s">
        <v>34</v>
      </c>
      <c r="C42" s="58">
        <f>ROUNDUP(C41*0.3,0)</f>
        <v>26</v>
      </c>
      <c r="D42" s="56" t="s">
        <v>76</v>
      </c>
      <c r="E42" s="58">
        <v>400</v>
      </c>
      <c r="F42" s="85">
        <f t="shared" si="5"/>
        <v>10400</v>
      </c>
      <c r="G42" s="58">
        <v>0</v>
      </c>
      <c r="H42" s="85">
        <f t="shared" si="6"/>
        <v>0</v>
      </c>
      <c r="I42" s="58">
        <f t="shared" si="7"/>
        <v>10400</v>
      </c>
    </row>
    <row r="43" spans="1:14" ht="18" customHeight="1" x14ac:dyDescent="0.2">
      <c r="A43" s="56"/>
      <c r="B43" s="50" t="s">
        <v>35</v>
      </c>
      <c r="C43" s="58">
        <f>ROUNDUP(C40*0.25,0)</f>
        <v>27</v>
      </c>
      <c r="D43" s="56" t="s">
        <v>74</v>
      </c>
      <c r="E43" s="58">
        <v>60.75</v>
      </c>
      <c r="F43" s="85">
        <f t="shared" si="5"/>
        <v>1640.25</v>
      </c>
      <c r="G43" s="58">
        <v>0</v>
      </c>
      <c r="H43" s="85">
        <f t="shared" si="6"/>
        <v>0</v>
      </c>
      <c r="I43" s="58">
        <f t="shared" si="7"/>
        <v>1640.25</v>
      </c>
    </row>
    <row r="44" spans="1:14" ht="18" customHeight="1" x14ac:dyDescent="0.2">
      <c r="A44" s="56"/>
      <c r="B44" s="50" t="s">
        <v>82</v>
      </c>
      <c r="C44" s="58">
        <v>350.77</v>
      </c>
      <c r="D44" s="56" t="s">
        <v>74</v>
      </c>
      <c r="E44" s="58">
        <v>36.5</v>
      </c>
      <c r="F44" s="85">
        <f t="shared" si="5"/>
        <v>12803.1</v>
      </c>
      <c r="G44" s="58">
        <v>20</v>
      </c>
      <c r="H44" s="85">
        <f t="shared" si="6"/>
        <v>7015.4</v>
      </c>
      <c r="I44" s="58">
        <f t="shared" si="7"/>
        <v>19818.5</v>
      </c>
    </row>
    <row r="45" spans="1:14" ht="18" customHeight="1" x14ac:dyDescent="0.2">
      <c r="A45" s="83"/>
      <c r="B45" s="93" t="s">
        <v>81</v>
      </c>
      <c r="C45" s="85">
        <f>4*93</f>
        <v>372</v>
      </c>
      <c r="D45" s="83" t="s">
        <v>83</v>
      </c>
      <c r="E45" s="85">
        <v>42.32</v>
      </c>
      <c r="F45" s="85">
        <f t="shared" si="5"/>
        <v>15743.04</v>
      </c>
      <c r="G45" s="85">
        <v>5</v>
      </c>
      <c r="H45" s="85">
        <f t="shared" si="6"/>
        <v>1860</v>
      </c>
      <c r="I45" s="85">
        <f t="shared" si="7"/>
        <v>17603.04</v>
      </c>
    </row>
    <row r="46" spans="1:14" s="37" customFormat="1" ht="18" customHeight="1" x14ac:dyDescent="0.2">
      <c r="A46" s="90"/>
      <c r="B46" s="44" t="s">
        <v>79</v>
      </c>
      <c r="C46" s="97"/>
      <c r="D46" s="90"/>
      <c r="E46" s="91"/>
      <c r="F46" s="91">
        <f>SUM(F36:F45)</f>
        <v>89046.18</v>
      </c>
      <c r="G46" s="91"/>
      <c r="H46" s="91">
        <f>SUM(H36:H45)</f>
        <v>26000.400000000001</v>
      </c>
      <c r="I46" s="91">
        <f>SUM(I36:I45)</f>
        <v>115046.57999999999</v>
      </c>
    </row>
    <row r="47" spans="1:14" s="37" customFormat="1" ht="18" customHeight="1" x14ac:dyDescent="0.2">
      <c r="A47" s="62" t="s">
        <v>165</v>
      </c>
      <c r="B47" s="52" t="s">
        <v>56</v>
      </c>
      <c r="C47" s="63"/>
      <c r="D47" s="66"/>
      <c r="E47" s="63"/>
      <c r="F47" s="63"/>
      <c r="G47" s="63"/>
      <c r="H47" s="63"/>
      <c r="I47" s="63"/>
    </row>
    <row r="48" spans="1:14" ht="18" customHeight="1" x14ac:dyDescent="0.2">
      <c r="A48" s="56"/>
      <c r="B48" s="132" t="s">
        <v>36</v>
      </c>
      <c r="C48" s="109">
        <f>ROUNDUP((3948.16-206.4)*0.1*1.25,0)</f>
        <v>468</v>
      </c>
      <c r="D48" s="65" t="s">
        <v>72</v>
      </c>
      <c r="E48" s="58">
        <v>436.92</v>
      </c>
      <c r="F48" s="85">
        <f t="shared" ref="F48:F57" si="8">ROUNDDOWN(C48*E48,2)</f>
        <v>204478.56</v>
      </c>
      <c r="G48" s="58">
        <v>104</v>
      </c>
      <c r="H48" s="85">
        <f t="shared" ref="H48:H57" si="9">ROUNDDOWN(C48*G48,2)</f>
        <v>48672</v>
      </c>
      <c r="I48" s="58">
        <f t="shared" ref="I48:I52" si="10">F48+H48</f>
        <v>253150.56</v>
      </c>
      <c r="M48" s="108"/>
      <c r="N48" s="108"/>
    </row>
    <row r="49" spans="1:16" ht="18" customHeight="1" x14ac:dyDescent="0.2">
      <c r="A49" s="56"/>
      <c r="B49" s="132" t="s">
        <v>27</v>
      </c>
      <c r="C49" s="109">
        <f>ROUNDUP((3948.16-206.4)*0.05*1.05,0)</f>
        <v>197</v>
      </c>
      <c r="D49" s="65" t="s">
        <v>72</v>
      </c>
      <c r="E49" s="58">
        <v>1304.3</v>
      </c>
      <c r="F49" s="85">
        <f t="shared" si="8"/>
        <v>256947.1</v>
      </c>
      <c r="G49" s="58">
        <v>419</v>
      </c>
      <c r="H49" s="85">
        <f t="shared" si="9"/>
        <v>82543</v>
      </c>
      <c r="I49" s="58">
        <f t="shared" si="10"/>
        <v>339490.1</v>
      </c>
      <c r="M49" s="108"/>
      <c r="N49" s="108"/>
    </row>
    <row r="50" spans="1:16" ht="18" customHeight="1" x14ac:dyDescent="0.2">
      <c r="A50" s="56"/>
      <c r="B50" s="50" t="s">
        <v>148</v>
      </c>
      <c r="C50" s="109">
        <f>ROUNDUP(((2421.35*0.15)+(1527.38*0.15))*1.05,0)</f>
        <v>622</v>
      </c>
      <c r="D50" s="65" t="s">
        <v>72</v>
      </c>
      <c r="E50" s="58">
        <v>2204.0500000000002</v>
      </c>
      <c r="F50" s="85">
        <f t="shared" si="8"/>
        <v>1370919.1</v>
      </c>
      <c r="G50" s="58">
        <v>419</v>
      </c>
      <c r="H50" s="85">
        <f t="shared" si="9"/>
        <v>260618</v>
      </c>
      <c r="I50" s="58">
        <f t="shared" si="10"/>
        <v>1631537.1</v>
      </c>
      <c r="M50" s="108"/>
      <c r="N50" s="108"/>
      <c r="O50" s="39"/>
    </row>
    <row r="51" spans="1:16" ht="18" customHeight="1" x14ac:dyDescent="0.2">
      <c r="A51" s="56"/>
      <c r="B51" s="50" t="s">
        <v>293</v>
      </c>
      <c r="C51" s="109">
        <f>ROUNDUP(1527.38+2421.35,0)</f>
        <v>3949</v>
      </c>
      <c r="D51" s="65" t="s">
        <v>75</v>
      </c>
      <c r="E51" s="58">
        <v>32</v>
      </c>
      <c r="F51" s="85">
        <f t="shared" si="8"/>
        <v>126368</v>
      </c>
      <c r="G51" s="58">
        <v>5</v>
      </c>
      <c r="H51" s="85">
        <f t="shared" si="9"/>
        <v>19745</v>
      </c>
      <c r="I51" s="58">
        <f t="shared" si="10"/>
        <v>146113</v>
      </c>
      <c r="L51" s="108"/>
      <c r="M51" s="108"/>
      <c r="N51" s="119"/>
      <c r="O51" s="108"/>
      <c r="P51" s="113"/>
    </row>
    <row r="52" spans="1:16" ht="18" customHeight="1" x14ac:dyDescent="0.2">
      <c r="A52" s="56"/>
      <c r="B52" s="50" t="s">
        <v>114</v>
      </c>
      <c r="C52" s="109">
        <f>(84+128+56)+(98+158)+49+26+28+21+26+(48+60)+(7+44+7+44)+(36+29+30)</f>
        <v>979</v>
      </c>
      <c r="D52" s="65" t="s">
        <v>90</v>
      </c>
      <c r="E52" s="58">
        <v>148.54</v>
      </c>
      <c r="F52" s="85">
        <f t="shared" si="8"/>
        <v>145420.66</v>
      </c>
      <c r="G52" s="58">
        <v>50</v>
      </c>
      <c r="H52" s="85">
        <f t="shared" si="9"/>
        <v>48950</v>
      </c>
      <c r="I52" s="58">
        <f t="shared" si="10"/>
        <v>194370.66</v>
      </c>
      <c r="M52" s="108"/>
      <c r="N52" s="113"/>
      <c r="O52" s="108"/>
      <c r="P52" s="113"/>
    </row>
    <row r="53" spans="1:16" ht="18" customHeight="1" x14ac:dyDescent="0.2">
      <c r="A53" s="56"/>
      <c r="B53" s="50" t="s">
        <v>275</v>
      </c>
      <c r="C53" s="109">
        <v>188</v>
      </c>
      <c r="D53" s="65" t="s">
        <v>90</v>
      </c>
      <c r="E53" s="58">
        <v>74.27</v>
      </c>
      <c r="F53" s="85">
        <f t="shared" si="8"/>
        <v>13962.76</v>
      </c>
      <c r="G53" s="58">
        <v>50</v>
      </c>
      <c r="H53" s="85">
        <f t="shared" si="9"/>
        <v>9400</v>
      </c>
      <c r="I53" s="58">
        <f t="shared" ref="I53" si="11">F53+H53</f>
        <v>23362.760000000002</v>
      </c>
      <c r="L53" s="108"/>
      <c r="M53" s="108"/>
      <c r="N53" s="119"/>
      <c r="O53" s="108"/>
      <c r="P53" s="113"/>
    </row>
    <row r="54" spans="1:16" ht="18" customHeight="1" x14ac:dyDescent="0.2">
      <c r="A54" s="56"/>
      <c r="B54" s="50" t="s">
        <v>60</v>
      </c>
      <c r="C54" s="109">
        <f>ROUNDUP(49.6+29.72+49.6+29.72+23.92+22.2+23.92+22.2+19.2+27.4+19.2+27.4,0)</f>
        <v>345</v>
      </c>
      <c r="D54" s="65" t="s">
        <v>88</v>
      </c>
      <c r="E54" s="58">
        <f>JOISTS!H14</f>
        <v>207.1</v>
      </c>
      <c r="F54" s="85">
        <f t="shared" si="8"/>
        <v>71449.5</v>
      </c>
      <c r="G54" s="58">
        <v>0</v>
      </c>
      <c r="H54" s="85">
        <f t="shared" si="9"/>
        <v>0</v>
      </c>
      <c r="I54" s="58">
        <f t="shared" ref="I54" si="12">F54+H54</f>
        <v>71449.5</v>
      </c>
      <c r="K54" s="108"/>
      <c r="M54" s="108"/>
      <c r="N54" s="113"/>
      <c r="O54" s="108"/>
      <c r="P54" s="113"/>
    </row>
    <row r="55" spans="1:16" ht="18" customHeight="1" x14ac:dyDescent="0.2">
      <c r="A55" s="56"/>
      <c r="B55" s="50" t="s">
        <v>273</v>
      </c>
      <c r="C55" s="109">
        <f>166+100+166+100+80+74+80+74+92+64+92+64</f>
        <v>1152</v>
      </c>
      <c r="D55" s="65" t="s">
        <v>126</v>
      </c>
      <c r="E55" s="109">
        <v>24.6</v>
      </c>
      <c r="F55" s="85">
        <f t="shared" si="8"/>
        <v>28339.200000000001</v>
      </c>
      <c r="G55" s="58">
        <v>0</v>
      </c>
      <c r="H55" s="85">
        <f t="shared" si="9"/>
        <v>0</v>
      </c>
      <c r="I55" s="58">
        <f t="shared" ref="I55:I56" si="13">F55+H55</f>
        <v>28339.200000000001</v>
      </c>
      <c r="K55" s="108"/>
      <c r="L55" s="108"/>
      <c r="M55" s="108"/>
      <c r="N55" s="113"/>
      <c r="O55" s="108"/>
      <c r="P55" s="113"/>
    </row>
    <row r="56" spans="1:16" ht="18" customHeight="1" x14ac:dyDescent="0.2">
      <c r="A56" s="56"/>
      <c r="B56" s="50" t="s">
        <v>274</v>
      </c>
      <c r="C56" s="109">
        <f>ROUNDUP(49.6+29.72+49.6+29.72+23.92+22.2+23.92+22.2+19.2+27.4+19.2+27.4,0)</f>
        <v>345</v>
      </c>
      <c r="D56" s="65" t="s">
        <v>88</v>
      </c>
      <c r="E56" s="109">
        <v>622.16</v>
      </c>
      <c r="F56" s="85">
        <f t="shared" si="8"/>
        <v>214645.2</v>
      </c>
      <c r="G56" s="58">
        <v>5</v>
      </c>
      <c r="H56" s="85">
        <f t="shared" si="9"/>
        <v>1725</v>
      </c>
      <c r="I56" s="58">
        <f t="shared" si="13"/>
        <v>216370.2</v>
      </c>
      <c r="K56" s="108"/>
      <c r="L56" s="108"/>
      <c r="M56" s="108"/>
      <c r="N56" s="113"/>
      <c r="O56" s="108"/>
      <c r="P56" s="113"/>
    </row>
    <row r="57" spans="1:16" ht="18" customHeight="1" x14ac:dyDescent="0.2">
      <c r="A57" s="83"/>
      <c r="B57" s="93" t="s">
        <v>61</v>
      </c>
      <c r="C57" s="117">
        <f>ROUNDUP((245+43.7+70+9+11+14.5+16.5+12.0215+11)+(356.64+347.2+111+119.6+109.6+115.2+9.3+14+12.9),0)</f>
        <v>1629</v>
      </c>
      <c r="D57" s="86" t="s">
        <v>88</v>
      </c>
      <c r="E57" s="117">
        <f>JOISTS!H25</f>
        <v>39.85</v>
      </c>
      <c r="F57" s="85">
        <f t="shared" si="8"/>
        <v>64915.65</v>
      </c>
      <c r="G57" s="85">
        <v>0</v>
      </c>
      <c r="H57" s="85">
        <f t="shared" si="9"/>
        <v>0</v>
      </c>
      <c r="I57" s="58">
        <f t="shared" ref="I57" si="14">F57+H57</f>
        <v>64915.65</v>
      </c>
      <c r="K57" s="108"/>
      <c r="L57" s="108"/>
      <c r="M57" s="108"/>
      <c r="N57" s="113"/>
      <c r="O57" s="108"/>
      <c r="P57" s="113"/>
    </row>
    <row r="58" spans="1:16" ht="18" customHeight="1" x14ac:dyDescent="0.2">
      <c r="A58" s="90"/>
      <c r="B58" s="44" t="s">
        <v>125</v>
      </c>
      <c r="C58" s="91"/>
      <c r="D58" s="92"/>
      <c r="E58" s="91"/>
      <c r="F58" s="91">
        <f>SUM(F48:F57)</f>
        <v>2497445.7300000004</v>
      </c>
      <c r="G58" s="91"/>
      <c r="H58" s="91">
        <f>SUM(H48:H57)</f>
        <v>471653</v>
      </c>
      <c r="I58" s="91">
        <f>SUM(I48:I57)</f>
        <v>2969098.73</v>
      </c>
      <c r="K58" s="108"/>
      <c r="L58" s="108"/>
      <c r="M58" s="108"/>
      <c r="N58" s="113"/>
      <c r="O58" s="108"/>
      <c r="P58" s="113"/>
    </row>
    <row r="59" spans="1:16" ht="18" customHeight="1" x14ac:dyDescent="0.2">
      <c r="A59" s="62" t="s">
        <v>166</v>
      </c>
      <c r="B59" s="52" t="s">
        <v>49</v>
      </c>
      <c r="C59" s="63"/>
      <c r="D59" s="66"/>
      <c r="E59" s="63"/>
      <c r="F59" s="63"/>
      <c r="G59" s="63"/>
      <c r="H59" s="63"/>
      <c r="I59" s="63"/>
      <c r="K59" s="108"/>
      <c r="M59" s="108"/>
      <c r="N59" s="113"/>
      <c r="O59" s="108"/>
      <c r="P59" s="118"/>
    </row>
    <row r="60" spans="1:16" ht="18" customHeight="1" x14ac:dyDescent="0.2">
      <c r="A60" s="56"/>
      <c r="B60" s="132" t="s">
        <v>36</v>
      </c>
      <c r="C60" s="58">
        <f>ROUNDUP((0.12407*12)*1.25,0)</f>
        <v>2</v>
      </c>
      <c r="D60" s="65" t="s">
        <v>72</v>
      </c>
      <c r="E60" s="58">
        <v>436.92</v>
      </c>
      <c r="F60" s="85">
        <f t="shared" ref="F60:F70" si="15">ROUNDDOWN(C60*E60,2)</f>
        <v>873.84</v>
      </c>
      <c r="G60" s="58">
        <v>104</v>
      </c>
      <c r="H60" s="85">
        <f t="shared" ref="H60:H70" si="16">ROUNDDOWN(C60*G60,2)</f>
        <v>208</v>
      </c>
      <c r="I60" s="58">
        <f t="shared" ref="I60:I70" si="17">F60+H60</f>
        <v>1081.8400000000001</v>
      </c>
      <c r="K60" s="108"/>
      <c r="L60" s="108"/>
      <c r="M60" s="108"/>
      <c r="N60" s="113"/>
      <c r="O60" s="108"/>
      <c r="P60" s="118"/>
    </row>
    <row r="61" spans="1:16" ht="18" customHeight="1" x14ac:dyDescent="0.2">
      <c r="A61" s="56"/>
      <c r="B61" s="132" t="s">
        <v>27</v>
      </c>
      <c r="C61" s="58">
        <f>ROUNDUP((0.062035*12)*1.05,0)</f>
        <v>1</v>
      </c>
      <c r="D61" s="65" t="s">
        <v>72</v>
      </c>
      <c r="E61" s="58">
        <v>1304.3</v>
      </c>
      <c r="F61" s="85">
        <f t="shared" si="15"/>
        <v>1304.3</v>
      </c>
      <c r="G61" s="58">
        <v>419</v>
      </c>
      <c r="H61" s="85">
        <f t="shared" si="16"/>
        <v>419</v>
      </c>
      <c r="I61" s="58">
        <f t="shared" si="17"/>
        <v>1723.3</v>
      </c>
      <c r="K61" s="108"/>
      <c r="L61" s="108"/>
      <c r="M61" s="108"/>
      <c r="N61" s="113"/>
      <c r="O61" s="108"/>
      <c r="P61" s="118"/>
    </row>
    <row r="62" spans="1:16" ht="18" customHeight="1" x14ac:dyDescent="0.2">
      <c r="A62" s="56"/>
      <c r="B62" s="50" t="s">
        <v>148</v>
      </c>
      <c r="C62" s="58">
        <f>ROUNDUP((0.2972*1)*12*1.05,0)</f>
        <v>4</v>
      </c>
      <c r="D62" s="65" t="s">
        <v>72</v>
      </c>
      <c r="E62" s="58">
        <v>2204.0500000000002</v>
      </c>
      <c r="F62" s="85">
        <f t="shared" si="15"/>
        <v>8816.2000000000007</v>
      </c>
      <c r="G62" s="58">
        <v>419</v>
      </c>
      <c r="H62" s="85">
        <f t="shared" si="16"/>
        <v>1676</v>
      </c>
      <c r="I62" s="58">
        <f t="shared" si="17"/>
        <v>10492.2</v>
      </c>
      <c r="K62" s="108"/>
      <c r="L62" s="108"/>
      <c r="M62" s="108"/>
      <c r="N62" s="118"/>
      <c r="O62" s="108"/>
      <c r="P62" s="118"/>
    </row>
    <row r="63" spans="1:16" ht="18" customHeight="1" x14ac:dyDescent="0.2">
      <c r="A63" s="56"/>
      <c r="B63" s="50" t="s">
        <v>37</v>
      </c>
      <c r="C63" s="58">
        <v>0.08</v>
      </c>
      <c r="D63" s="65" t="s">
        <v>73</v>
      </c>
      <c r="E63" s="58">
        <v>21889.25</v>
      </c>
      <c r="F63" s="85">
        <f t="shared" si="15"/>
        <v>1751.14</v>
      </c>
      <c r="G63" s="58">
        <v>4400</v>
      </c>
      <c r="H63" s="85">
        <f t="shared" si="16"/>
        <v>352</v>
      </c>
      <c r="I63" s="58">
        <f t="shared" si="17"/>
        <v>2103.1400000000003</v>
      </c>
      <c r="K63" s="108"/>
      <c r="L63" s="108"/>
      <c r="M63" s="108"/>
      <c r="N63" s="118"/>
      <c r="O63" s="108"/>
      <c r="P63" s="118"/>
    </row>
    <row r="64" spans="1:16" ht="18" customHeight="1" x14ac:dyDescent="0.2">
      <c r="A64" s="56"/>
      <c r="B64" s="50" t="s">
        <v>29</v>
      </c>
      <c r="C64" s="58">
        <v>0.12</v>
      </c>
      <c r="D64" s="65" t="s">
        <v>73</v>
      </c>
      <c r="E64" s="58">
        <v>21353.27</v>
      </c>
      <c r="F64" s="85">
        <f t="shared" si="15"/>
        <v>2562.39</v>
      </c>
      <c r="G64" s="58">
        <v>4400</v>
      </c>
      <c r="H64" s="85">
        <f t="shared" si="16"/>
        <v>528</v>
      </c>
      <c r="I64" s="58">
        <f t="shared" si="17"/>
        <v>3090.39</v>
      </c>
      <c r="K64" s="108"/>
      <c r="L64" s="108"/>
      <c r="M64" s="108"/>
      <c r="N64" s="118"/>
      <c r="O64" s="108"/>
      <c r="P64" s="118"/>
    </row>
    <row r="65" spans="1:16" ht="18" customHeight="1" x14ac:dyDescent="0.2">
      <c r="A65" s="56"/>
      <c r="B65" s="50" t="s">
        <v>30</v>
      </c>
      <c r="C65" s="58">
        <v>0.09</v>
      </c>
      <c r="D65" s="65" t="s">
        <v>73</v>
      </c>
      <c r="E65" s="58">
        <v>21971.97</v>
      </c>
      <c r="F65" s="85">
        <f t="shared" si="15"/>
        <v>1977.47</v>
      </c>
      <c r="G65" s="58">
        <v>3600</v>
      </c>
      <c r="H65" s="85">
        <f t="shared" si="16"/>
        <v>324</v>
      </c>
      <c r="I65" s="58">
        <f t="shared" si="17"/>
        <v>2301.4700000000003</v>
      </c>
      <c r="K65" s="108"/>
      <c r="L65" s="108"/>
      <c r="M65" s="108"/>
      <c r="N65" s="108"/>
      <c r="O65" s="108"/>
      <c r="P65" s="108"/>
    </row>
    <row r="66" spans="1:16" ht="18" customHeight="1" x14ac:dyDescent="0.2">
      <c r="A66" s="56"/>
      <c r="B66" s="50" t="s">
        <v>31</v>
      </c>
      <c r="C66" s="58">
        <f>ROUNDUP((C63+C64+C65)*30,0)</f>
        <v>9</v>
      </c>
      <c r="D66" s="65" t="s">
        <v>74</v>
      </c>
      <c r="E66" s="58">
        <v>40.840000000000003</v>
      </c>
      <c r="F66" s="85">
        <f t="shared" si="15"/>
        <v>367.56</v>
      </c>
      <c r="G66" s="58">
        <v>0</v>
      </c>
      <c r="H66" s="85">
        <f t="shared" si="16"/>
        <v>0</v>
      </c>
      <c r="I66" s="58">
        <f t="shared" si="17"/>
        <v>367.56</v>
      </c>
      <c r="K66" s="108"/>
      <c r="L66" s="108"/>
      <c r="M66" s="108"/>
      <c r="N66" s="108"/>
      <c r="O66" s="108"/>
      <c r="P66" s="108"/>
    </row>
    <row r="67" spans="1:16" ht="18" customHeight="1" x14ac:dyDescent="0.2">
      <c r="A67" s="56"/>
      <c r="B67" s="50" t="s">
        <v>32</v>
      </c>
      <c r="C67" s="58">
        <f>ROUNDUP((1.62*12)+(0.2972*24),0)</f>
        <v>27</v>
      </c>
      <c r="D67" s="65" t="s">
        <v>75</v>
      </c>
      <c r="E67" s="58">
        <v>0</v>
      </c>
      <c r="F67" s="85">
        <f t="shared" si="15"/>
        <v>0</v>
      </c>
      <c r="G67" s="58">
        <v>139</v>
      </c>
      <c r="H67" s="85">
        <f t="shared" si="16"/>
        <v>3753</v>
      </c>
      <c r="I67" s="58">
        <f t="shared" si="17"/>
        <v>3753</v>
      </c>
      <c r="K67" s="108"/>
      <c r="L67" s="108"/>
      <c r="M67" s="108"/>
      <c r="N67" s="108"/>
      <c r="O67" s="108"/>
      <c r="P67" s="108"/>
    </row>
    <row r="68" spans="1:16" ht="18" customHeight="1" x14ac:dyDescent="0.2">
      <c r="A68" s="56"/>
      <c r="B68" s="50" t="s">
        <v>33</v>
      </c>
      <c r="C68" s="58">
        <f>ROUNDUP(C67*0.8,0)</f>
        <v>22</v>
      </c>
      <c r="D68" s="65" t="s">
        <v>76</v>
      </c>
      <c r="E68" s="58">
        <v>400</v>
      </c>
      <c r="F68" s="85">
        <f t="shared" si="15"/>
        <v>8800</v>
      </c>
      <c r="G68" s="58">
        <v>0</v>
      </c>
      <c r="H68" s="85">
        <f t="shared" si="16"/>
        <v>0</v>
      </c>
      <c r="I68" s="58">
        <f t="shared" si="17"/>
        <v>8800</v>
      </c>
      <c r="L68" s="108"/>
    </row>
    <row r="69" spans="1:16" ht="18" customHeight="1" x14ac:dyDescent="0.2">
      <c r="A69" s="56"/>
      <c r="B69" s="50" t="s">
        <v>34</v>
      </c>
      <c r="C69" s="58">
        <f>ROUNDUP(C68*0.3,0)</f>
        <v>7</v>
      </c>
      <c r="D69" s="65" t="s">
        <v>76</v>
      </c>
      <c r="E69" s="58">
        <v>400</v>
      </c>
      <c r="F69" s="85">
        <f t="shared" si="15"/>
        <v>2800</v>
      </c>
      <c r="G69" s="58">
        <v>0</v>
      </c>
      <c r="H69" s="85">
        <f t="shared" si="16"/>
        <v>0</v>
      </c>
      <c r="I69" s="58">
        <f t="shared" si="17"/>
        <v>2800</v>
      </c>
      <c r="L69" s="108"/>
    </row>
    <row r="70" spans="1:16" s="37" customFormat="1" ht="18" customHeight="1" x14ac:dyDescent="0.2">
      <c r="A70" s="83"/>
      <c r="B70" s="93" t="s">
        <v>35</v>
      </c>
      <c r="C70" s="85">
        <f>ROUNDUP(C67*0.25,0)</f>
        <v>7</v>
      </c>
      <c r="D70" s="86" t="s">
        <v>74</v>
      </c>
      <c r="E70" s="85">
        <v>60.75</v>
      </c>
      <c r="F70" s="85">
        <f t="shared" si="15"/>
        <v>425.25</v>
      </c>
      <c r="G70" s="85">
        <v>0</v>
      </c>
      <c r="H70" s="85">
        <f t="shared" si="16"/>
        <v>0</v>
      </c>
      <c r="I70" s="85">
        <f t="shared" si="17"/>
        <v>425.25</v>
      </c>
      <c r="L70" s="108"/>
    </row>
    <row r="71" spans="1:16" s="37" customFormat="1" ht="18" customHeight="1" x14ac:dyDescent="0.2">
      <c r="A71" s="90"/>
      <c r="B71" s="44" t="s">
        <v>116</v>
      </c>
      <c r="C71" s="91"/>
      <c r="D71" s="92"/>
      <c r="E71" s="91"/>
      <c r="F71" s="91">
        <f>SUM(F60:F70)</f>
        <v>29678.15</v>
      </c>
      <c r="G71" s="91"/>
      <c r="H71" s="91">
        <f>SUM(H60:H70)</f>
        <v>7260</v>
      </c>
      <c r="I71" s="91">
        <f>SUM(I60:I70)</f>
        <v>36938.15</v>
      </c>
      <c r="L71" s="108"/>
    </row>
    <row r="72" spans="1:16" s="37" customFormat="1" ht="18" customHeight="1" x14ac:dyDescent="0.2">
      <c r="A72" s="62" t="s">
        <v>167</v>
      </c>
      <c r="B72" s="52" t="s">
        <v>141</v>
      </c>
      <c r="C72" s="63"/>
      <c r="D72" s="66"/>
      <c r="E72" s="63"/>
      <c r="F72" s="63"/>
      <c r="G72" s="63"/>
      <c r="H72" s="63"/>
      <c r="I72" s="63"/>
      <c r="L72" s="108"/>
    </row>
    <row r="73" spans="1:16" ht="18" customHeight="1" x14ac:dyDescent="0.2">
      <c r="A73" s="56"/>
      <c r="B73" s="132" t="s">
        <v>36</v>
      </c>
      <c r="C73" s="58">
        <f>ROUNDUP((0.1*0.55*275.931)*1.25,0)</f>
        <v>19</v>
      </c>
      <c r="D73" s="65" t="s">
        <v>72</v>
      </c>
      <c r="E73" s="58">
        <v>436.92</v>
      </c>
      <c r="F73" s="85">
        <f t="shared" ref="F73:F81" si="18">ROUNDDOWN(C73*E73,2)</f>
        <v>8301.48</v>
      </c>
      <c r="G73" s="58">
        <v>104</v>
      </c>
      <c r="H73" s="85">
        <f t="shared" ref="H73:H81" si="19">ROUNDDOWN(C73*G73,2)</f>
        <v>1976</v>
      </c>
      <c r="I73" s="58">
        <f t="shared" ref="I73:I81" si="20">F73+H73</f>
        <v>10277.48</v>
      </c>
      <c r="L73" s="108"/>
    </row>
    <row r="74" spans="1:16" ht="18" customHeight="1" x14ac:dyDescent="0.2">
      <c r="A74" s="56"/>
      <c r="B74" s="132" t="s">
        <v>27</v>
      </c>
      <c r="C74" s="58">
        <f>ROUNDUP(0.05*0.55*275.931*1.05,0)</f>
        <v>8</v>
      </c>
      <c r="D74" s="65" t="s">
        <v>72</v>
      </c>
      <c r="E74" s="58">
        <v>1304.3</v>
      </c>
      <c r="F74" s="85">
        <f t="shared" si="18"/>
        <v>10434.4</v>
      </c>
      <c r="G74" s="58">
        <v>419</v>
      </c>
      <c r="H74" s="85">
        <f t="shared" si="19"/>
        <v>3352</v>
      </c>
      <c r="I74" s="58">
        <f t="shared" si="20"/>
        <v>13786.4</v>
      </c>
      <c r="L74" s="108"/>
    </row>
    <row r="75" spans="1:16" ht="18" customHeight="1" x14ac:dyDescent="0.2">
      <c r="A75" s="56"/>
      <c r="B75" s="50" t="s">
        <v>148</v>
      </c>
      <c r="C75" s="58">
        <f>ROUNDUP(0.1271*275.931*1.05,0)</f>
        <v>37</v>
      </c>
      <c r="D75" s="65" t="s">
        <v>72</v>
      </c>
      <c r="E75" s="58">
        <v>2204.0500000000002</v>
      </c>
      <c r="F75" s="85">
        <f t="shared" si="18"/>
        <v>81549.850000000006</v>
      </c>
      <c r="G75" s="58">
        <v>419</v>
      </c>
      <c r="H75" s="85">
        <f t="shared" si="19"/>
        <v>15503</v>
      </c>
      <c r="I75" s="58">
        <f t="shared" si="20"/>
        <v>97052.85</v>
      </c>
      <c r="L75" s="108"/>
    </row>
    <row r="76" spans="1:16" ht="18" customHeight="1" x14ac:dyDescent="0.2">
      <c r="A76" s="56"/>
      <c r="B76" s="50" t="s">
        <v>37</v>
      </c>
      <c r="C76" s="58">
        <v>0.98</v>
      </c>
      <c r="D76" s="65" t="s">
        <v>73</v>
      </c>
      <c r="E76" s="58">
        <v>21889.25</v>
      </c>
      <c r="F76" s="85">
        <f t="shared" si="18"/>
        <v>21451.46</v>
      </c>
      <c r="G76" s="58">
        <v>4400</v>
      </c>
      <c r="H76" s="85">
        <f t="shared" si="19"/>
        <v>4312</v>
      </c>
      <c r="I76" s="58">
        <f t="shared" si="20"/>
        <v>25763.46</v>
      </c>
      <c r="L76" s="108"/>
    </row>
    <row r="77" spans="1:16" ht="18" customHeight="1" x14ac:dyDescent="0.2">
      <c r="A77" s="56"/>
      <c r="B77" s="50" t="s">
        <v>31</v>
      </c>
      <c r="C77" s="58">
        <f>ROUNDUP((C76)*30,0)</f>
        <v>30</v>
      </c>
      <c r="D77" s="65" t="s">
        <v>74</v>
      </c>
      <c r="E77" s="58">
        <v>40.840000000000003</v>
      </c>
      <c r="F77" s="85">
        <f t="shared" si="18"/>
        <v>1225.2</v>
      </c>
      <c r="G77" s="58">
        <v>0</v>
      </c>
      <c r="H77" s="85">
        <f t="shared" si="19"/>
        <v>0</v>
      </c>
      <c r="I77" s="58">
        <f t="shared" si="20"/>
        <v>1225.2</v>
      </c>
      <c r="L77" s="108"/>
    </row>
    <row r="78" spans="1:16" ht="18" customHeight="1" x14ac:dyDescent="0.2">
      <c r="A78" s="56"/>
      <c r="B78" s="50" t="s">
        <v>32</v>
      </c>
      <c r="C78" s="58">
        <f>ROUNDUP((2*0.625*275.931)+(0.1271*24),0)</f>
        <v>348</v>
      </c>
      <c r="D78" s="65" t="s">
        <v>72</v>
      </c>
      <c r="E78" s="58">
        <v>0</v>
      </c>
      <c r="F78" s="85">
        <f t="shared" si="18"/>
        <v>0</v>
      </c>
      <c r="G78" s="58">
        <v>139</v>
      </c>
      <c r="H78" s="85">
        <f t="shared" si="19"/>
        <v>48372</v>
      </c>
      <c r="I78" s="58">
        <f t="shared" si="20"/>
        <v>48372</v>
      </c>
      <c r="L78" s="108"/>
    </row>
    <row r="79" spans="1:16" ht="18" customHeight="1" x14ac:dyDescent="0.2">
      <c r="A79" s="56"/>
      <c r="B79" s="50" t="s">
        <v>33</v>
      </c>
      <c r="C79" s="58">
        <f>ROUNDUP(C78*0.8,0)</f>
        <v>279</v>
      </c>
      <c r="D79" s="65" t="s">
        <v>76</v>
      </c>
      <c r="E79" s="58">
        <v>400</v>
      </c>
      <c r="F79" s="85">
        <f t="shared" si="18"/>
        <v>111600</v>
      </c>
      <c r="G79" s="58">
        <v>0</v>
      </c>
      <c r="H79" s="85">
        <f t="shared" si="19"/>
        <v>0</v>
      </c>
      <c r="I79" s="58">
        <f t="shared" si="20"/>
        <v>111600</v>
      </c>
      <c r="L79" s="108"/>
    </row>
    <row r="80" spans="1:16" ht="18" customHeight="1" x14ac:dyDescent="0.2">
      <c r="A80" s="56"/>
      <c r="B80" s="50" t="s">
        <v>34</v>
      </c>
      <c r="C80" s="58">
        <f>ROUNDUP(C79*0.3,0)</f>
        <v>84</v>
      </c>
      <c r="D80" s="65" t="s">
        <v>76</v>
      </c>
      <c r="E80" s="58">
        <v>400</v>
      </c>
      <c r="F80" s="85">
        <f t="shared" si="18"/>
        <v>33600</v>
      </c>
      <c r="G80" s="58">
        <v>0</v>
      </c>
      <c r="H80" s="85">
        <f t="shared" si="19"/>
        <v>0</v>
      </c>
      <c r="I80" s="58">
        <f t="shared" si="20"/>
        <v>33600</v>
      </c>
      <c r="L80" s="108"/>
    </row>
    <row r="81" spans="1:14" s="37" customFormat="1" ht="18" customHeight="1" x14ac:dyDescent="0.2">
      <c r="A81" s="83"/>
      <c r="B81" s="93" t="s">
        <v>35</v>
      </c>
      <c r="C81" s="85">
        <f>ROUNDUP(C78*0.25,0)</f>
        <v>87</v>
      </c>
      <c r="D81" s="86" t="s">
        <v>74</v>
      </c>
      <c r="E81" s="85">
        <v>60.75</v>
      </c>
      <c r="F81" s="85">
        <f t="shared" si="18"/>
        <v>5285.25</v>
      </c>
      <c r="G81" s="85">
        <v>0</v>
      </c>
      <c r="H81" s="85">
        <f t="shared" si="19"/>
        <v>0</v>
      </c>
      <c r="I81" s="85">
        <f t="shared" si="20"/>
        <v>5285.25</v>
      </c>
      <c r="L81" s="108"/>
    </row>
    <row r="82" spans="1:14" ht="18" customHeight="1" x14ac:dyDescent="0.2">
      <c r="A82" s="90"/>
      <c r="B82" s="44" t="s">
        <v>142</v>
      </c>
      <c r="C82" s="91"/>
      <c r="D82" s="92"/>
      <c r="E82" s="91"/>
      <c r="F82" s="91">
        <f>SUM(F73:F81)</f>
        <v>273447.64</v>
      </c>
      <c r="G82" s="91"/>
      <c r="H82" s="91">
        <f>SUM(H73:H81)</f>
        <v>73515</v>
      </c>
      <c r="I82" s="91">
        <f>SUM(I73:I81)</f>
        <v>346962.64</v>
      </c>
      <c r="L82" s="108"/>
    </row>
    <row r="83" spans="1:14" ht="18" customHeight="1" x14ac:dyDescent="0.2">
      <c r="A83" s="36"/>
      <c r="D83" s="36"/>
      <c r="L83" s="108"/>
    </row>
    <row r="84" spans="1:14" ht="18" customHeight="1" x14ac:dyDescent="0.2">
      <c r="A84" s="36"/>
      <c r="D84" s="36"/>
      <c r="L84" s="108"/>
    </row>
    <row r="85" spans="1:14" ht="18" customHeight="1" x14ac:dyDescent="0.2">
      <c r="A85" s="36"/>
      <c r="D85" s="36"/>
      <c r="L85" s="108"/>
    </row>
    <row r="86" spans="1:14" ht="18" customHeight="1" x14ac:dyDescent="0.2">
      <c r="A86" s="36"/>
      <c r="D86" s="36"/>
      <c r="L86" s="108"/>
    </row>
    <row r="87" spans="1:14" ht="18" customHeight="1" x14ac:dyDescent="0.2">
      <c r="A87" s="36"/>
      <c r="D87" s="36"/>
      <c r="L87" s="108"/>
    </row>
    <row r="88" spans="1:14" ht="18" customHeight="1" x14ac:dyDescent="0.2">
      <c r="A88" s="36"/>
      <c r="D88" s="36"/>
      <c r="L88" s="108"/>
    </row>
    <row r="89" spans="1:14" ht="18" customHeight="1" x14ac:dyDescent="0.2">
      <c r="A89" s="36"/>
      <c r="D89" s="36"/>
      <c r="N89" s="39"/>
    </row>
    <row r="90" spans="1:14" ht="18" customHeight="1" x14ac:dyDescent="0.2">
      <c r="A90" s="36"/>
      <c r="D90" s="36"/>
    </row>
    <row r="91" spans="1:14" ht="18" customHeight="1" x14ac:dyDescent="0.2">
      <c r="A91" s="36"/>
      <c r="D91" s="36"/>
    </row>
    <row r="92" spans="1:14" s="37" customFormat="1" ht="18" customHeight="1" x14ac:dyDescent="0.2"/>
    <row r="93" spans="1:14" ht="18" customHeight="1" x14ac:dyDescent="0.2">
      <c r="A93" s="36"/>
      <c r="D93" s="36"/>
    </row>
    <row r="94" spans="1:14" ht="18" customHeight="1" x14ac:dyDescent="0.2">
      <c r="A94" s="36"/>
      <c r="D94" s="36"/>
    </row>
    <row r="95" spans="1:14" s="37" customFormat="1" ht="18" customHeight="1" x14ac:dyDescent="0.2"/>
    <row r="97" spans="8:8" ht="18" customHeight="1" x14ac:dyDescent="0.2">
      <c r="H97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honeticPr fontId="9" type="noConversion"/>
  <printOptions horizontalCentered="1"/>
  <pageMargins left="0.69685039370078738" right="0.69685039370078738" top="0.74803149606299213" bottom="0.74803149606299213" header="0.31496062992125984" footer="0.31496062992125984"/>
  <pageSetup paperSize="9" fitToHeight="0" orientation="landscape" r:id="rId1"/>
  <rowBreaks count="5" manualBreakCount="5">
    <brk id="16" max="16383" man="1"/>
    <brk id="34" max="16383" man="1"/>
    <brk id="46" max="16383" man="1"/>
    <brk id="58" max="16383" man="1"/>
    <brk id="71" max="16383" man="1"/>
  </rowBreaks>
  <ignoredErrors>
    <ignoredError sqref="C5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C85E-CF01-4D37-8CA0-BEB704AFB57F}">
  <sheetPr>
    <tabColor theme="9" tint="0.39997558519241921"/>
  </sheetPr>
  <dimension ref="A1:M69"/>
  <sheetViews>
    <sheetView view="pageBreakPreview" zoomScaleNormal="100" zoomScaleSheetLayoutView="100" workbookViewId="0">
      <selection sqref="A1:I1"/>
    </sheetView>
  </sheetViews>
  <sheetFormatPr defaultRowHeight="18" customHeight="1" x14ac:dyDescent="0.2"/>
  <cols>
    <col min="1" max="1" width="5.625" style="54" customWidth="1"/>
    <col min="2" max="2" width="42.125" style="36" customWidth="1"/>
    <col min="3" max="3" width="9.375" style="36" customWidth="1"/>
    <col min="4" max="4" width="6.875" style="54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26" t="s">
        <v>320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ht="18" customHeight="1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ht="18" customHeight="1" x14ac:dyDescent="0.2">
      <c r="A3" s="226"/>
      <c r="B3" s="226"/>
      <c r="C3" s="226"/>
      <c r="D3" s="226"/>
      <c r="E3" s="226"/>
      <c r="F3" s="226"/>
      <c r="G3" s="226"/>
      <c r="H3" s="226"/>
      <c r="I3" s="226"/>
      <c r="J3" s="37"/>
      <c r="K3" s="37"/>
      <c r="L3" s="37"/>
      <c r="M3" s="37"/>
    </row>
    <row r="4" spans="1:13" s="47" customFormat="1" ht="18" customHeight="1" x14ac:dyDescent="0.2">
      <c r="A4" s="47" t="str">
        <f>ปร.5!A8</f>
        <v>ชื่อโครงการ   โครงการก่อสร้างสนามกีฬาชุมชน ขนาด 59.00 x 89.00 เมตร</v>
      </c>
      <c r="D4" s="54"/>
    </row>
    <row r="5" spans="1:13" s="47" customFormat="1" ht="18" customHeight="1" x14ac:dyDescent="0.2">
      <c r="A5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5" s="54"/>
    </row>
    <row r="6" spans="1:13" s="47" customFormat="1" ht="18" customHeight="1" x14ac:dyDescent="0.2">
      <c r="A6" s="47" t="str">
        <f>ปร.5!A10</f>
        <v>คณะกรรมการกำหนดราคากลางเมื่อ วันที่ 11 ตุลาคม 2567</v>
      </c>
      <c r="D6" s="54"/>
    </row>
    <row r="7" spans="1:13" ht="18" customHeight="1" x14ac:dyDescent="0.2">
      <c r="A7" s="227" t="s">
        <v>17</v>
      </c>
      <c r="B7" s="227" t="s">
        <v>15</v>
      </c>
      <c r="C7" s="227" t="s">
        <v>18</v>
      </c>
      <c r="D7" s="227" t="s">
        <v>16</v>
      </c>
      <c r="E7" s="227" t="s">
        <v>19</v>
      </c>
      <c r="F7" s="227"/>
      <c r="G7" s="227" t="s">
        <v>20</v>
      </c>
      <c r="H7" s="227"/>
      <c r="I7" s="228" t="s">
        <v>21</v>
      </c>
    </row>
    <row r="8" spans="1:13" ht="18" customHeight="1" x14ac:dyDescent="0.2">
      <c r="A8" s="227"/>
      <c r="B8" s="227"/>
      <c r="C8" s="227"/>
      <c r="D8" s="227"/>
      <c r="E8" s="44" t="s">
        <v>22</v>
      </c>
      <c r="F8" s="45" t="s">
        <v>23</v>
      </c>
      <c r="G8" s="44" t="s">
        <v>22</v>
      </c>
      <c r="H8" s="45" t="s">
        <v>24</v>
      </c>
      <c r="I8" s="228"/>
    </row>
    <row r="9" spans="1:13" s="37" customFormat="1" ht="18" customHeight="1" x14ac:dyDescent="0.2">
      <c r="A9" s="110">
        <v>1.2</v>
      </c>
      <c r="B9" s="124" t="s">
        <v>176</v>
      </c>
      <c r="C9" s="124"/>
      <c r="D9" s="110"/>
      <c r="E9" s="111"/>
      <c r="F9" s="111"/>
      <c r="G9" s="111"/>
      <c r="H9" s="111"/>
      <c r="I9" s="111"/>
    </row>
    <row r="10" spans="1:13" ht="18" customHeight="1" x14ac:dyDescent="0.2">
      <c r="A10" s="185" t="s">
        <v>168</v>
      </c>
      <c r="B10" s="186" t="str">
        <f>B19</f>
        <v>งานเสาตอม่อรับรั้วเหล็ก</v>
      </c>
      <c r="C10" s="187">
        <v>1</v>
      </c>
      <c r="D10" s="191" t="s">
        <v>111</v>
      </c>
      <c r="E10" s="187"/>
      <c r="F10" s="187">
        <f>F21</f>
        <v>3068.12</v>
      </c>
      <c r="G10" s="187"/>
      <c r="H10" s="187">
        <f>H21</f>
        <v>4370</v>
      </c>
      <c r="I10" s="187">
        <f>I21</f>
        <v>7438.12</v>
      </c>
    </row>
    <row r="11" spans="1:13" ht="18" customHeight="1" x14ac:dyDescent="0.2">
      <c r="A11" s="185" t="s">
        <v>169</v>
      </c>
      <c r="B11" s="186" t="str">
        <f>B22</f>
        <v>งานรั้วเหล็ก</v>
      </c>
      <c r="C11" s="187">
        <v>1</v>
      </c>
      <c r="D11" s="191" t="s">
        <v>111</v>
      </c>
      <c r="E11" s="187"/>
      <c r="F11" s="187">
        <f>F29</f>
        <v>447065.97</v>
      </c>
      <c r="G11" s="187"/>
      <c r="H11" s="187">
        <f>H29</f>
        <v>174483.4</v>
      </c>
      <c r="I11" s="187">
        <f>I29</f>
        <v>621549.37</v>
      </c>
    </row>
    <row r="12" spans="1:13" ht="18" customHeight="1" x14ac:dyDescent="0.2">
      <c r="A12" s="185" t="s">
        <v>170</v>
      </c>
      <c r="B12" s="186" t="str">
        <f>B30</f>
        <v>งานพื้น</v>
      </c>
      <c r="C12" s="187">
        <v>1</v>
      </c>
      <c r="D12" s="191" t="s">
        <v>111</v>
      </c>
      <c r="E12" s="187"/>
      <c r="F12" s="187">
        <f>F48</f>
        <v>3848021.84</v>
      </c>
      <c r="G12" s="187"/>
      <c r="H12" s="187">
        <f>H48</f>
        <v>1908826</v>
      </c>
      <c r="I12" s="187">
        <f>I48</f>
        <v>5756847.8399999999</v>
      </c>
    </row>
    <row r="13" spans="1:13" ht="18" customHeight="1" x14ac:dyDescent="0.2">
      <c r="A13" s="185" t="s">
        <v>171</v>
      </c>
      <c r="B13" s="186" t="str">
        <f>B49</f>
        <v>งานบันได</v>
      </c>
      <c r="C13" s="187">
        <v>1</v>
      </c>
      <c r="D13" s="191" t="s">
        <v>111</v>
      </c>
      <c r="E13" s="187"/>
      <c r="F13" s="187">
        <f>F53</f>
        <v>4418</v>
      </c>
      <c r="G13" s="187"/>
      <c r="H13" s="187">
        <f>H53</f>
        <v>4380</v>
      </c>
      <c r="I13" s="187">
        <f>I53</f>
        <v>8798</v>
      </c>
    </row>
    <row r="14" spans="1:13" ht="18" customHeight="1" x14ac:dyDescent="0.2">
      <c r="A14" s="56" t="s">
        <v>172</v>
      </c>
      <c r="B14" s="49" t="str">
        <f>B54</f>
        <v>งานสนามเปตอง</v>
      </c>
      <c r="C14" s="58">
        <v>1</v>
      </c>
      <c r="D14" s="65" t="s">
        <v>111</v>
      </c>
      <c r="E14" s="58"/>
      <c r="F14" s="58">
        <f>F58</f>
        <v>18876.52</v>
      </c>
      <c r="G14" s="58"/>
      <c r="H14" s="58">
        <f>H58</f>
        <v>4619</v>
      </c>
      <c r="I14" s="58">
        <f>I58</f>
        <v>23495.52</v>
      </c>
    </row>
    <row r="15" spans="1:13" ht="18" customHeight="1" x14ac:dyDescent="0.2">
      <c r="A15" s="56" t="s">
        <v>313</v>
      </c>
      <c r="B15" s="49" t="str">
        <f>B59</f>
        <v>งานภูมิสถาปัตยกรรม</v>
      </c>
      <c r="C15" s="58">
        <v>1</v>
      </c>
      <c r="D15" s="65" t="s">
        <v>111</v>
      </c>
      <c r="E15" s="58"/>
      <c r="F15" s="58">
        <f>F63</f>
        <v>44542.239999999998</v>
      </c>
      <c r="G15" s="58"/>
      <c r="H15" s="58">
        <f>H63</f>
        <v>8310</v>
      </c>
      <c r="I15" s="58">
        <f>I63</f>
        <v>52852.24</v>
      </c>
    </row>
    <row r="16" spans="1:13" ht="18" customHeight="1" x14ac:dyDescent="0.2">
      <c r="A16" s="106" t="s">
        <v>316</v>
      </c>
      <c r="B16" s="200" t="str">
        <f>B64</f>
        <v>งานเบ็ดเตล็ด</v>
      </c>
      <c r="C16" s="107">
        <v>1</v>
      </c>
      <c r="D16" s="201" t="s">
        <v>111</v>
      </c>
      <c r="E16" s="107"/>
      <c r="F16" s="107">
        <f>F66</f>
        <v>4840</v>
      </c>
      <c r="G16" s="107"/>
      <c r="H16" s="107">
        <f>H66</f>
        <v>0</v>
      </c>
      <c r="I16" s="107">
        <f>I66</f>
        <v>4840</v>
      </c>
    </row>
    <row r="17" spans="1:9" s="37" customFormat="1" ht="18" customHeight="1" thickBot="1" x14ac:dyDescent="0.25">
      <c r="A17" s="98"/>
      <c r="B17" s="98" t="s">
        <v>178</v>
      </c>
      <c r="C17" s="99"/>
      <c r="D17" s="100"/>
      <c r="E17" s="99"/>
      <c r="F17" s="99">
        <f>SUM(F10:F16)</f>
        <v>4370832.6899999995</v>
      </c>
      <c r="G17" s="99">
        <f t="shared" ref="G17:I17" si="0">SUM(G10:G16)</f>
        <v>0</v>
      </c>
      <c r="H17" s="99">
        <f t="shared" si="0"/>
        <v>2104988.4</v>
      </c>
      <c r="I17" s="99">
        <f t="shared" si="0"/>
        <v>6475821.0899999999</v>
      </c>
    </row>
    <row r="18" spans="1:9" s="37" customFormat="1" ht="18" customHeight="1" thickTop="1" x14ac:dyDescent="0.2">
      <c r="A18" s="87">
        <v>1.2</v>
      </c>
      <c r="B18" s="131" t="s">
        <v>176</v>
      </c>
      <c r="C18" s="89"/>
      <c r="D18" s="193"/>
      <c r="E18" s="89"/>
      <c r="F18" s="89"/>
      <c r="G18" s="89"/>
      <c r="H18" s="89"/>
      <c r="I18" s="89"/>
    </row>
    <row r="19" spans="1:9" ht="18" customHeight="1" x14ac:dyDescent="0.2">
      <c r="A19" s="62" t="s">
        <v>168</v>
      </c>
      <c r="B19" s="126" t="s">
        <v>38</v>
      </c>
      <c r="C19" s="58"/>
      <c r="D19" s="65"/>
      <c r="E19" s="58"/>
      <c r="F19" s="58"/>
      <c r="G19" s="58"/>
      <c r="H19" s="58"/>
      <c r="I19" s="58"/>
    </row>
    <row r="20" spans="1:9" ht="18" customHeight="1" x14ac:dyDescent="0.2">
      <c r="A20" s="83"/>
      <c r="B20" s="127" t="s">
        <v>139</v>
      </c>
      <c r="C20" s="85">
        <f>ROUNDUP(0.8*0.5*93,0)</f>
        <v>38</v>
      </c>
      <c r="D20" s="86" t="s">
        <v>75</v>
      </c>
      <c r="E20" s="85">
        <v>80.739999999999995</v>
      </c>
      <c r="F20" s="85">
        <f>ROUNDDOWN(C20*E20,2)</f>
        <v>3068.12</v>
      </c>
      <c r="G20" s="85">
        <v>115</v>
      </c>
      <c r="H20" s="58">
        <f>ROUNDDOWN(C20*G20,2)</f>
        <v>4370</v>
      </c>
      <c r="I20" s="85">
        <f>F20+H20</f>
        <v>7438.12</v>
      </c>
    </row>
    <row r="21" spans="1:9" ht="18" customHeight="1" x14ac:dyDescent="0.2">
      <c r="A21" s="90"/>
      <c r="B21" s="44" t="s">
        <v>79</v>
      </c>
      <c r="C21" s="91"/>
      <c r="D21" s="92"/>
      <c r="E21" s="91"/>
      <c r="F21" s="91">
        <f>SUM(F20)</f>
        <v>3068.12</v>
      </c>
      <c r="G21" s="91"/>
      <c r="H21" s="91">
        <f>SUM(H20)</f>
        <v>4370</v>
      </c>
      <c r="I21" s="91">
        <f>SUM(I20)</f>
        <v>7438.12</v>
      </c>
    </row>
    <row r="22" spans="1:9" s="37" customFormat="1" ht="18" customHeight="1" x14ac:dyDescent="0.2">
      <c r="A22" s="62" t="s">
        <v>169</v>
      </c>
      <c r="B22" s="126" t="s">
        <v>39</v>
      </c>
      <c r="C22" s="51"/>
      <c r="D22" s="62"/>
      <c r="E22" s="63"/>
      <c r="F22" s="63"/>
      <c r="G22" s="63"/>
      <c r="H22" s="63"/>
      <c r="I22" s="63"/>
    </row>
    <row r="23" spans="1:9" ht="18" customHeight="1" x14ac:dyDescent="0.2">
      <c r="A23" s="56"/>
      <c r="B23" s="128" t="s">
        <v>42</v>
      </c>
      <c r="C23" s="58">
        <v>5817.24</v>
      </c>
      <c r="D23" s="65" t="s">
        <v>74</v>
      </c>
      <c r="E23" s="58">
        <v>24.9</v>
      </c>
      <c r="F23" s="85">
        <f>ROUNDDOWN(C23*E23,2)</f>
        <v>144849.26999999999</v>
      </c>
      <c r="G23" s="58">
        <v>0</v>
      </c>
      <c r="H23" s="58">
        <f>ROUNDDOWN(C23*G23,2)</f>
        <v>0</v>
      </c>
      <c r="I23" s="58">
        <f t="shared" ref="I23:I57" si="1">F23+H23</f>
        <v>144849.26999999999</v>
      </c>
    </row>
    <row r="24" spans="1:9" ht="18" customHeight="1" x14ac:dyDescent="0.2">
      <c r="A24" s="56"/>
      <c r="B24" s="128" t="s">
        <v>41</v>
      </c>
      <c r="C24" s="58">
        <v>6807.6</v>
      </c>
      <c r="D24" s="65" t="s">
        <v>74</v>
      </c>
      <c r="E24" s="58">
        <v>25.3</v>
      </c>
      <c r="F24" s="85">
        <f t="shared" ref="F24:F28" si="2">ROUNDDOWN(C24*E24,2)</f>
        <v>172232.28</v>
      </c>
      <c r="G24" s="58">
        <v>0</v>
      </c>
      <c r="H24" s="58">
        <f t="shared" ref="H24:H28" si="3">ROUNDDOWN(C24*G24,2)</f>
        <v>0</v>
      </c>
      <c r="I24" s="58">
        <f t="shared" si="1"/>
        <v>172232.28</v>
      </c>
    </row>
    <row r="25" spans="1:9" ht="18" customHeight="1" x14ac:dyDescent="0.2">
      <c r="A25" s="56"/>
      <c r="B25" s="128" t="s">
        <v>40</v>
      </c>
      <c r="C25" s="58">
        <f>ROUNDUP(1.8*(49.6+26.7995+25.8491+21.45+25.849+28.15+19.099+26.7995+49.6),0)</f>
        <v>492</v>
      </c>
      <c r="D25" s="65" t="s">
        <v>75</v>
      </c>
      <c r="E25" s="58">
        <v>30</v>
      </c>
      <c r="F25" s="85">
        <f t="shared" si="2"/>
        <v>14760</v>
      </c>
      <c r="G25" s="58">
        <v>25</v>
      </c>
      <c r="H25" s="58">
        <f t="shared" si="3"/>
        <v>12300</v>
      </c>
      <c r="I25" s="58">
        <f t="shared" si="1"/>
        <v>27060</v>
      </c>
    </row>
    <row r="26" spans="1:9" ht="18" customHeight="1" x14ac:dyDescent="0.2">
      <c r="A26" s="56"/>
      <c r="B26" s="128" t="s">
        <v>43</v>
      </c>
      <c r="C26" s="58">
        <f>ROUNDUP(3*(49.6+26.7995+25.8491+21.45+25.849+28.15+19.099+26.7995+49.6),0)</f>
        <v>820</v>
      </c>
      <c r="D26" s="65" t="s">
        <v>75</v>
      </c>
      <c r="E26" s="58">
        <v>102</v>
      </c>
      <c r="F26" s="85">
        <f t="shared" si="2"/>
        <v>83640</v>
      </c>
      <c r="G26" s="58">
        <v>25</v>
      </c>
      <c r="H26" s="58">
        <f t="shared" si="3"/>
        <v>20500</v>
      </c>
      <c r="I26" s="58">
        <f t="shared" si="1"/>
        <v>104140</v>
      </c>
    </row>
    <row r="27" spans="1:9" ht="18" customHeight="1" x14ac:dyDescent="0.2">
      <c r="A27" s="56"/>
      <c r="B27" s="128" t="s">
        <v>44</v>
      </c>
      <c r="C27" s="58">
        <f>C23+C24</f>
        <v>12624.84</v>
      </c>
      <c r="D27" s="65" t="s">
        <v>74</v>
      </c>
      <c r="E27" s="58">
        <v>0</v>
      </c>
      <c r="F27" s="85">
        <f t="shared" si="2"/>
        <v>0</v>
      </c>
      <c r="G27" s="58">
        <v>10</v>
      </c>
      <c r="H27" s="58">
        <f t="shared" si="3"/>
        <v>126248.4</v>
      </c>
      <c r="I27" s="58">
        <f t="shared" si="1"/>
        <v>126248.4</v>
      </c>
    </row>
    <row r="28" spans="1:9" ht="18" customHeight="1" x14ac:dyDescent="0.2">
      <c r="A28" s="83"/>
      <c r="B28" s="127" t="s">
        <v>59</v>
      </c>
      <c r="C28" s="85">
        <f>ROUNDUP(240.2+200.45,0)</f>
        <v>441</v>
      </c>
      <c r="D28" s="86" t="s">
        <v>75</v>
      </c>
      <c r="E28" s="85">
        <v>71.62</v>
      </c>
      <c r="F28" s="85">
        <f t="shared" si="2"/>
        <v>31584.42</v>
      </c>
      <c r="G28" s="85">
        <v>35</v>
      </c>
      <c r="H28" s="58">
        <f t="shared" si="3"/>
        <v>15435</v>
      </c>
      <c r="I28" s="85">
        <f t="shared" si="1"/>
        <v>47019.42</v>
      </c>
    </row>
    <row r="29" spans="1:9" s="37" customFormat="1" ht="18" customHeight="1" x14ac:dyDescent="0.2">
      <c r="A29" s="90"/>
      <c r="B29" s="44" t="s">
        <v>80</v>
      </c>
      <c r="C29" s="91"/>
      <c r="D29" s="92"/>
      <c r="E29" s="91"/>
      <c r="F29" s="91">
        <f>SUM(F23:F28)</f>
        <v>447065.97</v>
      </c>
      <c r="G29" s="91"/>
      <c r="H29" s="91">
        <f>SUM(H23:H28)</f>
        <v>174483.4</v>
      </c>
      <c r="I29" s="91">
        <f>SUM(I23:I28)</f>
        <v>621549.37</v>
      </c>
    </row>
    <row r="30" spans="1:9" s="37" customFormat="1" ht="18" customHeight="1" x14ac:dyDescent="0.2">
      <c r="A30" s="62" t="s">
        <v>170</v>
      </c>
      <c r="B30" s="126" t="s">
        <v>56</v>
      </c>
      <c r="C30" s="104"/>
      <c r="D30" s="105"/>
      <c r="E30" s="104"/>
      <c r="F30" s="104"/>
      <c r="G30" s="104"/>
      <c r="H30" s="104"/>
      <c r="I30" s="104"/>
    </row>
    <row r="31" spans="1:9" ht="18" customHeight="1" x14ac:dyDescent="0.2">
      <c r="A31" s="56"/>
      <c r="B31" s="128" t="s">
        <v>69</v>
      </c>
      <c r="C31" s="68">
        <f>ROUNDUP(1329.2544+537.6368+554.461+103.6+305.9+175+942.8845,0)</f>
        <v>3949</v>
      </c>
      <c r="D31" s="82" t="s">
        <v>75</v>
      </c>
      <c r="E31" s="68">
        <v>120.16</v>
      </c>
      <c r="F31" s="85">
        <f t="shared" ref="F31:F41" si="4">ROUNDDOWN(C31*E31,2)</f>
        <v>474511.84</v>
      </c>
      <c r="G31" s="68">
        <v>64</v>
      </c>
      <c r="H31" s="58">
        <f t="shared" ref="H31:H41" si="5">ROUNDDOWN(C31*G31,2)</f>
        <v>252736</v>
      </c>
      <c r="I31" s="68">
        <f>F31+H31</f>
        <v>727247.84000000008</v>
      </c>
    </row>
    <row r="32" spans="1:9" ht="18" customHeight="1" x14ac:dyDescent="0.2">
      <c r="A32" s="56"/>
      <c r="B32" s="128" t="s">
        <v>68</v>
      </c>
      <c r="C32" s="68">
        <f>C31</f>
        <v>3949</v>
      </c>
      <c r="D32" s="82" t="s">
        <v>75</v>
      </c>
      <c r="E32" s="68">
        <v>20</v>
      </c>
      <c r="F32" s="85">
        <f t="shared" si="4"/>
        <v>78980</v>
      </c>
      <c r="G32" s="68">
        <v>40</v>
      </c>
      <c r="H32" s="58">
        <f t="shared" si="5"/>
        <v>157960</v>
      </c>
      <c r="I32" s="68">
        <f>F32+H32</f>
        <v>236940</v>
      </c>
    </row>
    <row r="33" spans="1:9" ht="18" customHeight="1" x14ac:dyDescent="0.2">
      <c r="A33" s="56"/>
      <c r="B33" s="128" t="s">
        <v>124</v>
      </c>
      <c r="C33" s="68">
        <f>ROUNDUP(735.91,0)</f>
        <v>736</v>
      </c>
      <c r="D33" s="82" t="s">
        <v>75</v>
      </c>
      <c r="E33" s="68">
        <v>360</v>
      </c>
      <c r="F33" s="85">
        <f t="shared" si="4"/>
        <v>264960</v>
      </c>
      <c r="G33" s="68">
        <v>55</v>
      </c>
      <c r="H33" s="58">
        <f t="shared" si="5"/>
        <v>40480</v>
      </c>
      <c r="I33" s="68">
        <f>F33+H33</f>
        <v>305440</v>
      </c>
    </row>
    <row r="34" spans="1:9" s="5" customFormat="1" ht="18" customHeight="1" x14ac:dyDescent="0.2">
      <c r="A34" s="114"/>
      <c r="B34" s="129" t="s">
        <v>147</v>
      </c>
      <c r="C34" s="115">
        <f>ROUNDUP(1329.2544+375.6368+390.981+103.6+305.9+942.8845,0)</f>
        <v>3449</v>
      </c>
      <c r="D34" s="116" t="s">
        <v>75</v>
      </c>
      <c r="E34" s="115">
        <v>450</v>
      </c>
      <c r="F34" s="85">
        <f t="shared" si="4"/>
        <v>1552050</v>
      </c>
      <c r="G34" s="115">
        <v>350</v>
      </c>
      <c r="H34" s="58">
        <f t="shared" si="5"/>
        <v>1207150</v>
      </c>
      <c r="I34" s="115">
        <f t="shared" ref="I34" si="6">F34+H34</f>
        <v>2759200</v>
      </c>
    </row>
    <row r="35" spans="1:9" s="5" customFormat="1" ht="18" customHeight="1" x14ac:dyDescent="0.2">
      <c r="A35" s="114"/>
      <c r="B35" s="129" t="s">
        <v>146</v>
      </c>
      <c r="C35" s="115"/>
      <c r="D35" s="116"/>
      <c r="E35" s="115"/>
      <c r="F35" s="85"/>
      <c r="G35" s="115"/>
      <c r="H35" s="58"/>
      <c r="I35" s="115"/>
    </row>
    <row r="36" spans="1:9" ht="18" customHeight="1" x14ac:dyDescent="0.2">
      <c r="A36" s="56"/>
      <c r="B36" s="128" t="s">
        <v>136</v>
      </c>
      <c r="C36" s="68"/>
      <c r="D36" s="82"/>
      <c r="E36" s="68"/>
      <c r="F36" s="85"/>
      <c r="G36" s="68"/>
      <c r="H36" s="58"/>
      <c r="I36" s="68"/>
    </row>
    <row r="37" spans="1:9" ht="18" customHeight="1" x14ac:dyDescent="0.2">
      <c r="A37" s="56"/>
      <c r="B37" s="128" t="s">
        <v>128</v>
      </c>
      <c r="C37" s="68"/>
      <c r="D37" s="82"/>
      <c r="E37" s="68"/>
      <c r="F37" s="85"/>
      <c r="G37" s="68"/>
      <c r="H37" s="58"/>
      <c r="I37" s="68"/>
    </row>
    <row r="38" spans="1:9" s="5" customFormat="1" ht="18" customHeight="1" x14ac:dyDescent="0.2">
      <c r="A38" s="114"/>
      <c r="B38" s="129" t="s">
        <v>144</v>
      </c>
      <c r="C38" s="115">
        <f>175</f>
        <v>175</v>
      </c>
      <c r="D38" s="116" t="s">
        <v>75</v>
      </c>
      <c r="E38" s="115">
        <v>3050</v>
      </c>
      <c r="F38" s="85">
        <f t="shared" si="4"/>
        <v>533750</v>
      </c>
      <c r="G38" s="115">
        <v>500</v>
      </c>
      <c r="H38" s="58">
        <f t="shared" si="5"/>
        <v>87500</v>
      </c>
      <c r="I38" s="115">
        <f t="shared" ref="I38:I41" si="7">F38+H38</f>
        <v>621250</v>
      </c>
    </row>
    <row r="39" spans="1:9" ht="18" customHeight="1" x14ac:dyDescent="0.2">
      <c r="A39" s="56"/>
      <c r="B39" s="128" t="s">
        <v>136</v>
      </c>
      <c r="C39" s="68"/>
      <c r="D39" s="82"/>
      <c r="E39" s="68"/>
      <c r="F39" s="85"/>
      <c r="G39" s="68"/>
      <c r="H39" s="58"/>
      <c r="I39" s="68"/>
    </row>
    <row r="40" spans="1:9" ht="18" customHeight="1" x14ac:dyDescent="0.2">
      <c r="A40" s="56"/>
      <c r="B40" s="128" t="s">
        <v>133</v>
      </c>
      <c r="C40" s="68"/>
      <c r="D40" s="82"/>
      <c r="E40" s="68"/>
      <c r="F40" s="85"/>
      <c r="G40" s="68"/>
      <c r="H40" s="58"/>
      <c r="I40" s="68"/>
    </row>
    <row r="41" spans="1:9" s="5" customFormat="1" ht="18" customHeight="1" x14ac:dyDescent="0.2">
      <c r="A41" s="114"/>
      <c r="B41" s="129" t="s">
        <v>145</v>
      </c>
      <c r="C41" s="116">
        <f>ROUNDUP(162+163.48,0)</f>
        <v>326</v>
      </c>
      <c r="D41" s="116" t="s">
        <v>75</v>
      </c>
      <c r="E41" s="115">
        <v>2895</v>
      </c>
      <c r="F41" s="85">
        <f t="shared" si="4"/>
        <v>943770</v>
      </c>
      <c r="G41" s="115">
        <v>500</v>
      </c>
      <c r="H41" s="58">
        <f t="shared" si="5"/>
        <v>163000</v>
      </c>
      <c r="I41" s="115">
        <f t="shared" si="7"/>
        <v>1106770</v>
      </c>
    </row>
    <row r="42" spans="1:9" ht="18" customHeight="1" x14ac:dyDescent="0.2">
      <c r="A42" s="56"/>
      <c r="B42" s="128" t="s">
        <v>136</v>
      </c>
      <c r="C42" s="68"/>
      <c r="D42" s="82"/>
      <c r="E42" s="68"/>
      <c r="F42" s="68"/>
      <c r="G42" s="68"/>
      <c r="H42" s="68"/>
      <c r="I42" s="68"/>
    </row>
    <row r="43" spans="1:9" ht="18" customHeight="1" x14ac:dyDescent="0.2">
      <c r="A43" s="56"/>
      <c r="B43" s="128" t="s">
        <v>149</v>
      </c>
      <c r="C43" s="68"/>
      <c r="D43" s="82"/>
      <c r="E43" s="68"/>
      <c r="F43" s="68"/>
      <c r="G43" s="68"/>
      <c r="H43" s="68"/>
      <c r="I43" s="68"/>
    </row>
    <row r="44" spans="1:9" ht="18" customHeight="1" x14ac:dyDescent="0.2">
      <c r="A44" s="56"/>
      <c r="B44" s="128" t="s">
        <v>152</v>
      </c>
      <c r="C44" s="68"/>
      <c r="D44" s="82"/>
      <c r="E44" s="68"/>
      <c r="F44" s="68"/>
      <c r="G44" s="68"/>
      <c r="H44" s="68"/>
      <c r="I44" s="68"/>
    </row>
    <row r="45" spans="1:9" ht="18" customHeight="1" x14ac:dyDescent="0.2">
      <c r="A45" s="56"/>
      <c r="B45" s="128" t="s">
        <v>151</v>
      </c>
      <c r="C45" s="68"/>
      <c r="D45" s="82"/>
      <c r="E45" s="68"/>
      <c r="F45" s="68"/>
      <c r="G45" s="68"/>
      <c r="H45" s="68"/>
      <c r="I45" s="68"/>
    </row>
    <row r="46" spans="1:9" ht="18" customHeight="1" x14ac:dyDescent="0.2">
      <c r="A46" s="56"/>
      <c r="B46" s="128" t="s">
        <v>150</v>
      </c>
      <c r="C46" s="68"/>
      <c r="D46" s="82"/>
      <c r="E46" s="68"/>
      <c r="F46" s="68"/>
      <c r="G46" s="68"/>
      <c r="H46" s="68"/>
      <c r="I46" s="68"/>
    </row>
    <row r="47" spans="1:9" ht="18" customHeight="1" x14ac:dyDescent="0.2">
      <c r="A47" s="56"/>
      <c r="B47" s="128" t="s">
        <v>133</v>
      </c>
      <c r="C47" s="68"/>
      <c r="D47" s="82"/>
      <c r="E47" s="68"/>
      <c r="F47" s="68"/>
      <c r="G47" s="68"/>
      <c r="H47" s="68"/>
      <c r="I47" s="68"/>
    </row>
    <row r="48" spans="1:9" ht="18" customHeight="1" x14ac:dyDescent="0.2">
      <c r="A48" s="90"/>
      <c r="B48" s="44" t="s">
        <v>125</v>
      </c>
      <c r="C48" s="91"/>
      <c r="D48" s="92"/>
      <c r="E48" s="91"/>
      <c r="F48" s="91">
        <f>SUM(F31:F47)</f>
        <v>3848021.84</v>
      </c>
      <c r="G48" s="91"/>
      <c r="H48" s="91">
        <f>SUM(H31:H47)</f>
        <v>1908826</v>
      </c>
      <c r="I48" s="91">
        <f>SUM(I31:I47)</f>
        <v>5756847.8399999999</v>
      </c>
    </row>
    <row r="49" spans="1:11" ht="18" customHeight="1" x14ac:dyDescent="0.2">
      <c r="A49" s="110" t="s">
        <v>171</v>
      </c>
      <c r="B49" s="130" t="s">
        <v>49</v>
      </c>
      <c r="C49" s="111"/>
      <c r="D49" s="112"/>
      <c r="E49" s="111"/>
      <c r="F49" s="111"/>
      <c r="G49" s="111"/>
      <c r="H49" s="111"/>
      <c r="I49" s="111"/>
    </row>
    <row r="50" spans="1:11" ht="18" customHeight="1" x14ac:dyDescent="0.2">
      <c r="A50" s="56"/>
      <c r="B50" s="128" t="s">
        <v>139</v>
      </c>
      <c r="C50" s="58">
        <f>ROUNDUP(1.6*12,0)</f>
        <v>20</v>
      </c>
      <c r="D50" s="65" t="s">
        <v>75</v>
      </c>
      <c r="E50" s="58">
        <v>80.739999999999995</v>
      </c>
      <c r="F50" s="85">
        <f t="shared" ref="F50:F52" si="8">ROUNDDOWN(C50*E50,2)</f>
        <v>1614.8</v>
      </c>
      <c r="G50" s="58">
        <v>115</v>
      </c>
      <c r="H50" s="58">
        <f t="shared" ref="H50:H52" si="9">ROUNDDOWN(C50*G50,2)</f>
        <v>2300</v>
      </c>
      <c r="I50" s="58">
        <f>F50+H50</f>
        <v>3914.8</v>
      </c>
    </row>
    <row r="51" spans="1:11" ht="18" customHeight="1" x14ac:dyDescent="0.2">
      <c r="A51" s="56"/>
      <c r="B51" s="128" t="s">
        <v>69</v>
      </c>
      <c r="C51" s="58">
        <f>C50</f>
        <v>20</v>
      </c>
      <c r="D51" s="65" t="s">
        <v>75</v>
      </c>
      <c r="E51" s="58">
        <v>120.16</v>
      </c>
      <c r="F51" s="85">
        <f t="shared" si="8"/>
        <v>2403.1999999999998</v>
      </c>
      <c r="G51" s="58">
        <v>64</v>
      </c>
      <c r="H51" s="58">
        <f t="shared" si="9"/>
        <v>1280</v>
      </c>
      <c r="I51" s="58">
        <f t="shared" ref="I51:I52" si="10">F51+H51</f>
        <v>3683.2</v>
      </c>
    </row>
    <row r="52" spans="1:11" ht="18" customHeight="1" x14ac:dyDescent="0.2">
      <c r="A52" s="83"/>
      <c r="B52" s="127" t="s">
        <v>68</v>
      </c>
      <c r="C52" s="85">
        <f>C50</f>
        <v>20</v>
      </c>
      <c r="D52" s="65" t="s">
        <v>75</v>
      </c>
      <c r="E52" s="85">
        <v>20</v>
      </c>
      <c r="F52" s="85">
        <f t="shared" si="8"/>
        <v>400</v>
      </c>
      <c r="G52" s="85">
        <v>40</v>
      </c>
      <c r="H52" s="58">
        <f t="shared" si="9"/>
        <v>800</v>
      </c>
      <c r="I52" s="58">
        <f t="shared" si="10"/>
        <v>1200</v>
      </c>
    </row>
    <row r="53" spans="1:11" s="37" customFormat="1" ht="18" customHeight="1" x14ac:dyDescent="0.2">
      <c r="A53" s="90"/>
      <c r="B53" s="44" t="s">
        <v>116</v>
      </c>
      <c r="C53" s="91"/>
      <c r="D53" s="92"/>
      <c r="E53" s="91"/>
      <c r="F53" s="91">
        <f>SUM(F50:F52)</f>
        <v>4418</v>
      </c>
      <c r="G53" s="91"/>
      <c r="H53" s="91">
        <f>SUM(H50:H52)</f>
        <v>4380</v>
      </c>
      <c r="I53" s="91">
        <f>SUM(I50:I52)</f>
        <v>8798</v>
      </c>
    </row>
    <row r="54" spans="1:11" s="37" customFormat="1" ht="18" customHeight="1" x14ac:dyDescent="0.5">
      <c r="A54" s="62" t="s">
        <v>172</v>
      </c>
      <c r="B54" s="126" t="s">
        <v>46</v>
      </c>
      <c r="C54" s="63"/>
      <c r="D54" s="103"/>
      <c r="E54" s="63"/>
      <c r="F54" s="63"/>
      <c r="G54" s="63"/>
      <c r="H54" s="63"/>
      <c r="I54" s="63"/>
    </row>
    <row r="55" spans="1:11" ht="18" customHeight="1" x14ac:dyDescent="0.5">
      <c r="A55" s="56"/>
      <c r="B55" s="128" t="s">
        <v>47</v>
      </c>
      <c r="C55" s="58">
        <f>ROUNDUP(2*(6*17.2*0.05)*1.6,0)</f>
        <v>17</v>
      </c>
      <c r="D55" s="67" t="s">
        <v>72</v>
      </c>
      <c r="E55" s="68">
        <f>งานโครงสร้าง!E21</f>
        <v>276.56</v>
      </c>
      <c r="F55" s="85">
        <f t="shared" ref="F55:F57" si="11">ROUNDDOWN(C55*E55,2)</f>
        <v>4701.5200000000004</v>
      </c>
      <c r="G55" s="58">
        <v>112</v>
      </c>
      <c r="H55" s="58">
        <f t="shared" ref="H55:H57" si="12">ROUNDDOWN(C55*G55,2)</f>
        <v>1904</v>
      </c>
      <c r="I55" s="58">
        <f t="shared" si="1"/>
        <v>6605.52</v>
      </c>
    </row>
    <row r="56" spans="1:11" ht="18" customHeight="1" x14ac:dyDescent="0.5">
      <c r="A56" s="56"/>
      <c r="B56" s="128" t="s">
        <v>48</v>
      </c>
      <c r="C56" s="58">
        <f>ROUNDUP(2*(6*17.2),0)</f>
        <v>207</v>
      </c>
      <c r="D56" s="67" t="s">
        <v>75</v>
      </c>
      <c r="E56" s="58">
        <v>25</v>
      </c>
      <c r="F56" s="85">
        <f t="shared" si="11"/>
        <v>5175</v>
      </c>
      <c r="G56" s="58">
        <v>5</v>
      </c>
      <c r="H56" s="58">
        <f t="shared" si="12"/>
        <v>1035</v>
      </c>
      <c r="I56" s="58">
        <f t="shared" si="1"/>
        <v>6210</v>
      </c>
      <c r="K56" s="39"/>
    </row>
    <row r="57" spans="1:11" ht="18" customHeight="1" x14ac:dyDescent="0.5">
      <c r="A57" s="56"/>
      <c r="B57" s="128" t="s">
        <v>87</v>
      </c>
      <c r="C57" s="58">
        <f>ROUNDUP(2*(6*17.2*0.07),0)</f>
        <v>15</v>
      </c>
      <c r="D57" s="67" t="s">
        <v>72</v>
      </c>
      <c r="E57" s="68">
        <v>600</v>
      </c>
      <c r="F57" s="85">
        <f t="shared" si="11"/>
        <v>9000</v>
      </c>
      <c r="G57" s="58">
        <v>112</v>
      </c>
      <c r="H57" s="58">
        <f t="shared" si="12"/>
        <v>1680</v>
      </c>
      <c r="I57" s="58">
        <f t="shared" si="1"/>
        <v>10680</v>
      </c>
    </row>
    <row r="58" spans="1:11" s="37" customFormat="1" ht="18" customHeight="1" x14ac:dyDescent="0.2">
      <c r="A58" s="90"/>
      <c r="B58" s="44" t="s">
        <v>91</v>
      </c>
      <c r="C58" s="91"/>
      <c r="D58" s="92"/>
      <c r="E58" s="91"/>
      <c r="F58" s="91">
        <f>SUM(F55:F57)</f>
        <v>18876.52</v>
      </c>
      <c r="G58" s="91"/>
      <c r="H58" s="91">
        <f>SUM(H55:H57)</f>
        <v>4619</v>
      </c>
      <c r="I58" s="91">
        <f>SUM(I55:I57)</f>
        <v>23495.52</v>
      </c>
    </row>
    <row r="59" spans="1:11" s="37" customFormat="1" ht="18" customHeight="1" x14ac:dyDescent="0.5">
      <c r="A59" s="62" t="s">
        <v>313</v>
      </c>
      <c r="B59" s="126" t="s">
        <v>184</v>
      </c>
      <c r="C59" s="63"/>
      <c r="D59" s="103"/>
      <c r="E59" s="63"/>
      <c r="F59" s="63"/>
      <c r="G59" s="63"/>
      <c r="H59" s="63"/>
      <c r="I59" s="63"/>
    </row>
    <row r="60" spans="1:11" ht="18" customHeight="1" x14ac:dyDescent="0.5">
      <c r="A60" s="56"/>
      <c r="B60" s="53" t="s">
        <v>52</v>
      </c>
      <c r="C60" s="58">
        <f>ROUNDUP(288.1337*1.2*0.05*1.25,0)</f>
        <v>22</v>
      </c>
      <c r="D60" s="67" t="s">
        <v>72</v>
      </c>
      <c r="E60" s="68">
        <v>436.92</v>
      </c>
      <c r="F60" s="85">
        <f t="shared" ref="F60:F62" si="13">ROUNDDOWN(C60*E60,2)</f>
        <v>9612.24</v>
      </c>
      <c r="G60" s="58">
        <v>112</v>
      </c>
      <c r="H60" s="58">
        <f t="shared" ref="H60:H62" si="14">ROUNDDOWN(C60*G60,2)</f>
        <v>2464</v>
      </c>
      <c r="I60" s="58">
        <f t="shared" ref="I60:I62" si="15">F60+H60</f>
        <v>12076.24</v>
      </c>
    </row>
    <row r="61" spans="1:11" ht="18" customHeight="1" x14ac:dyDescent="0.5">
      <c r="A61" s="56"/>
      <c r="B61" s="53" t="s">
        <v>53</v>
      </c>
      <c r="C61" s="58">
        <f>ROUNDUP(288.1337*1.2*0.05*1.3,0)</f>
        <v>23</v>
      </c>
      <c r="D61" s="67" t="s">
        <v>75</v>
      </c>
      <c r="E61" s="58">
        <v>950</v>
      </c>
      <c r="F61" s="85">
        <f t="shared" si="13"/>
        <v>21850</v>
      </c>
      <c r="G61" s="58">
        <v>112</v>
      </c>
      <c r="H61" s="58">
        <f t="shared" si="14"/>
        <v>2576</v>
      </c>
      <c r="I61" s="58">
        <f t="shared" si="15"/>
        <v>24426</v>
      </c>
    </row>
    <row r="62" spans="1:11" ht="18" customHeight="1" x14ac:dyDescent="0.5">
      <c r="A62" s="56"/>
      <c r="B62" s="102" t="s">
        <v>54</v>
      </c>
      <c r="C62" s="58">
        <f>ROUNDUP(340.9933-14.4,0)</f>
        <v>327</v>
      </c>
      <c r="D62" s="67" t="s">
        <v>72</v>
      </c>
      <c r="E62" s="68">
        <v>40</v>
      </c>
      <c r="F62" s="85">
        <f t="shared" si="13"/>
        <v>13080</v>
      </c>
      <c r="G62" s="58">
        <v>10</v>
      </c>
      <c r="H62" s="58">
        <f t="shared" si="14"/>
        <v>3270</v>
      </c>
      <c r="I62" s="58">
        <f t="shared" si="15"/>
        <v>16350</v>
      </c>
    </row>
    <row r="63" spans="1:11" ht="18" customHeight="1" x14ac:dyDescent="0.2">
      <c r="A63" s="90"/>
      <c r="B63" s="44" t="s">
        <v>183</v>
      </c>
      <c r="C63" s="91"/>
      <c r="D63" s="92"/>
      <c r="E63" s="91"/>
      <c r="F63" s="91">
        <f>SUM(F60:F62)</f>
        <v>44542.239999999998</v>
      </c>
      <c r="G63" s="91"/>
      <c r="H63" s="91">
        <f>SUM(H60:H62)</f>
        <v>8310</v>
      </c>
      <c r="I63" s="91">
        <f>SUM(I60:I62)</f>
        <v>52852.24</v>
      </c>
    </row>
    <row r="64" spans="1:11" ht="18" customHeight="1" x14ac:dyDescent="0.5">
      <c r="A64" s="62" t="s">
        <v>316</v>
      </c>
      <c r="B64" s="126" t="s">
        <v>317</v>
      </c>
      <c r="C64" s="198"/>
      <c r="D64" s="103"/>
      <c r="E64" s="104"/>
      <c r="F64" s="104"/>
      <c r="G64" s="104"/>
      <c r="H64" s="104"/>
      <c r="I64" s="63"/>
    </row>
    <row r="65" spans="1:9" ht="18" customHeight="1" x14ac:dyDescent="0.2">
      <c r="A65" s="56"/>
      <c r="B65" s="53" t="s">
        <v>318</v>
      </c>
      <c r="C65" s="109">
        <v>1</v>
      </c>
      <c r="D65" s="65" t="s">
        <v>188</v>
      </c>
      <c r="E65" s="68">
        <v>4840</v>
      </c>
      <c r="F65" s="85">
        <f t="shared" ref="F65" si="16">ROUNDDOWN(C65*E65,2)</f>
        <v>4840</v>
      </c>
      <c r="G65" s="68">
        <v>0</v>
      </c>
      <c r="H65" s="58">
        <f t="shared" ref="H65" si="17">ROUNDDOWN(C65*G65,2)</f>
        <v>0</v>
      </c>
      <c r="I65" s="58">
        <f t="shared" ref="I65" si="18">F65+H65</f>
        <v>4840</v>
      </c>
    </row>
    <row r="66" spans="1:9" ht="18" customHeight="1" x14ac:dyDescent="0.2">
      <c r="A66" s="90"/>
      <c r="B66" s="44" t="s">
        <v>319</v>
      </c>
      <c r="C66" s="91"/>
      <c r="D66" s="92"/>
      <c r="E66" s="199"/>
      <c r="F66" s="199">
        <f>SUM(F65:F65)</f>
        <v>4840</v>
      </c>
      <c r="G66" s="199"/>
      <c r="H66" s="199">
        <f>SUM(H65:H65)</f>
        <v>0</v>
      </c>
      <c r="I66" s="91">
        <f>SUM(I65:I65)</f>
        <v>4840</v>
      </c>
    </row>
    <row r="67" spans="1:9" ht="18" customHeight="1" x14ac:dyDescent="0.2">
      <c r="A67" s="36"/>
      <c r="D67" s="36"/>
    </row>
    <row r="68" spans="1:9" ht="18" customHeight="1" x14ac:dyDescent="0.2">
      <c r="A68" s="36"/>
      <c r="D68" s="36"/>
    </row>
    <row r="69" spans="1:9" ht="18" customHeight="1" x14ac:dyDescent="0.2">
      <c r="A69" s="36"/>
      <c r="D69" s="36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honeticPr fontId="9" type="noConversion"/>
  <pageMargins left="0.69685039370078738" right="0.69685039370078738" top="0.74803149606299213" bottom="0.74803149606299213" header="0.31496062992125984" footer="0.31496062992125984"/>
  <pageSetup paperSize="9" fitToHeight="0" orientation="landscape" r:id="rId1"/>
  <rowBreaks count="3" manualBreakCount="3">
    <brk id="17" max="8" man="1"/>
    <brk id="29" max="16383" man="1"/>
    <brk id="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8191C-8303-4B13-966A-416B8078BC43}">
  <sheetPr>
    <tabColor theme="9" tint="0.39997558519241921"/>
  </sheetPr>
  <dimension ref="A1:M17"/>
  <sheetViews>
    <sheetView view="pageBreakPreview" zoomScaleNormal="100" zoomScaleSheetLayoutView="100" workbookViewId="0">
      <selection sqref="A1:I1"/>
    </sheetView>
  </sheetViews>
  <sheetFormatPr defaultRowHeight="18" customHeight="1" x14ac:dyDescent="0.2"/>
  <cols>
    <col min="1" max="1" width="5.625" style="54" customWidth="1"/>
    <col min="2" max="2" width="42.125" style="36" customWidth="1"/>
    <col min="3" max="3" width="9.375" style="36" customWidth="1"/>
    <col min="4" max="4" width="6.875" style="54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26" t="s">
        <v>320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ht="18" customHeight="1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ht="18" customHeight="1" x14ac:dyDescent="0.2">
      <c r="A3" s="226"/>
      <c r="B3" s="226"/>
      <c r="C3" s="226"/>
      <c r="D3" s="226"/>
      <c r="E3" s="226"/>
      <c r="F3" s="226"/>
      <c r="G3" s="226"/>
      <c r="H3" s="226"/>
      <c r="I3" s="226"/>
      <c r="J3" s="37"/>
      <c r="L3" s="37"/>
      <c r="M3" s="37"/>
    </row>
    <row r="4" spans="1:13" s="47" customFormat="1" ht="18" customHeight="1" x14ac:dyDescent="0.2">
      <c r="A4" s="47" t="str">
        <f>ปร.5!A8</f>
        <v>ชื่อโครงการ   โครงการก่อสร้างสนามกีฬาชุมชน ขนาด 59.00 x 89.00 เมตร</v>
      </c>
      <c r="D4" s="54"/>
      <c r="K4" s="36"/>
    </row>
    <row r="5" spans="1:13" s="47" customFormat="1" ht="18" customHeight="1" x14ac:dyDescent="0.2">
      <c r="A5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5" s="54"/>
      <c r="K5" s="36"/>
    </row>
    <row r="6" spans="1:13" s="47" customFormat="1" ht="18" customHeight="1" x14ac:dyDescent="0.2">
      <c r="A6" s="47" t="str">
        <f>ปร.5!A10</f>
        <v>คณะกรรมการกำหนดราคากลางเมื่อ วันที่ 11 ตุลาคม 2567</v>
      </c>
      <c r="D6" s="54"/>
      <c r="K6" s="36"/>
    </row>
    <row r="7" spans="1:13" ht="18" customHeight="1" x14ac:dyDescent="0.2">
      <c r="A7" s="227" t="s">
        <v>17</v>
      </c>
      <c r="B7" s="227" t="s">
        <v>15</v>
      </c>
      <c r="C7" s="227" t="s">
        <v>18</v>
      </c>
      <c r="D7" s="227" t="s">
        <v>16</v>
      </c>
      <c r="E7" s="227" t="s">
        <v>19</v>
      </c>
      <c r="F7" s="227"/>
      <c r="G7" s="227" t="s">
        <v>20</v>
      </c>
      <c r="H7" s="227"/>
      <c r="I7" s="228" t="s">
        <v>21</v>
      </c>
    </row>
    <row r="8" spans="1:13" ht="18" customHeight="1" x14ac:dyDescent="0.2">
      <c r="A8" s="227"/>
      <c r="B8" s="227"/>
      <c r="C8" s="227"/>
      <c r="D8" s="227"/>
      <c r="E8" s="44" t="s">
        <v>22</v>
      </c>
      <c r="F8" s="45" t="s">
        <v>23</v>
      </c>
      <c r="G8" s="44" t="s">
        <v>22</v>
      </c>
      <c r="H8" s="45" t="s">
        <v>24</v>
      </c>
      <c r="I8" s="228"/>
    </row>
    <row r="9" spans="1:13" s="37" customFormat="1" ht="18" customHeight="1" x14ac:dyDescent="0.2">
      <c r="A9" s="110">
        <v>1.3</v>
      </c>
      <c r="B9" s="124" t="s">
        <v>179</v>
      </c>
      <c r="C9" s="124"/>
      <c r="D9" s="110"/>
      <c r="E9" s="111"/>
      <c r="F9" s="111"/>
      <c r="G9" s="111"/>
      <c r="H9" s="111"/>
      <c r="I9" s="111"/>
      <c r="K9" s="36"/>
      <c r="L9" s="36"/>
      <c r="M9" s="36"/>
    </row>
    <row r="10" spans="1:13" s="37" customFormat="1" ht="18" customHeight="1" x14ac:dyDescent="0.2">
      <c r="A10" s="62" t="s">
        <v>173</v>
      </c>
      <c r="B10" s="52" t="s">
        <v>70</v>
      </c>
      <c r="C10" s="104"/>
      <c r="D10" s="105"/>
      <c r="E10" s="104"/>
      <c r="F10" s="104"/>
      <c r="G10" s="104"/>
      <c r="H10" s="104"/>
      <c r="I10" s="104"/>
      <c r="K10" s="36"/>
      <c r="L10" s="36"/>
      <c r="M10" s="36"/>
    </row>
    <row r="11" spans="1:13" ht="18" customHeight="1" x14ac:dyDescent="0.2">
      <c r="A11" s="56"/>
      <c r="B11" s="50" t="s">
        <v>157</v>
      </c>
      <c r="C11" s="68">
        <v>25</v>
      </c>
      <c r="D11" s="82" t="s">
        <v>83</v>
      </c>
      <c r="E11" s="68">
        <v>38200</v>
      </c>
      <c r="F11" s="68">
        <f>C11*E11</f>
        <v>955000</v>
      </c>
      <c r="G11" s="68">
        <v>0</v>
      </c>
      <c r="H11" s="68">
        <f>C11*G11</f>
        <v>0</v>
      </c>
      <c r="I11" s="68">
        <f>F11+H11</f>
        <v>955000</v>
      </c>
    </row>
    <row r="12" spans="1:13" ht="18" customHeight="1" x14ac:dyDescent="0.2">
      <c r="A12" s="56"/>
      <c r="B12" s="50" t="s">
        <v>156</v>
      </c>
      <c r="C12" s="68">
        <v>25</v>
      </c>
      <c r="D12" s="82" t="s">
        <v>155</v>
      </c>
      <c r="E12" s="68">
        <v>10500</v>
      </c>
      <c r="F12" s="68">
        <f>C12*E12</f>
        <v>262500</v>
      </c>
      <c r="G12" s="68">
        <v>0</v>
      </c>
      <c r="H12" s="68">
        <f t="shared" ref="H12" si="0">C12*G12</f>
        <v>0</v>
      </c>
      <c r="I12" s="68">
        <f t="shared" ref="I12" si="1">F12+H12</f>
        <v>262500</v>
      </c>
      <c r="K12" s="37"/>
    </row>
    <row r="13" spans="1:13" ht="18" customHeight="1" x14ac:dyDescent="0.2">
      <c r="A13" s="56"/>
      <c r="B13" s="50" t="s">
        <v>158</v>
      </c>
      <c r="C13" s="68">
        <v>25</v>
      </c>
      <c r="D13" s="82" t="s">
        <v>83</v>
      </c>
      <c r="E13" s="68">
        <v>3500</v>
      </c>
      <c r="F13" s="68">
        <f>C13*E13</f>
        <v>87500</v>
      </c>
      <c r="G13" s="68">
        <v>0</v>
      </c>
      <c r="H13" s="68">
        <f>C13*G13</f>
        <v>0</v>
      </c>
      <c r="I13" s="68">
        <f>F13+H13</f>
        <v>87500</v>
      </c>
    </row>
    <row r="14" spans="1:13" ht="18" customHeight="1" x14ac:dyDescent="0.2">
      <c r="A14" s="56"/>
      <c r="B14" s="50" t="s">
        <v>235</v>
      </c>
      <c r="C14" s="68">
        <v>25</v>
      </c>
      <c r="D14" s="82" t="s">
        <v>83</v>
      </c>
      <c r="E14" s="68">
        <v>0</v>
      </c>
      <c r="F14" s="68">
        <f>C14*E14</f>
        <v>0</v>
      </c>
      <c r="G14" s="68">
        <v>3500</v>
      </c>
      <c r="H14" s="68">
        <f t="shared" ref="H14" si="2">C14*G14</f>
        <v>87500</v>
      </c>
      <c r="I14" s="68">
        <f t="shared" ref="I14" si="3">F14+H14</f>
        <v>87500</v>
      </c>
    </row>
    <row r="15" spans="1:13" s="37" customFormat="1" ht="18" customHeight="1" thickBot="1" x14ac:dyDescent="0.25">
      <c r="A15" s="98"/>
      <c r="B15" s="101" t="s">
        <v>180</v>
      </c>
      <c r="C15" s="99"/>
      <c r="D15" s="100"/>
      <c r="E15" s="99"/>
      <c r="F15" s="99">
        <f>SUM(F11:F14)</f>
        <v>1305000</v>
      </c>
      <c r="G15" s="99"/>
      <c r="H15" s="99">
        <f>SUM(H11:H14)</f>
        <v>87500</v>
      </c>
      <c r="I15" s="99">
        <f>SUM(I11:I14)</f>
        <v>1392500</v>
      </c>
    </row>
    <row r="16" spans="1:13" ht="18" customHeight="1" thickTop="1" x14ac:dyDescent="0.2"/>
    <row r="17" spans="8:8" ht="18" customHeight="1" x14ac:dyDescent="0.2">
      <c r="H17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32BFF-C585-4242-A310-26EDA3D74914}">
  <sheetPr>
    <tabColor theme="9" tint="0.39997558519241921"/>
  </sheetPr>
  <dimension ref="A1:M25"/>
  <sheetViews>
    <sheetView view="pageBreakPreview" zoomScaleNormal="100" zoomScaleSheetLayoutView="100" workbookViewId="0">
      <selection sqref="A1:I1"/>
    </sheetView>
  </sheetViews>
  <sheetFormatPr defaultRowHeight="18" customHeight="1" x14ac:dyDescent="0.2"/>
  <cols>
    <col min="1" max="1" width="5.625" style="54" customWidth="1"/>
    <col min="2" max="2" width="42.125" style="36" customWidth="1"/>
    <col min="3" max="3" width="9.375" style="36" customWidth="1"/>
    <col min="4" max="4" width="6.875" style="54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26" t="s">
        <v>320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ht="18" customHeight="1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ht="18" customHeight="1" x14ac:dyDescent="0.2">
      <c r="A3" s="226"/>
      <c r="B3" s="226"/>
      <c r="C3" s="226"/>
      <c r="D3" s="226"/>
      <c r="E3" s="226"/>
      <c r="F3" s="226"/>
      <c r="G3" s="226"/>
      <c r="H3" s="226"/>
      <c r="I3" s="226"/>
      <c r="J3" s="37"/>
      <c r="K3" s="37"/>
      <c r="L3" s="37"/>
      <c r="M3" s="37"/>
    </row>
    <row r="4" spans="1:13" s="47" customFormat="1" ht="18" customHeight="1" x14ac:dyDescent="0.2">
      <c r="A4" s="47" t="str">
        <f>ปร.5!A8</f>
        <v>ชื่อโครงการ   โครงการก่อสร้างสนามกีฬาชุมชน ขนาด 59.00 x 89.00 เมตร</v>
      </c>
      <c r="D4" s="54"/>
    </row>
    <row r="5" spans="1:13" s="47" customFormat="1" ht="18" customHeight="1" x14ac:dyDescent="0.2">
      <c r="A5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5" s="54"/>
    </row>
    <row r="6" spans="1:13" s="47" customFormat="1" ht="18" customHeight="1" x14ac:dyDescent="0.2">
      <c r="A6" s="47" t="str">
        <f>ปร.5!A10</f>
        <v>คณะกรรมการกำหนดราคากลางเมื่อ วันที่ 11 ตุลาคม 2567</v>
      </c>
      <c r="D6" s="54"/>
    </row>
    <row r="7" spans="1:13" ht="18" customHeight="1" x14ac:dyDescent="0.2">
      <c r="A7" s="227" t="s">
        <v>17</v>
      </c>
      <c r="B7" s="227" t="s">
        <v>15</v>
      </c>
      <c r="C7" s="227" t="s">
        <v>18</v>
      </c>
      <c r="D7" s="227" t="s">
        <v>16</v>
      </c>
      <c r="E7" s="227" t="s">
        <v>19</v>
      </c>
      <c r="F7" s="227"/>
      <c r="G7" s="227" t="s">
        <v>20</v>
      </c>
      <c r="H7" s="227"/>
      <c r="I7" s="228" t="s">
        <v>21</v>
      </c>
    </row>
    <row r="8" spans="1:13" ht="18" customHeight="1" x14ac:dyDescent="0.2">
      <c r="A8" s="227"/>
      <c r="B8" s="227"/>
      <c r="C8" s="227"/>
      <c r="D8" s="227"/>
      <c r="E8" s="44" t="s">
        <v>22</v>
      </c>
      <c r="F8" s="45" t="s">
        <v>23</v>
      </c>
      <c r="G8" s="44" t="s">
        <v>22</v>
      </c>
      <c r="H8" s="45" t="s">
        <v>24</v>
      </c>
      <c r="I8" s="228"/>
    </row>
    <row r="9" spans="1:13" s="37" customFormat="1" ht="18" customHeight="1" x14ac:dyDescent="0.2">
      <c r="A9" s="110">
        <v>1.4</v>
      </c>
      <c r="B9" s="124" t="s">
        <v>181</v>
      </c>
      <c r="C9" s="124"/>
      <c r="D9" s="110"/>
      <c r="E9" s="111"/>
      <c r="F9" s="111"/>
      <c r="G9" s="111"/>
      <c r="H9" s="111"/>
      <c r="I9" s="111"/>
    </row>
    <row r="10" spans="1:13" s="37" customFormat="1" ht="18" customHeight="1" x14ac:dyDescent="0.2">
      <c r="A10" s="62" t="s">
        <v>174</v>
      </c>
      <c r="B10" s="52" t="s">
        <v>141</v>
      </c>
      <c r="C10" s="63"/>
      <c r="D10" s="66"/>
      <c r="E10" s="63"/>
      <c r="F10" s="63"/>
      <c r="G10" s="63"/>
      <c r="H10" s="63"/>
      <c r="I10" s="63"/>
    </row>
    <row r="11" spans="1:13" ht="18" customHeight="1" x14ac:dyDescent="0.2">
      <c r="A11" s="56"/>
      <c r="B11" s="50" t="s">
        <v>101</v>
      </c>
      <c r="C11" s="58">
        <v>288</v>
      </c>
      <c r="D11" s="65" t="s">
        <v>89</v>
      </c>
      <c r="E11" s="58">
        <v>2300</v>
      </c>
      <c r="F11" s="58">
        <f>ROUNDDOWN(C11*E11,2)</f>
        <v>662400</v>
      </c>
      <c r="G11" s="58">
        <v>0</v>
      </c>
      <c r="H11" s="58">
        <f>ROUNDDOWN(C11*G11,2)</f>
        <v>0</v>
      </c>
      <c r="I11" s="58">
        <f t="shared" ref="I11:I18" si="0">F11+H11</f>
        <v>662400</v>
      </c>
    </row>
    <row r="12" spans="1:13" ht="18" customHeight="1" x14ac:dyDescent="0.2">
      <c r="A12" s="56"/>
      <c r="B12" s="50" t="s">
        <v>234</v>
      </c>
      <c r="C12" s="58">
        <v>4906.8</v>
      </c>
      <c r="D12" s="65" t="s">
        <v>74</v>
      </c>
      <c r="E12" s="58">
        <v>27.9</v>
      </c>
      <c r="F12" s="58">
        <f t="shared" ref="F12:F22" si="1">ROUNDDOWN(C12*E12,2)</f>
        <v>136899.72</v>
      </c>
      <c r="G12" s="58">
        <v>10</v>
      </c>
      <c r="H12" s="58">
        <f t="shared" ref="H12:H22" si="2">ROUNDDOWN(C12*G12,2)</f>
        <v>49068</v>
      </c>
      <c r="I12" s="58">
        <f t="shared" ref="I12" si="3">F12+H12</f>
        <v>185967.72</v>
      </c>
    </row>
    <row r="13" spans="1:13" ht="18" customHeight="1" x14ac:dyDescent="0.2">
      <c r="A13" s="56"/>
      <c r="B13" s="50" t="s">
        <v>102</v>
      </c>
      <c r="C13" s="58">
        <v>15</v>
      </c>
      <c r="D13" s="65" t="s">
        <v>83</v>
      </c>
      <c r="E13" s="58">
        <v>1552</v>
      </c>
      <c r="F13" s="58">
        <f t="shared" si="1"/>
        <v>23280</v>
      </c>
      <c r="G13" s="58">
        <v>400</v>
      </c>
      <c r="H13" s="58">
        <f t="shared" si="2"/>
        <v>6000</v>
      </c>
      <c r="I13" s="58">
        <f t="shared" si="0"/>
        <v>29280</v>
      </c>
    </row>
    <row r="14" spans="1:13" ht="18" customHeight="1" x14ac:dyDescent="0.2">
      <c r="A14" s="56"/>
      <c r="B14" s="50" t="s">
        <v>50</v>
      </c>
      <c r="C14" s="58">
        <v>15</v>
      </c>
      <c r="D14" s="65" t="s">
        <v>89</v>
      </c>
      <c r="E14" s="58">
        <v>517.5</v>
      </c>
      <c r="F14" s="58">
        <f t="shared" si="1"/>
        <v>7762.5</v>
      </c>
      <c r="G14" s="58">
        <v>0</v>
      </c>
      <c r="H14" s="58">
        <f t="shared" si="2"/>
        <v>0</v>
      </c>
      <c r="I14" s="58">
        <f t="shared" si="0"/>
        <v>7762.5</v>
      </c>
    </row>
    <row r="15" spans="1:13" ht="18" customHeight="1" x14ac:dyDescent="0.2">
      <c r="A15" s="56"/>
      <c r="B15" s="50" t="s">
        <v>103</v>
      </c>
      <c r="C15" s="58">
        <f>148+8</f>
        <v>156</v>
      </c>
      <c r="D15" s="65" t="s">
        <v>88</v>
      </c>
      <c r="E15" s="58">
        <v>140</v>
      </c>
      <c r="F15" s="58">
        <f t="shared" si="1"/>
        <v>21840</v>
      </c>
      <c r="G15" s="58">
        <v>100</v>
      </c>
      <c r="H15" s="58">
        <f t="shared" si="2"/>
        <v>15600</v>
      </c>
      <c r="I15" s="58">
        <f t="shared" si="0"/>
        <v>37440</v>
      </c>
    </row>
    <row r="16" spans="1:13" ht="18" customHeight="1" x14ac:dyDescent="0.2">
      <c r="A16" s="56"/>
      <c r="B16" s="50" t="s">
        <v>104</v>
      </c>
      <c r="C16" s="58">
        <v>12</v>
      </c>
      <c r="D16" s="65" t="s">
        <v>88</v>
      </c>
      <c r="E16" s="58">
        <v>695.85</v>
      </c>
      <c r="F16" s="58">
        <f t="shared" si="1"/>
        <v>8350.2000000000007</v>
      </c>
      <c r="G16" s="58">
        <v>400</v>
      </c>
      <c r="H16" s="58">
        <f t="shared" si="2"/>
        <v>4800</v>
      </c>
      <c r="I16" s="58">
        <f t="shared" si="0"/>
        <v>13150.2</v>
      </c>
    </row>
    <row r="17" spans="1:9" ht="18" customHeight="1" x14ac:dyDescent="0.2">
      <c r="A17" s="56"/>
      <c r="B17" s="50" t="s">
        <v>107</v>
      </c>
      <c r="C17" s="58">
        <v>1</v>
      </c>
      <c r="D17" s="65" t="s">
        <v>111</v>
      </c>
      <c r="E17" s="58">
        <f>(F15+F16)*0.4</f>
        <v>12076.080000000002</v>
      </c>
      <c r="F17" s="58">
        <f t="shared" si="1"/>
        <v>12076.08</v>
      </c>
      <c r="G17" s="58">
        <v>0</v>
      </c>
      <c r="H17" s="58">
        <f t="shared" si="2"/>
        <v>0</v>
      </c>
      <c r="I17" s="58">
        <f t="shared" si="0"/>
        <v>12076.08</v>
      </c>
    </row>
    <row r="18" spans="1:9" ht="18" customHeight="1" x14ac:dyDescent="0.2">
      <c r="A18" s="56"/>
      <c r="B18" s="50" t="s">
        <v>108</v>
      </c>
      <c r="C18" s="58">
        <v>1</v>
      </c>
      <c r="D18" s="65" t="s">
        <v>111</v>
      </c>
      <c r="E18" s="58">
        <v>0</v>
      </c>
      <c r="F18" s="58">
        <f t="shared" si="1"/>
        <v>0</v>
      </c>
      <c r="G18" s="58">
        <f>F17*0.3</f>
        <v>3622.8240000000001</v>
      </c>
      <c r="H18" s="58">
        <f t="shared" si="2"/>
        <v>3622.82</v>
      </c>
      <c r="I18" s="58">
        <f t="shared" si="0"/>
        <v>3622.82</v>
      </c>
    </row>
    <row r="19" spans="1:9" ht="18" customHeight="1" x14ac:dyDescent="0.2">
      <c r="A19" s="56"/>
      <c r="B19" s="50" t="s">
        <v>105</v>
      </c>
      <c r="C19" s="58">
        <v>1</v>
      </c>
      <c r="D19" s="65" t="s">
        <v>111</v>
      </c>
      <c r="E19" s="58">
        <f>(F15+F16)*0.3</f>
        <v>9057.06</v>
      </c>
      <c r="F19" s="58">
        <f t="shared" si="1"/>
        <v>9057.06</v>
      </c>
      <c r="G19" s="58">
        <v>0</v>
      </c>
      <c r="H19" s="58">
        <f t="shared" si="2"/>
        <v>0</v>
      </c>
      <c r="I19" s="58">
        <f t="shared" ref="I19:I22" si="4">F19+H19</f>
        <v>9057.06</v>
      </c>
    </row>
    <row r="20" spans="1:9" ht="18" customHeight="1" x14ac:dyDescent="0.2">
      <c r="A20" s="56"/>
      <c r="B20" s="50" t="s">
        <v>109</v>
      </c>
      <c r="C20" s="58">
        <v>1</v>
      </c>
      <c r="D20" s="65" t="s">
        <v>111</v>
      </c>
      <c r="E20" s="58">
        <v>0</v>
      </c>
      <c r="F20" s="58">
        <f t="shared" si="1"/>
        <v>0</v>
      </c>
      <c r="G20" s="58">
        <f>F19*0.3</f>
        <v>2717.1179999999999</v>
      </c>
      <c r="H20" s="58">
        <f t="shared" si="2"/>
        <v>2717.11</v>
      </c>
      <c r="I20" s="58">
        <f t="shared" si="4"/>
        <v>2717.11</v>
      </c>
    </row>
    <row r="21" spans="1:9" ht="18" customHeight="1" x14ac:dyDescent="0.2">
      <c r="A21" s="56"/>
      <c r="B21" s="50" t="s">
        <v>106</v>
      </c>
      <c r="C21" s="58">
        <v>1</v>
      </c>
      <c r="D21" s="65" t="s">
        <v>111</v>
      </c>
      <c r="E21" s="58">
        <f>(F15+F16)*0.1</f>
        <v>3019.0200000000004</v>
      </c>
      <c r="F21" s="58">
        <f t="shared" si="1"/>
        <v>3019.02</v>
      </c>
      <c r="G21" s="58">
        <v>0</v>
      </c>
      <c r="H21" s="58">
        <f t="shared" si="2"/>
        <v>0</v>
      </c>
      <c r="I21" s="58">
        <f t="shared" si="4"/>
        <v>3019.02</v>
      </c>
    </row>
    <row r="22" spans="1:9" ht="18" customHeight="1" x14ac:dyDescent="0.2">
      <c r="A22" s="83"/>
      <c r="B22" s="93" t="s">
        <v>110</v>
      </c>
      <c r="C22" s="85">
        <v>1</v>
      </c>
      <c r="D22" s="86" t="s">
        <v>111</v>
      </c>
      <c r="E22" s="85">
        <v>0</v>
      </c>
      <c r="F22" s="58">
        <f t="shared" si="1"/>
        <v>0</v>
      </c>
      <c r="G22" s="85">
        <f>F21*0.3</f>
        <v>905.70600000000002</v>
      </c>
      <c r="H22" s="58">
        <f t="shared" si="2"/>
        <v>905.7</v>
      </c>
      <c r="I22" s="85">
        <f t="shared" si="4"/>
        <v>905.7</v>
      </c>
    </row>
    <row r="23" spans="1:9" s="37" customFormat="1" ht="18" customHeight="1" thickBot="1" x14ac:dyDescent="0.25">
      <c r="A23" s="98"/>
      <c r="B23" s="101" t="s">
        <v>182</v>
      </c>
      <c r="C23" s="99"/>
      <c r="D23" s="100"/>
      <c r="E23" s="99"/>
      <c r="F23" s="99">
        <f>SUM(F11:F22)</f>
        <v>884684.58</v>
      </c>
      <c r="G23" s="99"/>
      <c r="H23" s="99">
        <f>SUM(H11:H22)</f>
        <v>82713.63</v>
      </c>
      <c r="I23" s="99">
        <f>SUM(I11:I22)</f>
        <v>967398.20999999985</v>
      </c>
    </row>
    <row r="24" spans="1:9" ht="18" customHeight="1" thickTop="1" x14ac:dyDescent="0.2"/>
    <row r="25" spans="1:9" ht="18" customHeight="1" x14ac:dyDescent="0.2">
      <c r="H25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502D6-216F-44A2-BBDB-0805A9D5E861}">
  <sheetPr>
    <tabColor rgb="FF00B0F0"/>
  </sheetPr>
  <dimension ref="A1:M69"/>
  <sheetViews>
    <sheetView tabSelected="1" view="pageBreakPreview" topLeftCell="A43" zoomScaleNormal="100" zoomScaleSheetLayoutView="100" workbookViewId="0">
      <selection activeCell="M55" sqref="M55"/>
    </sheetView>
  </sheetViews>
  <sheetFormatPr defaultRowHeight="18" customHeight="1" x14ac:dyDescent="0.2"/>
  <cols>
    <col min="1" max="1" width="5.625" style="122" customWidth="1"/>
    <col min="2" max="2" width="42.125" style="36" customWidth="1"/>
    <col min="3" max="3" width="8.75" style="36" customWidth="1"/>
    <col min="4" max="4" width="6.875" style="54" customWidth="1"/>
    <col min="5" max="5" width="10.625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26" t="s">
        <v>320</v>
      </c>
      <c r="B1" s="226"/>
      <c r="C1" s="226"/>
      <c r="D1" s="226"/>
      <c r="E1" s="226"/>
      <c r="F1" s="226"/>
      <c r="G1" s="226"/>
      <c r="H1" s="226"/>
      <c r="I1" s="226"/>
      <c r="J1" s="37"/>
      <c r="K1" s="37"/>
      <c r="L1" s="37"/>
      <c r="M1" s="37"/>
    </row>
    <row r="2" spans="1:13" ht="18" customHeight="1" x14ac:dyDescent="0.2">
      <c r="A2" s="226" t="s">
        <v>0</v>
      </c>
      <c r="B2" s="226"/>
      <c r="C2" s="226"/>
      <c r="D2" s="226"/>
      <c r="E2" s="226"/>
      <c r="F2" s="226"/>
      <c r="G2" s="226"/>
      <c r="H2" s="226"/>
      <c r="I2" s="226"/>
      <c r="J2" s="37"/>
      <c r="K2" s="37"/>
      <c r="L2" s="37"/>
      <c r="M2" s="37"/>
    </row>
    <row r="3" spans="1:13" ht="18" customHeight="1" x14ac:dyDescent="0.2">
      <c r="A3" s="226"/>
      <c r="B3" s="226"/>
      <c r="C3" s="226"/>
      <c r="D3" s="226"/>
      <c r="E3" s="226"/>
      <c r="F3" s="226"/>
      <c r="G3" s="226"/>
      <c r="H3" s="226"/>
      <c r="I3" s="226"/>
      <c r="J3" s="37"/>
      <c r="K3" s="37"/>
      <c r="L3" s="37"/>
      <c r="M3" s="37"/>
    </row>
    <row r="4" spans="1:13" s="47" customFormat="1" ht="18" customHeight="1" x14ac:dyDescent="0.2">
      <c r="A4" s="47" t="str">
        <f>ปร.5!A8</f>
        <v>ชื่อโครงการ   โครงการก่อสร้างสนามกีฬาชุมชน ขนาด 59.00 x 89.00 เมตร</v>
      </c>
      <c r="D4" s="54"/>
    </row>
    <row r="5" spans="1:13" s="47" customFormat="1" ht="18" customHeight="1" x14ac:dyDescent="0.2">
      <c r="A5" s="47" t="str">
        <f>ปร.5!A9</f>
        <v>ที่ตั้งโครงการ   บริเวณหน้าโดมเทศบาลตำบลคำพราน ชุมชนบ้านหนองชะโด หมู่ที่ 7 ตำบลคำพราน อำเภอวังม่วง จังหวัดสระบุรี</v>
      </c>
      <c r="D5" s="54"/>
    </row>
    <row r="6" spans="1:13" s="47" customFormat="1" ht="18" customHeight="1" x14ac:dyDescent="0.2">
      <c r="A6" s="47" t="str">
        <f>ปร.5!A10</f>
        <v>คณะกรรมการกำหนดราคากลางเมื่อ วันที่ 11 ตุลาคม 2567</v>
      </c>
      <c r="D6" s="54"/>
    </row>
    <row r="7" spans="1:13" ht="18" customHeight="1" x14ac:dyDescent="0.2">
      <c r="A7" s="229" t="s">
        <v>17</v>
      </c>
      <c r="B7" s="227" t="s">
        <v>15</v>
      </c>
      <c r="C7" s="227" t="s">
        <v>18</v>
      </c>
      <c r="D7" s="227" t="s">
        <v>16</v>
      </c>
      <c r="E7" s="227" t="s">
        <v>19</v>
      </c>
      <c r="F7" s="227"/>
      <c r="G7" s="227" t="s">
        <v>20</v>
      </c>
      <c r="H7" s="227"/>
      <c r="I7" s="228" t="s">
        <v>21</v>
      </c>
    </row>
    <row r="8" spans="1:13" ht="18" customHeight="1" x14ac:dyDescent="0.2">
      <c r="A8" s="229"/>
      <c r="B8" s="227"/>
      <c r="C8" s="227"/>
      <c r="D8" s="227"/>
      <c r="E8" s="44" t="s">
        <v>22</v>
      </c>
      <c r="F8" s="45" t="s">
        <v>23</v>
      </c>
      <c r="G8" s="44" t="s">
        <v>22</v>
      </c>
      <c r="H8" s="45" t="s">
        <v>24</v>
      </c>
      <c r="I8" s="228"/>
    </row>
    <row r="9" spans="1:13" s="37" customFormat="1" ht="18" customHeight="1" x14ac:dyDescent="0.2">
      <c r="A9" s="125" t="s">
        <v>291</v>
      </c>
      <c r="B9" s="124" t="s">
        <v>231</v>
      </c>
      <c r="C9" s="124"/>
      <c r="D9" s="110"/>
      <c r="E9" s="111"/>
      <c r="F9" s="111"/>
      <c r="G9" s="111"/>
      <c r="H9" s="111"/>
      <c r="I9" s="111"/>
    </row>
    <row r="10" spans="1:13" ht="18" customHeight="1" x14ac:dyDescent="0.2">
      <c r="A10" s="56">
        <v>2.1</v>
      </c>
      <c r="B10" s="50" t="s">
        <v>190</v>
      </c>
      <c r="C10" s="58">
        <v>2</v>
      </c>
      <c r="D10" s="65" t="s">
        <v>186</v>
      </c>
      <c r="E10" s="58">
        <v>95000</v>
      </c>
      <c r="F10" s="58">
        <f>C10*E10</f>
        <v>190000</v>
      </c>
      <c r="G10" s="58">
        <v>0</v>
      </c>
      <c r="H10" s="58">
        <f>C10*G10</f>
        <v>0</v>
      </c>
      <c r="I10" s="58">
        <f>F10+H10</f>
        <v>190000</v>
      </c>
    </row>
    <row r="11" spans="1:13" ht="18" customHeight="1" x14ac:dyDescent="0.2">
      <c r="A11" s="56">
        <v>2.2000000000000002</v>
      </c>
      <c r="B11" s="50" t="s">
        <v>192</v>
      </c>
      <c r="C11" s="58">
        <v>2</v>
      </c>
      <c r="D11" s="65" t="s">
        <v>186</v>
      </c>
      <c r="E11" s="58">
        <v>95000</v>
      </c>
      <c r="F11" s="58">
        <f t="shared" ref="F11:F56" si="0">C11*E11</f>
        <v>190000</v>
      </c>
      <c r="G11" s="58">
        <v>0</v>
      </c>
      <c r="H11" s="58">
        <f t="shared" ref="H11:H56" si="1">C11*G11</f>
        <v>0</v>
      </c>
      <c r="I11" s="58">
        <f t="shared" ref="I11:I56" si="2">F11+H11</f>
        <v>190000</v>
      </c>
    </row>
    <row r="12" spans="1:13" ht="18" customHeight="1" x14ac:dyDescent="0.2">
      <c r="A12" s="56">
        <v>2.2999999999999998</v>
      </c>
      <c r="B12" s="50" t="s">
        <v>193</v>
      </c>
      <c r="C12" s="58">
        <v>2</v>
      </c>
      <c r="D12" s="65" t="s">
        <v>186</v>
      </c>
      <c r="E12" s="58">
        <v>95000</v>
      </c>
      <c r="F12" s="58">
        <f t="shared" si="0"/>
        <v>190000</v>
      </c>
      <c r="G12" s="58">
        <v>0</v>
      </c>
      <c r="H12" s="58">
        <f t="shared" si="1"/>
        <v>0</v>
      </c>
      <c r="I12" s="58">
        <f t="shared" si="2"/>
        <v>190000</v>
      </c>
    </row>
    <row r="13" spans="1:13" ht="18" customHeight="1" x14ac:dyDescent="0.2">
      <c r="A13" s="56">
        <v>2.4</v>
      </c>
      <c r="B13" s="50" t="s">
        <v>194</v>
      </c>
      <c r="C13" s="58">
        <v>2</v>
      </c>
      <c r="D13" s="65" t="s">
        <v>186</v>
      </c>
      <c r="E13" s="58">
        <v>95000</v>
      </c>
      <c r="F13" s="58">
        <f t="shared" si="0"/>
        <v>190000</v>
      </c>
      <c r="G13" s="58">
        <v>0</v>
      </c>
      <c r="H13" s="58">
        <f t="shared" si="1"/>
        <v>0</v>
      </c>
      <c r="I13" s="58">
        <f t="shared" si="2"/>
        <v>190000</v>
      </c>
    </row>
    <row r="14" spans="1:13" ht="18" customHeight="1" x14ac:dyDescent="0.2">
      <c r="A14" s="56">
        <v>2.5</v>
      </c>
      <c r="B14" s="50" t="s">
        <v>195</v>
      </c>
      <c r="C14" s="58">
        <v>2</v>
      </c>
      <c r="D14" s="65" t="s">
        <v>186</v>
      </c>
      <c r="E14" s="58">
        <v>95000</v>
      </c>
      <c r="F14" s="58">
        <f t="shared" si="0"/>
        <v>190000</v>
      </c>
      <c r="G14" s="58">
        <v>0</v>
      </c>
      <c r="H14" s="58">
        <f t="shared" si="1"/>
        <v>0</v>
      </c>
      <c r="I14" s="58">
        <f t="shared" si="2"/>
        <v>190000</v>
      </c>
    </row>
    <row r="15" spans="1:13" ht="18" customHeight="1" x14ac:dyDescent="0.2">
      <c r="A15" s="56">
        <v>2.6</v>
      </c>
      <c r="B15" s="50" t="s">
        <v>196</v>
      </c>
      <c r="C15" s="58">
        <v>2</v>
      </c>
      <c r="D15" s="65" t="s">
        <v>186</v>
      </c>
      <c r="E15" s="58">
        <v>95000</v>
      </c>
      <c r="F15" s="58">
        <f t="shared" si="0"/>
        <v>190000</v>
      </c>
      <c r="G15" s="58">
        <v>0</v>
      </c>
      <c r="H15" s="58">
        <f t="shared" si="1"/>
        <v>0</v>
      </c>
      <c r="I15" s="58">
        <f t="shared" si="2"/>
        <v>190000</v>
      </c>
    </row>
    <row r="16" spans="1:13" ht="18" customHeight="1" x14ac:dyDescent="0.2">
      <c r="A16" s="56">
        <v>2.7</v>
      </c>
      <c r="B16" s="50" t="s">
        <v>197</v>
      </c>
      <c r="C16" s="58">
        <v>2</v>
      </c>
      <c r="D16" s="65" t="s">
        <v>186</v>
      </c>
      <c r="E16" s="58">
        <v>95000</v>
      </c>
      <c r="F16" s="58">
        <f t="shared" si="0"/>
        <v>190000</v>
      </c>
      <c r="G16" s="58">
        <v>0</v>
      </c>
      <c r="H16" s="58">
        <f t="shared" si="1"/>
        <v>0</v>
      </c>
      <c r="I16" s="58">
        <f t="shared" si="2"/>
        <v>190000</v>
      </c>
    </row>
    <row r="17" spans="1:9" ht="18" customHeight="1" x14ac:dyDescent="0.2">
      <c r="A17" s="56">
        <v>2.8</v>
      </c>
      <c r="B17" s="50" t="s">
        <v>198</v>
      </c>
      <c r="C17" s="58">
        <v>2</v>
      </c>
      <c r="D17" s="65" t="s">
        <v>186</v>
      </c>
      <c r="E17" s="58">
        <v>95000</v>
      </c>
      <c r="F17" s="58">
        <f t="shared" si="0"/>
        <v>190000</v>
      </c>
      <c r="G17" s="58">
        <v>0</v>
      </c>
      <c r="H17" s="58">
        <f t="shared" si="1"/>
        <v>0</v>
      </c>
      <c r="I17" s="58">
        <f t="shared" si="2"/>
        <v>190000</v>
      </c>
    </row>
    <row r="18" spans="1:9" ht="18" customHeight="1" x14ac:dyDescent="0.2">
      <c r="A18" s="56">
        <v>2.9</v>
      </c>
      <c r="B18" s="50" t="s">
        <v>191</v>
      </c>
      <c r="C18" s="58">
        <v>4</v>
      </c>
      <c r="D18" s="65" t="s">
        <v>186</v>
      </c>
      <c r="E18" s="58">
        <v>33000</v>
      </c>
      <c r="F18" s="58">
        <f t="shared" si="0"/>
        <v>132000</v>
      </c>
      <c r="G18" s="58">
        <v>0</v>
      </c>
      <c r="H18" s="58">
        <f t="shared" si="1"/>
        <v>0</v>
      </c>
      <c r="I18" s="58">
        <f t="shared" si="2"/>
        <v>132000</v>
      </c>
    </row>
    <row r="19" spans="1:9" ht="18" customHeight="1" x14ac:dyDescent="0.2">
      <c r="A19" s="123">
        <v>2.1</v>
      </c>
      <c r="B19" s="50" t="s">
        <v>203</v>
      </c>
      <c r="C19" s="58">
        <v>4</v>
      </c>
      <c r="D19" s="65" t="s">
        <v>186</v>
      </c>
      <c r="E19" s="58">
        <v>196000</v>
      </c>
      <c r="F19" s="58">
        <f t="shared" si="0"/>
        <v>784000</v>
      </c>
      <c r="G19" s="58">
        <v>0</v>
      </c>
      <c r="H19" s="58">
        <f t="shared" si="1"/>
        <v>0</v>
      </c>
      <c r="I19" s="58">
        <f t="shared" si="2"/>
        <v>784000</v>
      </c>
    </row>
    <row r="20" spans="1:9" ht="18" customHeight="1" x14ac:dyDescent="0.2">
      <c r="A20" s="56">
        <v>2.11</v>
      </c>
      <c r="B20" s="50" t="s">
        <v>204</v>
      </c>
      <c r="C20" s="58">
        <v>4</v>
      </c>
      <c r="D20" s="65" t="s">
        <v>186</v>
      </c>
      <c r="E20" s="58">
        <v>92000</v>
      </c>
      <c r="F20" s="58">
        <f t="shared" si="0"/>
        <v>368000</v>
      </c>
      <c r="G20" s="58">
        <v>0</v>
      </c>
      <c r="H20" s="58">
        <f t="shared" si="1"/>
        <v>0</v>
      </c>
      <c r="I20" s="58">
        <f t="shared" si="2"/>
        <v>368000</v>
      </c>
    </row>
    <row r="21" spans="1:9" ht="18" customHeight="1" x14ac:dyDescent="0.2">
      <c r="A21" s="56">
        <v>2.12</v>
      </c>
      <c r="B21" s="50" t="s">
        <v>200</v>
      </c>
      <c r="C21" s="58">
        <v>4</v>
      </c>
      <c r="D21" s="65" t="s">
        <v>186</v>
      </c>
      <c r="E21" s="58">
        <v>66000</v>
      </c>
      <c r="F21" s="58">
        <f t="shared" si="0"/>
        <v>264000</v>
      </c>
      <c r="G21" s="58">
        <v>0</v>
      </c>
      <c r="H21" s="58">
        <f t="shared" si="1"/>
        <v>0</v>
      </c>
      <c r="I21" s="58">
        <f t="shared" si="2"/>
        <v>264000</v>
      </c>
    </row>
    <row r="22" spans="1:9" ht="18" customHeight="1" x14ac:dyDescent="0.2">
      <c r="A22" s="56">
        <v>2.13</v>
      </c>
      <c r="B22" s="50" t="s">
        <v>201</v>
      </c>
      <c r="C22" s="58">
        <v>2</v>
      </c>
      <c r="D22" s="65" t="s">
        <v>186</v>
      </c>
      <c r="E22" s="58">
        <v>71000</v>
      </c>
      <c r="F22" s="58">
        <f t="shared" si="0"/>
        <v>142000</v>
      </c>
      <c r="G22" s="58">
        <v>0</v>
      </c>
      <c r="H22" s="58">
        <f t="shared" si="1"/>
        <v>0</v>
      </c>
      <c r="I22" s="58">
        <f t="shared" si="2"/>
        <v>142000</v>
      </c>
    </row>
    <row r="23" spans="1:9" ht="18" customHeight="1" x14ac:dyDescent="0.2">
      <c r="A23" s="56">
        <v>2.14</v>
      </c>
      <c r="B23" s="50" t="s">
        <v>202</v>
      </c>
      <c r="C23" s="58">
        <v>2</v>
      </c>
      <c r="D23" s="65" t="s">
        <v>186</v>
      </c>
      <c r="E23" s="58">
        <v>71000</v>
      </c>
      <c r="F23" s="58">
        <f t="shared" si="0"/>
        <v>142000</v>
      </c>
      <c r="G23" s="58">
        <v>0</v>
      </c>
      <c r="H23" s="58">
        <f t="shared" si="1"/>
        <v>0</v>
      </c>
      <c r="I23" s="58">
        <f t="shared" si="2"/>
        <v>142000</v>
      </c>
    </row>
    <row r="24" spans="1:9" ht="18" customHeight="1" x14ac:dyDescent="0.2">
      <c r="A24" s="56">
        <v>2.15</v>
      </c>
      <c r="B24" s="50" t="s">
        <v>199</v>
      </c>
      <c r="C24" s="58">
        <v>2</v>
      </c>
      <c r="D24" s="65" t="s">
        <v>186</v>
      </c>
      <c r="E24" s="58">
        <v>71000</v>
      </c>
      <c r="F24" s="58">
        <f t="shared" si="0"/>
        <v>142000</v>
      </c>
      <c r="G24" s="58">
        <v>0</v>
      </c>
      <c r="H24" s="58">
        <f t="shared" si="1"/>
        <v>0</v>
      </c>
      <c r="I24" s="58">
        <f t="shared" si="2"/>
        <v>142000</v>
      </c>
    </row>
    <row r="25" spans="1:9" ht="18" customHeight="1" x14ac:dyDescent="0.2">
      <c r="A25" s="56">
        <v>2.16</v>
      </c>
      <c r="B25" s="50" t="s">
        <v>205</v>
      </c>
      <c r="C25" s="58">
        <v>2</v>
      </c>
      <c r="D25" s="65" t="s">
        <v>186</v>
      </c>
      <c r="E25" s="58">
        <v>71000</v>
      </c>
      <c r="F25" s="58">
        <f t="shared" si="0"/>
        <v>142000</v>
      </c>
      <c r="G25" s="58">
        <v>0</v>
      </c>
      <c r="H25" s="58">
        <f t="shared" si="1"/>
        <v>0</v>
      </c>
      <c r="I25" s="58">
        <f t="shared" si="2"/>
        <v>142000</v>
      </c>
    </row>
    <row r="26" spans="1:9" ht="18" customHeight="1" x14ac:dyDescent="0.2">
      <c r="A26" s="56">
        <v>2.17</v>
      </c>
      <c r="B26" s="50" t="s">
        <v>206</v>
      </c>
      <c r="C26" s="58">
        <v>2</v>
      </c>
      <c r="D26" s="65" t="s">
        <v>186</v>
      </c>
      <c r="E26" s="58">
        <v>196000</v>
      </c>
      <c r="F26" s="58">
        <f t="shared" si="0"/>
        <v>392000</v>
      </c>
      <c r="G26" s="58">
        <v>0</v>
      </c>
      <c r="H26" s="58">
        <f t="shared" si="1"/>
        <v>0</v>
      </c>
      <c r="I26" s="58">
        <f t="shared" si="2"/>
        <v>392000</v>
      </c>
    </row>
    <row r="27" spans="1:9" ht="18" customHeight="1" x14ac:dyDescent="0.2">
      <c r="A27" s="56">
        <v>2.1800000000000002</v>
      </c>
      <c r="B27" s="50" t="s">
        <v>207</v>
      </c>
      <c r="C27" s="58">
        <v>2</v>
      </c>
      <c r="D27" s="65" t="s">
        <v>186</v>
      </c>
      <c r="E27" s="58">
        <v>196000</v>
      </c>
      <c r="F27" s="58">
        <f t="shared" si="0"/>
        <v>392000</v>
      </c>
      <c r="G27" s="58">
        <v>0</v>
      </c>
      <c r="H27" s="58">
        <f t="shared" si="1"/>
        <v>0</v>
      </c>
      <c r="I27" s="58">
        <f t="shared" si="2"/>
        <v>392000</v>
      </c>
    </row>
    <row r="28" spans="1:9" ht="18" customHeight="1" x14ac:dyDescent="0.2">
      <c r="A28" s="56">
        <v>2.19</v>
      </c>
      <c r="B28" s="50" t="s">
        <v>208</v>
      </c>
      <c r="C28" s="58">
        <v>3</v>
      </c>
      <c r="D28" s="65" t="s">
        <v>186</v>
      </c>
      <c r="E28" s="58">
        <v>179000</v>
      </c>
      <c r="F28" s="58">
        <f t="shared" si="0"/>
        <v>537000</v>
      </c>
      <c r="G28" s="58">
        <v>0</v>
      </c>
      <c r="H28" s="58">
        <f t="shared" si="1"/>
        <v>0</v>
      </c>
      <c r="I28" s="58">
        <f t="shared" si="2"/>
        <v>537000</v>
      </c>
    </row>
    <row r="29" spans="1:9" ht="18" customHeight="1" x14ac:dyDescent="0.2">
      <c r="A29" s="123">
        <v>2.2000000000000002</v>
      </c>
      <c r="B29" s="50" t="s">
        <v>209</v>
      </c>
      <c r="C29" s="58">
        <v>2</v>
      </c>
      <c r="D29" s="65" t="s">
        <v>186</v>
      </c>
      <c r="E29" s="58">
        <v>65000</v>
      </c>
      <c r="F29" s="58">
        <f t="shared" si="0"/>
        <v>130000</v>
      </c>
      <c r="G29" s="58">
        <v>0</v>
      </c>
      <c r="H29" s="58">
        <f t="shared" si="1"/>
        <v>0</v>
      </c>
      <c r="I29" s="58">
        <f t="shared" si="2"/>
        <v>130000</v>
      </c>
    </row>
    <row r="30" spans="1:9" ht="18" customHeight="1" x14ac:dyDescent="0.2">
      <c r="A30" s="56">
        <v>2.21</v>
      </c>
      <c r="B30" s="50" t="s">
        <v>324</v>
      </c>
      <c r="C30" s="58">
        <v>2</v>
      </c>
      <c r="D30" s="65" t="s">
        <v>186</v>
      </c>
      <c r="E30" s="58">
        <v>65000</v>
      </c>
      <c r="F30" s="58">
        <f t="shared" si="0"/>
        <v>130000</v>
      </c>
      <c r="G30" s="58">
        <v>0</v>
      </c>
      <c r="H30" s="58">
        <f t="shared" si="1"/>
        <v>0</v>
      </c>
      <c r="I30" s="58">
        <f t="shared" si="2"/>
        <v>130000</v>
      </c>
    </row>
    <row r="31" spans="1:9" ht="18" customHeight="1" x14ac:dyDescent="0.2">
      <c r="A31" s="56">
        <v>2.2200000000000002</v>
      </c>
      <c r="B31" s="50" t="s">
        <v>210</v>
      </c>
      <c r="C31" s="58">
        <v>2</v>
      </c>
      <c r="D31" s="65" t="s">
        <v>186</v>
      </c>
      <c r="E31" s="58">
        <v>96000</v>
      </c>
      <c r="F31" s="58">
        <f t="shared" si="0"/>
        <v>192000</v>
      </c>
      <c r="G31" s="58">
        <v>0</v>
      </c>
      <c r="H31" s="58">
        <f t="shared" si="1"/>
        <v>0</v>
      </c>
      <c r="I31" s="58">
        <f t="shared" si="2"/>
        <v>192000</v>
      </c>
    </row>
    <row r="32" spans="1:9" ht="18" customHeight="1" x14ac:dyDescent="0.2">
      <c r="A32" s="56">
        <v>2.23</v>
      </c>
      <c r="B32" s="50" t="s">
        <v>211</v>
      </c>
      <c r="C32" s="58">
        <v>2</v>
      </c>
      <c r="D32" s="65" t="s">
        <v>186</v>
      </c>
      <c r="E32" s="58">
        <v>96000</v>
      </c>
      <c r="F32" s="58">
        <f t="shared" si="0"/>
        <v>192000</v>
      </c>
      <c r="G32" s="58">
        <v>0</v>
      </c>
      <c r="H32" s="58">
        <f t="shared" si="1"/>
        <v>0</v>
      </c>
      <c r="I32" s="58">
        <f t="shared" si="2"/>
        <v>192000</v>
      </c>
    </row>
    <row r="33" spans="1:9" ht="18" customHeight="1" x14ac:dyDescent="0.2">
      <c r="A33" s="56">
        <v>2.2400000000000002</v>
      </c>
      <c r="B33" s="50" t="s">
        <v>212</v>
      </c>
      <c r="C33" s="58">
        <v>50</v>
      </c>
      <c r="D33" s="65" t="s">
        <v>187</v>
      </c>
      <c r="E33" s="58">
        <v>800</v>
      </c>
      <c r="F33" s="58">
        <f t="shared" si="0"/>
        <v>40000</v>
      </c>
      <c r="G33" s="58">
        <v>0</v>
      </c>
      <c r="H33" s="58">
        <f t="shared" si="1"/>
        <v>0</v>
      </c>
      <c r="I33" s="58">
        <f t="shared" si="2"/>
        <v>40000</v>
      </c>
    </row>
    <row r="34" spans="1:9" ht="18" customHeight="1" x14ac:dyDescent="0.2">
      <c r="A34" s="56">
        <v>2.25</v>
      </c>
      <c r="B34" s="50" t="s">
        <v>213</v>
      </c>
      <c r="C34" s="58">
        <v>1</v>
      </c>
      <c r="D34" s="65" t="s">
        <v>83</v>
      </c>
      <c r="E34" s="58">
        <v>45000</v>
      </c>
      <c r="F34" s="58">
        <f t="shared" si="0"/>
        <v>45000</v>
      </c>
      <c r="G34" s="58">
        <v>0</v>
      </c>
      <c r="H34" s="58">
        <f t="shared" si="1"/>
        <v>0</v>
      </c>
      <c r="I34" s="58">
        <f t="shared" si="2"/>
        <v>45000</v>
      </c>
    </row>
    <row r="35" spans="1:9" ht="18" customHeight="1" x14ac:dyDescent="0.2">
      <c r="A35" s="56">
        <v>2.2599999999999998</v>
      </c>
      <c r="B35" s="50" t="s">
        <v>214</v>
      </c>
      <c r="C35" s="58">
        <v>2</v>
      </c>
      <c r="D35" s="65" t="s">
        <v>83</v>
      </c>
      <c r="E35" s="58">
        <v>1700</v>
      </c>
      <c r="F35" s="58">
        <f t="shared" si="0"/>
        <v>3400</v>
      </c>
      <c r="G35" s="58">
        <v>0</v>
      </c>
      <c r="H35" s="58">
        <f t="shared" si="1"/>
        <v>0</v>
      </c>
      <c r="I35" s="58">
        <f t="shared" si="2"/>
        <v>3400</v>
      </c>
    </row>
    <row r="36" spans="1:9" ht="18" customHeight="1" x14ac:dyDescent="0.2">
      <c r="A36" s="56">
        <v>2.27</v>
      </c>
      <c r="B36" s="50" t="s">
        <v>215</v>
      </c>
      <c r="C36" s="58">
        <v>1</v>
      </c>
      <c r="D36" s="65" t="s">
        <v>188</v>
      </c>
      <c r="E36" s="58">
        <v>9500</v>
      </c>
      <c r="F36" s="58">
        <f t="shared" si="0"/>
        <v>9500</v>
      </c>
      <c r="G36" s="58">
        <v>0</v>
      </c>
      <c r="H36" s="58">
        <f t="shared" si="1"/>
        <v>0</v>
      </c>
      <c r="I36" s="58">
        <f t="shared" si="2"/>
        <v>9500</v>
      </c>
    </row>
    <row r="37" spans="1:9" ht="18" customHeight="1" x14ac:dyDescent="0.2">
      <c r="A37" s="56">
        <v>2.2799999999999998</v>
      </c>
      <c r="B37" s="50" t="s">
        <v>216</v>
      </c>
      <c r="C37" s="58">
        <v>12</v>
      </c>
      <c r="D37" s="65" t="s">
        <v>83</v>
      </c>
      <c r="E37" s="58">
        <v>292000</v>
      </c>
      <c r="F37" s="58">
        <f t="shared" si="0"/>
        <v>3504000</v>
      </c>
      <c r="G37" s="58">
        <v>0</v>
      </c>
      <c r="H37" s="58">
        <f t="shared" si="1"/>
        <v>0</v>
      </c>
      <c r="I37" s="58">
        <f t="shared" si="2"/>
        <v>3504000</v>
      </c>
    </row>
    <row r="38" spans="1:9" ht="18" customHeight="1" x14ac:dyDescent="0.2">
      <c r="A38" s="56">
        <v>2.29</v>
      </c>
      <c r="B38" s="50" t="s">
        <v>217</v>
      </c>
      <c r="C38" s="58">
        <v>50</v>
      </c>
      <c r="D38" s="65" t="s">
        <v>187</v>
      </c>
      <c r="E38" s="58">
        <v>800</v>
      </c>
      <c r="F38" s="58">
        <f t="shared" si="0"/>
        <v>40000</v>
      </c>
      <c r="G38" s="58">
        <v>0</v>
      </c>
      <c r="H38" s="58">
        <f t="shared" si="1"/>
        <v>0</v>
      </c>
      <c r="I38" s="58">
        <f t="shared" si="2"/>
        <v>40000</v>
      </c>
    </row>
    <row r="39" spans="1:9" ht="18" customHeight="1" x14ac:dyDescent="0.2">
      <c r="A39" s="123">
        <v>2.2999999999999998</v>
      </c>
      <c r="B39" s="50" t="s">
        <v>218</v>
      </c>
      <c r="C39" s="58">
        <v>1</v>
      </c>
      <c r="D39" s="65" t="s">
        <v>83</v>
      </c>
      <c r="E39" s="58">
        <v>92000</v>
      </c>
      <c r="F39" s="58">
        <f t="shared" si="0"/>
        <v>92000</v>
      </c>
      <c r="G39" s="58">
        <v>0</v>
      </c>
      <c r="H39" s="58">
        <f t="shared" si="1"/>
        <v>0</v>
      </c>
      <c r="I39" s="58">
        <f t="shared" si="2"/>
        <v>92000</v>
      </c>
    </row>
    <row r="40" spans="1:9" ht="18" customHeight="1" x14ac:dyDescent="0.2">
      <c r="A40" s="56">
        <v>2.31</v>
      </c>
      <c r="B40" s="50" t="s">
        <v>219</v>
      </c>
      <c r="C40" s="58">
        <v>5</v>
      </c>
      <c r="D40" s="65" t="s">
        <v>189</v>
      </c>
      <c r="E40" s="58">
        <v>900</v>
      </c>
      <c r="F40" s="58">
        <f t="shared" si="0"/>
        <v>4500</v>
      </c>
      <c r="G40" s="58">
        <v>0</v>
      </c>
      <c r="H40" s="58">
        <f t="shared" si="1"/>
        <v>0</v>
      </c>
      <c r="I40" s="58">
        <f t="shared" si="2"/>
        <v>4500</v>
      </c>
    </row>
    <row r="41" spans="1:9" ht="18" customHeight="1" x14ac:dyDescent="0.2">
      <c r="A41" s="56">
        <v>2.3199999999999998</v>
      </c>
      <c r="B41" s="50" t="s">
        <v>220</v>
      </c>
      <c r="C41" s="58">
        <v>70</v>
      </c>
      <c r="D41" s="65" t="s">
        <v>83</v>
      </c>
      <c r="E41" s="58">
        <v>6900</v>
      </c>
      <c r="F41" s="58">
        <f t="shared" si="0"/>
        <v>483000</v>
      </c>
      <c r="G41" s="58">
        <v>0</v>
      </c>
      <c r="H41" s="58">
        <f t="shared" si="1"/>
        <v>0</v>
      </c>
      <c r="I41" s="58">
        <f t="shared" si="2"/>
        <v>483000</v>
      </c>
    </row>
    <row r="42" spans="1:9" ht="18" customHeight="1" x14ac:dyDescent="0.2">
      <c r="A42" s="56">
        <v>2.33</v>
      </c>
      <c r="B42" s="50" t="s">
        <v>325</v>
      </c>
      <c r="C42" s="58">
        <v>70</v>
      </c>
      <c r="D42" s="65" t="s">
        <v>83</v>
      </c>
      <c r="E42" s="58">
        <v>4990</v>
      </c>
      <c r="F42" s="58">
        <f t="shared" si="0"/>
        <v>349300</v>
      </c>
      <c r="G42" s="58">
        <v>0</v>
      </c>
      <c r="H42" s="58">
        <f t="shared" si="1"/>
        <v>0</v>
      </c>
      <c r="I42" s="58">
        <f t="shared" si="2"/>
        <v>349300</v>
      </c>
    </row>
    <row r="43" spans="1:9" ht="18" customHeight="1" x14ac:dyDescent="0.2">
      <c r="A43" s="56">
        <v>2.34</v>
      </c>
      <c r="B43" s="50" t="s">
        <v>326</v>
      </c>
      <c r="C43" s="58">
        <v>70</v>
      </c>
      <c r="D43" s="65" t="s">
        <v>83</v>
      </c>
      <c r="E43" s="58">
        <v>4990</v>
      </c>
      <c r="F43" s="58">
        <f t="shared" si="0"/>
        <v>349300</v>
      </c>
      <c r="G43" s="58">
        <v>0</v>
      </c>
      <c r="H43" s="58">
        <f t="shared" si="1"/>
        <v>0</v>
      </c>
      <c r="I43" s="58">
        <f t="shared" si="2"/>
        <v>349300</v>
      </c>
    </row>
    <row r="44" spans="1:9" ht="18" customHeight="1" x14ac:dyDescent="0.2">
      <c r="A44" s="56">
        <v>2.35</v>
      </c>
      <c r="B44" s="50" t="s">
        <v>327</v>
      </c>
      <c r="C44" s="58">
        <v>70</v>
      </c>
      <c r="D44" s="65" t="s">
        <v>83</v>
      </c>
      <c r="E44" s="58">
        <v>4990</v>
      </c>
      <c r="F44" s="58">
        <f t="shared" si="0"/>
        <v>349300</v>
      </c>
      <c r="G44" s="58">
        <v>0</v>
      </c>
      <c r="H44" s="58">
        <f t="shared" si="1"/>
        <v>0</v>
      </c>
      <c r="I44" s="58">
        <f t="shared" si="2"/>
        <v>349300</v>
      </c>
    </row>
    <row r="45" spans="1:9" ht="18" customHeight="1" x14ac:dyDescent="0.2">
      <c r="A45" s="56">
        <v>2.36</v>
      </c>
      <c r="B45" s="50" t="s">
        <v>221</v>
      </c>
      <c r="C45" s="58">
        <v>50</v>
      </c>
      <c r="D45" s="65" t="s">
        <v>83</v>
      </c>
      <c r="E45" s="58">
        <v>58</v>
      </c>
      <c r="F45" s="58">
        <f t="shared" si="0"/>
        <v>2900</v>
      </c>
      <c r="G45" s="58">
        <v>0</v>
      </c>
      <c r="H45" s="58">
        <f t="shared" si="1"/>
        <v>0</v>
      </c>
      <c r="I45" s="58">
        <f t="shared" si="2"/>
        <v>2900</v>
      </c>
    </row>
    <row r="46" spans="1:9" ht="18" customHeight="1" x14ac:dyDescent="0.2">
      <c r="A46" s="56">
        <v>2.37</v>
      </c>
      <c r="B46" s="50" t="s">
        <v>222</v>
      </c>
      <c r="C46" s="58">
        <v>50</v>
      </c>
      <c r="D46" s="65" t="s">
        <v>126</v>
      </c>
      <c r="E46" s="58">
        <v>300</v>
      </c>
      <c r="F46" s="58">
        <f t="shared" si="0"/>
        <v>15000</v>
      </c>
      <c r="G46" s="58">
        <v>0</v>
      </c>
      <c r="H46" s="58">
        <f t="shared" si="1"/>
        <v>0</v>
      </c>
      <c r="I46" s="58">
        <f t="shared" si="2"/>
        <v>15000</v>
      </c>
    </row>
    <row r="47" spans="1:9" ht="18" customHeight="1" x14ac:dyDescent="0.2">
      <c r="A47" s="56">
        <v>2.38</v>
      </c>
      <c r="B47" s="50" t="s">
        <v>328</v>
      </c>
      <c r="C47" s="58">
        <v>2</v>
      </c>
      <c r="D47" s="65" t="s">
        <v>188</v>
      </c>
      <c r="E47" s="58">
        <v>9500</v>
      </c>
      <c r="F47" s="58">
        <f t="shared" si="0"/>
        <v>19000</v>
      </c>
      <c r="G47" s="58">
        <v>0</v>
      </c>
      <c r="H47" s="58">
        <f t="shared" si="1"/>
        <v>0</v>
      </c>
      <c r="I47" s="58">
        <f t="shared" si="2"/>
        <v>19000</v>
      </c>
    </row>
    <row r="48" spans="1:9" ht="18" customHeight="1" x14ac:dyDescent="0.2">
      <c r="A48" s="56">
        <v>2.39</v>
      </c>
      <c r="B48" s="50" t="s">
        <v>223</v>
      </c>
      <c r="C48" s="58">
        <v>50</v>
      </c>
      <c r="D48" s="65" t="s">
        <v>187</v>
      </c>
      <c r="E48" s="58">
        <v>358</v>
      </c>
      <c r="F48" s="58">
        <f t="shared" si="0"/>
        <v>17900</v>
      </c>
      <c r="G48" s="58">
        <v>0</v>
      </c>
      <c r="H48" s="58">
        <f t="shared" si="1"/>
        <v>0</v>
      </c>
      <c r="I48" s="58">
        <f t="shared" si="2"/>
        <v>17900</v>
      </c>
    </row>
    <row r="49" spans="1:9" ht="18" customHeight="1" x14ac:dyDescent="0.2">
      <c r="A49" s="123">
        <v>2.4</v>
      </c>
      <c r="B49" s="50" t="s">
        <v>224</v>
      </c>
      <c r="C49" s="58">
        <v>50</v>
      </c>
      <c r="D49" s="65" t="s">
        <v>187</v>
      </c>
      <c r="E49" s="58">
        <v>368</v>
      </c>
      <c r="F49" s="58">
        <f t="shared" si="0"/>
        <v>18400</v>
      </c>
      <c r="G49" s="58">
        <v>0</v>
      </c>
      <c r="H49" s="58">
        <f t="shared" si="1"/>
        <v>0</v>
      </c>
      <c r="I49" s="58">
        <f t="shared" si="2"/>
        <v>18400</v>
      </c>
    </row>
    <row r="50" spans="1:9" ht="18" customHeight="1" x14ac:dyDescent="0.2">
      <c r="A50" s="56">
        <v>2.41</v>
      </c>
      <c r="B50" s="50" t="s">
        <v>225</v>
      </c>
      <c r="C50" s="58">
        <v>50</v>
      </c>
      <c r="D50" s="65" t="s">
        <v>187</v>
      </c>
      <c r="E50" s="58">
        <v>468</v>
      </c>
      <c r="F50" s="58">
        <f t="shared" si="0"/>
        <v>23400</v>
      </c>
      <c r="G50" s="58">
        <v>0</v>
      </c>
      <c r="H50" s="58">
        <f t="shared" si="1"/>
        <v>0</v>
      </c>
      <c r="I50" s="58">
        <f t="shared" si="2"/>
        <v>23400</v>
      </c>
    </row>
    <row r="51" spans="1:9" ht="18" customHeight="1" x14ac:dyDescent="0.2">
      <c r="A51" s="56">
        <v>2.42</v>
      </c>
      <c r="B51" s="50" t="s">
        <v>226</v>
      </c>
      <c r="C51" s="58">
        <v>50</v>
      </c>
      <c r="D51" s="65" t="s">
        <v>187</v>
      </c>
      <c r="E51" s="58">
        <v>448</v>
      </c>
      <c r="F51" s="58">
        <f t="shared" si="0"/>
        <v>22400</v>
      </c>
      <c r="G51" s="58">
        <v>0</v>
      </c>
      <c r="H51" s="58">
        <f t="shared" si="1"/>
        <v>0</v>
      </c>
      <c r="I51" s="58">
        <f t="shared" si="2"/>
        <v>22400</v>
      </c>
    </row>
    <row r="52" spans="1:9" ht="18" customHeight="1" x14ac:dyDescent="0.2">
      <c r="A52" s="56">
        <v>2.4300000000000002</v>
      </c>
      <c r="B52" s="50" t="s">
        <v>227</v>
      </c>
      <c r="C52" s="58">
        <v>5</v>
      </c>
      <c r="D52" s="65" t="s">
        <v>189</v>
      </c>
      <c r="E52" s="58">
        <v>748</v>
      </c>
      <c r="F52" s="58">
        <f t="shared" si="0"/>
        <v>3740</v>
      </c>
      <c r="G52" s="58">
        <v>0</v>
      </c>
      <c r="H52" s="58">
        <f t="shared" si="1"/>
        <v>0</v>
      </c>
      <c r="I52" s="58">
        <f t="shared" si="2"/>
        <v>3740</v>
      </c>
    </row>
    <row r="53" spans="1:9" ht="18" customHeight="1" x14ac:dyDescent="0.2">
      <c r="A53" s="56">
        <v>2.44</v>
      </c>
      <c r="B53" s="50" t="s">
        <v>228</v>
      </c>
      <c r="C53" s="58">
        <v>2</v>
      </c>
      <c r="D53" s="65" t="s">
        <v>83</v>
      </c>
      <c r="E53" s="58">
        <v>92000</v>
      </c>
      <c r="F53" s="58">
        <f t="shared" si="0"/>
        <v>184000</v>
      </c>
      <c r="G53" s="58">
        <v>0</v>
      </c>
      <c r="H53" s="58">
        <f t="shared" si="1"/>
        <v>0</v>
      </c>
      <c r="I53" s="58">
        <f t="shared" si="2"/>
        <v>184000</v>
      </c>
    </row>
    <row r="54" spans="1:9" ht="18" customHeight="1" x14ac:dyDescent="0.2">
      <c r="A54" s="56">
        <v>2.4500000000000002</v>
      </c>
      <c r="B54" s="50" t="s">
        <v>229</v>
      </c>
      <c r="C54" s="58">
        <v>50</v>
      </c>
      <c r="D54" s="65" t="s">
        <v>187</v>
      </c>
      <c r="E54" s="58">
        <v>800</v>
      </c>
      <c r="F54" s="58">
        <f t="shared" si="0"/>
        <v>40000</v>
      </c>
      <c r="G54" s="58">
        <v>0</v>
      </c>
      <c r="H54" s="58">
        <f t="shared" si="1"/>
        <v>0</v>
      </c>
      <c r="I54" s="58">
        <f t="shared" si="2"/>
        <v>40000</v>
      </c>
    </row>
    <row r="55" spans="1:9" ht="18" customHeight="1" x14ac:dyDescent="0.2">
      <c r="A55" s="56">
        <v>2.46</v>
      </c>
      <c r="B55" s="53" t="s">
        <v>230</v>
      </c>
      <c r="C55" s="58">
        <v>50</v>
      </c>
      <c r="D55" s="65" t="s">
        <v>187</v>
      </c>
      <c r="E55" s="58">
        <v>450</v>
      </c>
      <c r="F55" s="58">
        <f t="shared" si="0"/>
        <v>22500</v>
      </c>
      <c r="G55" s="58">
        <v>0</v>
      </c>
      <c r="H55" s="58">
        <f t="shared" si="1"/>
        <v>0</v>
      </c>
      <c r="I55" s="58">
        <f t="shared" si="2"/>
        <v>22500</v>
      </c>
    </row>
    <row r="56" spans="1:9" ht="18" customHeight="1" x14ac:dyDescent="0.2">
      <c r="A56" s="123">
        <v>2.4700000000000002</v>
      </c>
      <c r="B56" s="53" t="s">
        <v>363</v>
      </c>
      <c r="C56" s="58">
        <v>1</v>
      </c>
      <c r="D56" s="65" t="s">
        <v>83</v>
      </c>
      <c r="E56" s="68">
        <v>3000000</v>
      </c>
      <c r="F56" s="58">
        <f t="shared" si="0"/>
        <v>3000000</v>
      </c>
      <c r="G56" s="58">
        <v>0</v>
      </c>
      <c r="H56" s="58">
        <f t="shared" si="1"/>
        <v>0</v>
      </c>
      <c r="I56" s="58">
        <f t="shared" si="2"/>
        <v>3000000</v>
      </c>
    </row>
    <row r="57" spans="1:9" s="37" customFormat="1" ht="18" customHeight="1" thickBot="1" x14ac:dyDescent="0.25">
      <c r="A57" s="120"/>
      <c r="B57" s="101" t="s">
        <v>232</v>
      </c>
      <c r="C57" s="99"/>
      <c r="D57" s="100"/>
      <c r="E57" s="99"/>
      <c r="F57" s="99">
        <f>SUM(F10:F56)</f>
        <v>14239540</v>
      </c>
      <c r="G57" s="99"/>
      <c r="H57" s="99">
        <f>SUM(H10:H56)</f>
        <v>0</v>
      </c>
      <c r="I57" s="99">
        <f>SUM(I10:I56)</f>
        <v>14239540</v>
      </c>
    </row>
    <row r="58" spans="1:9" ht="18" customHeight="1" thickTop="1" x14ac:dyDescent="0.2">
      <c r="A58" s="121"/>
      <c r="B58" s="36" t="s">
        <v>233</v>
      </c>
      <c r="D58" s="36"/>
    </row>
    <row r="59" spans="1:9" ht="18" customHeight="1" x14ac:dyDescent="0.2">
      <c r="A59" s="121"/>
      <c r="D59" s="36"/>
    </row>
    <row r="60" spans="1:9" ht="18" customHeight="1" x14ac:dyDescent="0.2">
      <c r="A60" s="121"/>
      <c r="D60" s="36"/>
    </row>
    <row r="61" spans="1:9" ht="18" customHeight="1" x14ac:dyDescent="0.2">
      <c r="A61" s="121"/>
      <c r="D61" s="36"/>
    </row>
    <row r="62" spans="1:9" ht="18" customHeight="1" x14ac:dyDescent="0.2">
      <c r="A62" s="121"/>
      <c r="D62" s="36"/>
    </row>
    <row r="63" spans="1:9" ht="18" customHeight="1" x14ac:dyDescent="0.2">
      <c r="A63" s="121"/>
      <c r="D63" s="36"/>
    </row>
    <row r="64" spans="1:9" ht="18" customHeight="1" x14ac:dyDescent="0.2">
      <c r="A64" s="121"/>
      <c r="D64" s="36"/>
    </row>
    <row r="65" spans="1:4" ht="18" customHeight="1" x14ac:dyDescent="0.2">
      <c r="A65" s="121"/>
      <c r="D65" s="36"/>
    </row>
    <row r="66" spans="1:4" ht="18" customHeight="1" x14ac:dyDescent="0.2">
      <c r="A66" s="121"/>
      <c r="D66" s="36"/>
    </row>
    <row r="67" spans="1:4" ht="18" customHeight="1" x14ac:dyDescent="0.2">
      <c r="A67" s="121"/>
      <c r="D67" s="36"/>
    </row>
    <row r="68" spans="1:4" ht="18" customHeight="1" x14ac:dyDescent="0.2">
      <c r="A68" s="121"/>
      <c r="D68" s="36"/>
    </row>
    <row r="69" spans="1:4" ht="18" customHeight="1" x14ac:dyDescent="0.2">
      <c r="A69" s="121"/>
      <c r="D69" s="36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honeticPr fontId="9" type="noConversion"/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10</vt:i4>
      </vt:variant>
    </vt:vector>
  </HeadingPairs>
  <TitlesOfParts>
    <vt:vector size="22" baseType="lpstr">
      <vt:lpstr>ปร.5 - ราคากลาง</vt:lpstr>
      <vt:lpstr>ปร.5</vt:lpstr>
      <vt:lpstr>Sheet1</vt:lpstr>
      <vt:lpstr>ปร.4 งานก่อสร้าง</vt:lpstr>
      <vt:lpstr>งานโครงสร้าง</vt:lpstr>
      <vt:lpstr>งานสถาปัตยกรรม</vt:lpstr>
      <vt:lpstr>งานระบบไฟฟ้าและแสงสว่าง</vt:lpstr>
      <vt:lpstr>งานระบบสุขาภิบาล</vt:lpstr>
      <vt:lpstr>ครุภัณฑ์</vt:lpstr>
      <vt:lpstr>ค่าใช้จ่ายพิเศษ</vt:lpstr>
      <vt:lpstr>JOISTS</vt:lpstr>
      <vt:lpstr>Data ปร.4</vt:lpstr>
      <vt:lpstr>งานสถาปัตยกรรม!Print_Area</vt:lpstr>
      <vt:lpstr>ปร.5!Print_Area</vt:lpstr>
      <vt:lpstr>'Data ปร.4'!Print_Titles</vt:lpstr>
      <vt:lpstr>ครุภัณฑ์!Print_Titles</vt:lpstr>
      <vt:lpstr>ค่าใช้จ่ายพิเศษ!Print_Titles</vt:lpstr>
      <vt:lpstr>งานโครงสร้าง!Print_Titles</vt:lpstr>
      <vt:lpstr>งานระบบไฟฟ้าและแสงสว่าง!Print_Titles</vt:lpstr>
      <vt:lpstr>งานระบบสุขาภิบาล!Print_Titles</vt:lpstr>
      <vt:lpstr>งานสถาปัตยกรรม!Print_Titles</vt:lpstr>
      <vt:lpstr>'ปร.4 งานก่อสร้าง'!Print_Titles</vt:lpstr>
    </vt:vector>
  </TitlesOfParts>
  <Company>Revenue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SARABURI-PAO</dc:creator>
  <cp:lastModifiedBy>User</cp:lastModifiedBy>
  <cp:lastPrinted>2024-10-16T02:44:40Z</cp:lastPrinted>
  <dcterms:created xsi:type="dcterms:W3CDTF">2024-04-03T02:26:48Z</dcterms:created>
  <dcterms:modified xsi:type="dcterms:W3CDTF">2024-11-04T06:28:38Z</dcterms:modified>
</cp:coreProperties>
</file>