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E5B5FE2C-ECC2-4104-8A6E-961CCA47A8E8}" xr6:coauthVersionLast="47" xr6:coauthVersionMax="47" xr10:uidLastSave="{00000000-0000-0000-0000-000000000000}"/>
  <bookViews>
    <workbookView xWindow="-120" yWindow="-120" windowWidth="20730" windowHeight="11160" tabRatio="772" firstSheet="1" activeTab="6" xr2:uid="{00000000-000D-0000-FFFF-FFFF00000000}"/>
  </bookViews>
  <sheets>
    <sheet name="ปก" sheetId="39" state="hidden" r:id="rId1"/>
    <sheet name="Data" sheetId="34" r:id="rId2"/>
    <sheet name="รายละเอียดโครงการ" sheetId="50" r:id="rId3"/>
    <sheet name="ราคาวัสดุ" sheetId="40" r:id="rId4"/>
    <sheet name="ปร.5 (2)" sheetId="36" r:id="rId5"/>
    <sheet name="ปร.4 (2)" sheetId="35" r:id="rId6"/>
    <sheet name="คำนวณวัสดุ" sheetId="38" r:id="rId7"/>
    <sheet name="ค่างานต้นทุน" sheetId="33" r:id="rId8"/>
    <sheet name="ระยะขนส่ง" sheetId="48" r:id="rId9"/>
    <sheet name="F ทาง(โม)" sheetId="49" r:id="rId10"/>
    <sheet name="S2" sheetId="15" r:id="rId11"/>
    <sheet name="S3" sheetId="14" state="hidden" r:id="rId12"/>
    <sheet name="S4" sheetId="47" r:id="rId13"/>
    <sheet name="ข้อมูล" sheetId="11" r:id="rId14"/>
    <sheet name="Recycling" sheetId="43" r:id="rId15"/>
    <sheet name="deep" sheetId="45" r:id="rId16"/>
    <sheet name="deep (2)" sheetId="46" r:id="rId17"/>
    <sheet name="ปร.4" sheetId="12" state="hidden" r:id="rId18"/>
    <sheet name="ปร.5" sheetId="32" state="hidden" r:id="rId19"/>
  </sheets>
  <definedNames>
    <definedName name="__yp2">ค่างานต้นทุน!$H$26</definedName>
    <definedName name="_ML4">#N/A</definedName>
    <definedName name="_ml5">#N/A</definedName>
    <definedName name="_mla3">#N/A</definedName>
    <definedName name="_SP4">#N/A</definedName>
    <definedName name="_sp5">#N/A</definedName>
    <definedName name="_spa3">#N/A</definedName>
    <definedName name="_TC4">#N/A</definedName>
    <definedName name="_tc5">#N/A</definedName>
    <definedName name="_tca3">#N/A</definedName>
    <definedName name="_yp1">ค่างานต้นทุน!$H$18</definedName>
    <definedName name="_yp2" localSheetId="3">#N/A</definedName>
    <definedName name="_yp2">ค่างานต้นทุน!$H$18</definedName>
    <definedName name="av3.spa">#N/A</definedName>
    <definedName name="AV4.SP">#N/A</definedName>
    <definedName name="av5.sp">#N/A</definedName>
    <definedName name="D">#N/A</definedName>
    <definedName name="d_1">ค่างานต้นทุน!$H$51</definedName>
    <definedName name="d_2">ค่างานต้นทุน!$H$51</definedName>
    <definedName name="Data" localSheetId="16">#N/A</definedName>
    <definedName name="Data">#N/A</definedName>
    <definedName name="HOUR4">#N/A</definedName>
    <definedName name="hour5">#N/A</definedName>
    <definedName name="houra3">#N/A</definedName>
    <definedName name="l">#N/A</definedName>
    <definedName name="oil">#N/A</definedName>
    <definedName name="P">#N/A</definedName>
    <definedName name="p_1">ค่างานต้นทุน!#REF!</definedName>
    <definedName name="p_2">ค่างานต้นทุน!#REF!</definedName>
    <definedName name="_xlnm.Print_Area" localSheetId="14">Recycling!$A$1:$V$99</definedName>
    <definedName name="_xlnm.Print_Area" localSheetId="5">'ปร.4 (2)'!$A$1:$N$48</definedName>
    <definedName name="_xlnm.Print_Area" localSheetId="4">'ปร.5 (2)'!$A$1:$H$36</definedName>
    <definedName name="_xlnm.Print_Area" localSheetId="3">ราคาวัสดุ!$A$1:$G$24</definedName>
    <definedName name="_xlnm.Print_Area" localSheetId="2">รายละเอียดโครงการ!$A$1:$F$32</definedName>
    <definedName name="_xlnm.Print_Titles" localSheetId="15">deep!$1:$4</definedName>
    <definedName name="_xlnm.Print_Titles" localSheetId="16">'deep (2)'!$1:$4</definedName>
    <definedName name="_xlnm.Print_Titles" localSheetId="5">'ปร.4 (2)'!$1:$10</definedName>
    <definedName name="RC_4">#N/A</definedName>
    <definedName name="rc_5">#N/A</definedName>
    <definedName name="rc_a3">#N/A</definedName>
    <definedName name="TIME4">#N/A</definedName>
    <definedName name="time5">#N/A</definedName>
    <definedName name="timea3">#N/A</definedName>
    <definedName name="x_1">ค่างานต้นทุน!$H$30</definedName>
    <definedName name="x_2">ค่างานต้นทุน!$H$30</definedName>
    <definedName name="Xc_1" localSheetId="16">ค่างานต้นทุน!#REF!</definedName>
    <definedName name="Xc_1" localSheetId="3">#N/A</definedName>
    <definedName name="Xc_1">ค่างานต้นทุน!#REF!</definedName>
    <definedName name="Xc_2" localSheetId="16">ค่างานต้นทุน!#REF!</definedName>
    <definedName name="Xc_2" localSheetId="3">#N/A</definedName>
    <definedName name="Xc_2">ค่างานต้นทุน!#REF!</definedName>
    <definedName name="xs_1">ค่างานต้นทุน!$H$31</definedName>
    <definedName name="xs_2">ค่างานต้นทุน!$H$31</definedName>
    <definedName name="y_1">ค่างานต้นทุน!$H$19</definedName>
    <definedName name="y_2">ค่างานต้นทุน!$H$19</definedName>
    <definedName name="Yc_1">ค่างานต้นทุน!$H$22</definedName>
    <definedName name="yc_2">ค่างานต้นทุน!$H$22</definedName>
    <definedName name="ys_1">ค่างานต้นทุน!$H$17</definedName>
    <definedName name="ys_2">ค่างานต้นทุน!$H$17</definedName>
    <definedName name="ส3_1" localSheetId="16">ค่างานต้นทุน!#REF!</definedName>
    <definedName name="ส3_1" localSheetId="3">#N/A</definedName>
    <definedName name="ส3_1">ค่างานต้นทุน!#REF!</definedName>
    <definedName name="ส3_2" localSheetId="16">ค่างานต้นทุน!#REF!</definedName>
    <definedName name="ส3_2" localSheetId="3">#N/A</definedName>
    <definedName name="ส3_2">ค่างานต้นทุน!#REF!</definedName>
  </definedNames>
  <calcPr calcId="181029"/>
</workbook>
</file>

<file path=xl/calcChain.xml><?xml version="1.0" encoding="utf-8"?>
<calcChain xmlns="http://schemas.openxmlformats.org/spreadsheetml/2006/main">
  <c r="A1" i="36" l="1"/>
  <c r="I20" i="35"/>
  <c r="E30" i="36"/>
  <c r="E31" i="36"/>
  <c r="E36" i="36"/>
  <c r="E35" i="36"/>
  <c r="E26" i="36"/>
  <c r="E25" i="36"/>
  <c r="H38" i="33" l="1"/>
  <c r="N38" i="33"/>
  <c r="B5" i="35"/>
  <c r="B4" i="35"/>
  <c r="P17" i="35" l="1"/>
  <c r="H18" i="35"/>
  <c r="C6" i="35"/>
  <c r="C6" i="36"/>
  <c r="M26" i="34"/>
  <c r="H15" i="35" l="1"/>
  <c r="A2" i="35"/>
  <c r="H23" i="50"/>
  <c r="H21" i="50"/>
  <c r="H19" i="50"/>
  <c r="H25" i="50" s="1"/>
  <c r="J5" i="34"/>
  <c r="I5" i="34"/>
  <c r="N23" i="34"/>
  <c r="N22" i="34"/>
  <c r="N21" i="34"/>
  <c r="E56" i="33"/>
  <c r="E57" i="33"/>
  <c r="C113" i="11"/>
  <c r="C112" i="11"/>
  <c r="H20" i="35"/>
  <c r="M26" i="38" l="1"/>
  <c r="M25" i="38"/>
  <c r="M21" i="38"/>
  <c r="M20" i="38"/>
  <c r="G10" i="36"/>
  <c r="G9" i="36"/>
  <c r="L8" i="35"/>
  <c r="M56" i="38"/>
  <c r="L56" i="38"/>
  <c r="M55" i="38"/>
  <c r="L55" i="38"/>
  <c r="L57" i="38" s="1"/>
  <c r="D48" i="33"/>
  <c r="L26" i="38"/>
  <c r="L25" i="38"/>
  <c r="L21" i="38"/>
  <c r="L20" i="38"/>
  <c r="M15" i="38"/>
  <c r="L15" i="38"/>
  <c r="M14" i="38"/>
  <c r="L14" i="38"/>
  <c r="H13" i="35"/>
  <c r="E43" i="35"/>
  <c r="E42" i="35"/>
  <c r="M70" i="38"/>
  <c r="M71" i="38" s="1"/>
  <c r="L70" i="38"/>
  <c r="L71" i="38" s="1"/>
  <c r="L64" i="38"/>
  <c r="L65" i="38" s="1"/>
  <c r="L66" i="38" s="1"/>
  <c r="M64" i="38"/>
  <c r="M65" i="38" s="1"/>
  <c r="M66" i="38" s="1"/>
  <c r="N21" i="38" l="1"/>
  <c r="H28" i="35" s="1"/>
  <c r="N26" i="38"/>
  <c r="N20" i="38"/>
  <c r="H22" i="35" s="1"/>
  <c r="N25" i="38"/>
  <c r="L16" i="38"/>
  <c r="M16" i="38"/>
  <c r="L72" i="38"/>
  <c r="M72" i="38"/>
  <c r="N66" i="38"/>
  <c r="H42" i="35" s="1"/>
  <c r="H31" i="35" l="1"/>
  <c r="H32" i="35"/>
  <c r="N27" i="38"/>
  <c r="N16" i="38"/>
  <c r="H19" i="35" s="1"/>
  <c r="N72" i="38"/>
  <c r="M59" i="38" l="1"/>
  <c r="L59" i="38"/>
  <c r="E8" i="34"/>
  <c r="F34" i="34"/>
  <c r="J14" i="34"/>
  <c r="I14" i="34"/>
  <c r="I2" i="34"/>
  <c r="J6" i="34"/>
  <c r="A14" i="35"/>
  <c r="A15" i="35" s="1"/>
  <c r="J13" i="35"/>
  <c r="A13" i="35"/>
  <c r="J39" i="35"/>
  <c r="J38" i="35"/>
  <c r="J37" i="35"/>
  <c r="J45" i="35"/>
  <c r="H26" i="35"/>
  <c r="E7" i="34"/>
  <c r="D110" i="11" s="1"/>
  <c r="E6" i="34"/>
  <c r="E5" i="34"/>
  <c r="L7" i="34"/>
  <c r="L6" i="34"/>
  <c r="L5" i="34"/>
  <c r="P28" i="43"/>
  <c r="AD199" i="47"/>
  <c r="AD184" i="47"/>
  <c r="AD185" i="47" s="1"/>
  <c r="AD186" i="47" s="1"/>
  <c r="AD187" i="47" s="1"/>
  <c r="AD178" i="47"/>
  <c r="AD179" i="47" s="1"/>
  <c r="AD180" i="47" s="1"/>
  <c r="AD181" i="47" s="1"/>
  <c r="AD156" i="47"/>
  <c r="AD157" i="47" s="1"/>
  <c r="AD158" i="47" s="1"/>
  <c r="AD159" i="47" s="1"/>
  <c r="AD160" i="47" s="1"/>
  <c r="AD161" i="47" s="1"/>
  <c r="AD162" i="47" s="1"/>
  <c r="AD163" i="47" s="1"/>
  <c r="AD164" i="47" s="1"/>
  <c r="AD165" i="47" s="1"/>
  <c r="AD166" i="47" s="1"/>
  <c r="AD167" i="47" s="1"/>
  <c r="AD168" i="47" s="1"/>
  <c r="AD169" i="47" s="1"/>
  <c r="AD170" i="47" s="1"/>
  <c r="AD171" i="47" s="1"/>
  <c r="AD172" i="47" s="1"/>
  <c r="AD173" i="47" s="1"/>
  <c r="AD174" i="47" s="1"/>
  <c r="AD175" i="47" s="1"/>
  <c r="AD176" i="47" s="1"/>
  <c r="AD149" i="47"/>
  <c r="AD150" i="47" s="1"/>
  <c r="AD151" i="47" s="1"/>
  <c r="AD152" i="47" s="1"/>
  <c r="AD146" i="47"/>
  <c r="AD147" i="47" s="1"/>
  <c r="AD140" i="47"/>
  <c r="AD141" i="47" s="1"/>
  <c r="AD136" i="47"/>
  <c r="AD137" i="47" s="1"/>
  <c r="AD26" i="47"/>
  <c r="AD27" i="47" s="1"/>
  <c r="AD28" i="47" s="1"/>
  <c r="AD29" i="47" s="1"/>
  <c r="AD30" i="47" s="1"/>
  <c r="AD31" i="47" s="1"/>
  <c r="AD32" i="47" s="1"/>
  <c r="AD33" i="47" s="1"/>
  <c r="AD34" i="47" s="1"/>
  <c r="AD35" i="47" s="1"/>
  <c r="AD36" i="47" s="1"/>
  <c r="AD37" i="47" s="1"/>
  <c r="AD38" i="47" s="1"/>
  <c r="AD39" i="47" s="1"/>
  <c r="AD40" i="47" s="1"/>
  <c r="AD41" i="47" s="1"/>
  <c r="AD42" i="47" s="1"/>
  <c r="AD43" i="47" s="1"/>
  <c r="AD44" i="47" s="1"/>
  <c r="AD45" i="47" s="1"/>
  <c r="AD46" i="47" s="1"/>
  <c r="AD47" i="47" s="1"/>
  <c r="AD48" i="47" s="1"/>
  <c r="AD49" i="47" s="1"/>
  <c r="AD50" i="47" s="1"/>
  <c r="AD51" i="47" s="1"/>
  <c r="AD52" i="47" s="1"/>
  <c r="AD53" i="47" s="1"/>
  <c r="AD54" i="47" s="1"/>
  <c r="AD55" i="47" s="1"/>
  <c r="AD56" i="47" s="1"/>
  <c r="AD57" i="47" s="1"/>
  <c r="AD58" i="47" s="1"/>
  <c r="AD59" i="47" s="1"/>
  <c r="AD60" i="47" s="1"/>
  <c r="AD61" i="47" s="1"/>
  <c r="AD62" i="47" s="1"/>
  <c r="AD63" i="47" s="1"/>
  <c r="AD64" i="47" s="1"/>
  <c r="AD65" i="47" s="1"/>
  <c r="AD66" i="47" s="1"/>
  <c r="AD67" i="47" s="1"/>
  <c r="AD68" i="47" s="1"/>
  <c r="AD69" i="47" s="1"/>
  <c r="AD70" i="47" s="1"/>
  <c r="AD71" i="47" s="1"/>
  <c r="AD72" i="47" s="1"/>
  <c r="AD73" i="47" s="1"/>
  <c r="AD74" i="47" s="1"/>
  <c r="AD75" i="47" s="1"/>
  <c r="AD76" i="47" s="1"/>
  <c r="AD77" i="47" s="1"/>
  <c r="AD78" i="47" s="1"/>
  <c r="AD79" i="47" s="1"/>
  <c r="AD80" i="47" s="1"/>
  <c r="AD81" i="47" s="1"/>
  <c r="AD82" i="47" s="1"/>
  <c r="AD83" i="47" s="1"/>
  <c r="AD84" i="47" s="1"/>
  <c r="AD85" i="47" s="1"/>
  <c r="AD86" i="47" s="1"/>
  <c r="AD87" i="47" s="1"/>
  <c r="AD88" i="47" s="1"/>
  <c r="AD89" i="47" s="1"/>
  <c r="AD90" i="47" s="1"/>
  <c r="AD91" i="47" s="1"/>
  <c r="AD92" i="47" s="1"/>
  <c r="AD93" i="47" s="1"/>
  <c r="AD94" i="47" s="1"/>
  <c r="AD95" i="47" s="1"/>
  <c r="AD96" i="47" s="1"/>
  <c r="AD97" i="47" s="1"/>
  <c r="AD98" i="47" s="1"/>
  <c r="AD99" i="47" s="1"/>
  <c r="AD100" i="47" s="1"/>
  <c r="AD101" i="47" s="1"/>
  <c r="AD102" i="47" s="1"/>
  <c r="AD103" i="47" s="1"/>
  <c r="AD104" i="47" s="1"/>
  <c r="AD105" i="47" s="1"/>
  <c r="AD106" i="47" s="1"/>
  <c r="AD107" i="47" s="1"/>
  <c r="AD108" i="47" s="1"/>
  <c r="AD109" i="47" s="1"/>
  <c r="AD110" i="47" s="1"/>
  <c r="AD111" i="47" s="1"/>
  <c r="AD112" i="47" s="1"/>
  <c r="AD113" i="47" s="1"/>
  <c r="AD114" i="47" s="1"/>
  <c r="AD115" i="47" s="1"/>
  <c r="AD116" i="47" s="1"/>
  <c r="AD117" i="47" s="1"/>
  <c r="AD118" i="47" s="1"/>
  <c r="AD119" i="47" s="1"/>
  <c r="AD120" i="47" s="1"/>
  <c r="AD121" i="47" s="1"/>
  <c r="AD122" i="47" s="1"/>
  <c r="AD123" i="47" s="1"/>
  <c r="AD124" i="47" s="1"/>
  <c r="AD125" i="47" s="1"/>
  <c r="AD126" i="47" s="1"/>
  <c r="AD127" i="47" s="1"/>
  <c r="AD128" i="47" s="1"/>
  <c r="AD129" i="47" s="1"/>
  <c r="AD130" i="47" s="1"/>
  <c r="AD131" i="47" s="1"/>
  <c r="AD132" i="47" s="1"/>
  <c r="AD133" i="47" s="1"/>
  <c r="J19" i="11"/>
  <c r="M8" i="33"/>
  <c r="H40" i="33"/>
  <c r="E13" i="33"/>
  <c r="E20" i="33" s="1"/>
  <c r="J11" i="36"/>
  <c r="AB24" i="47"/>
  <c r="AC24" i="47" s="1"/>
  <c r="AD24" i="47" s="1"/>
  <c r="AE24" i="47" s="1"/>
  <c r="AF24" i="47" s="1"/>
  <c r="AG24" i="47" s="1"/>
  <c r="AH24" i="47" s="1"/>
  <c r="AI24" i="47" s="1"/>
  <c r="AJ24" i="47" s="1"/>
  <c r="AK24" i="47" s="1"/>
  <c r="AL24" i="47" s="1"/>
  <c r="AM24" i="47" s="1"/>
  <c r="AN24" i="47" s="1"/>
  <c r="AO24" i="47" s="1"/>
  <c r="AP24" i="47" s="1"/>
  <c r="AQ24" i="47" s="1"/>
  <c r="AR24" i="47" s="1"/>
  <c r="AB23" i="47"/>
  <c r="AC23" i="47" s="1"/>
  <c r="AD23" i="47" s="1"/>
  <c r="AE23" i="47"/>
  <c r="AF23" i="47" s="1"/>
  <c r="AG23" i="47" s="1"/>
  <c r="AH23" i="47" s="1"/>
  <c r="AI23" i="47" s="1"/>
  <c r="AJ23" i="47" s="1"/>
  <c r="AK23" i="47" s="1"/>
  <c r="AL23" i="47" s="1"/>
  <c r="AM23" i="47" s="1"/>
  <c r="AN23" i="47" s="1"/>
  <c r="AO23" i="47" s="1"/>
  <c r="AP23" i="47" s="1"/>
  <c r="AQ23" i="47" s="1"/>
  <c r="AR23" i="47" s="1"/>
  <c r="AB22" i="47"/>
  <c r="AC22" i="47" s="1"/>
  <c r="AD22" i="47"/>
  <c r="AE22" i="47" s="1"/>
  <c r="AF22" i="47" s="1"/>
  <c r="AG22" i="47" s="1"/>
  <c r="AH22" i="47" s="1"/>
  <c r="AI22" i="47" s="1"/>
  <c r="AJ22" i="47" s="1"/>
  <c r="AK22" i="47" s="1"/>
  <c r="AL22" i="47" s="1"/>
  <c r="AM22" i="47" s="1"/>
  <c r="AN22" i="47" s="1"/>
  <c r="AO22" i="47" s="1"/>
  <c r="AP22" i="47" s="1"/>
  <c r="AQ22" i="47" s="1"/>
  <c r="AR22" i="47" s="1"/>
  <c r="AB21" i="47"/>
  <c r="AC21" i="47" s="1"/>
  <c r="AD21" i="47" s="1"/>
  <c r="AE21" i="47" s="1"/>
  <c r="AF21" i="47" s="1"/>
  <c r="AG21" i="47" s="1"/>
  <c r="AH21" i="47" s="1"/>
  <c r="AI21" i="47" s="1"/>
  <c r="AJ21" i="47" s="1"/>
  <c r="AK21" i="47" s="1"/>
  <c r="AL21" i="47" s="1"/>
  <c r="AM21" i="47" s="1"/>
  <c r="AN21" i="47" s="1"/>
  <c r="AO21" i="47" s="1"/>
  <c r="AP21" i="47" s="1"/>
  <c r="AQ21" i="47" s="1"/>
  <c r="AR21" i="47" s="1"/>
  <c r="AB20" i="47"/>
  <c r="AC20" i="47" s="1"/>
  <c r="AD20" i="47" s="1"/>
  <c r="AE20" i="47" s="1"/>
  <c r="AF20" i="47" s="1"/>
  <c r="AG20" i="47" s="1"/>
  <c r="AH20" i="47" s="1"/>
  <c r="AI20" i="47" s="1"/>
  <c r="AJ20" i="47" s="1"/>
  <c r="AB19" i="47"/>
  <c r="AC19" i="47" s="1"/>
  <c r="AD19" i="47" s="1"/>
  <c r="AE19" i="47" s="1"/>
  <c r="AF19" i="47" s="1"/>
  <c r="AG19" i="47" s="1"/>
  <c r="AH19" i="47" s="1"/>
  <c r="AI19" i="47" s="1"/>
  <c r="AJ19" i="47" s="1"/>
  <c r="AK19" i="47" s="1"/>
  <c r="AL19" i="47" s="1"/>
  <c r="AM19" i="47" s="1"/>
  <c r="AN19" i="47" s="1"/>
  <c r="AO19" i="47" s="1"/>
  <c r="AP19" i="47" s="1"/>
  <c r="AQ19" i="47" s="1"/>
  <c r="AR19" i="47" s="1"/>
  <c r="AB18" i="47"/>
  <c r="AC18" i="47" s="1"/>
  <c r="AD18" i="47"/>
  <c r="AE18" i="47" s="1"/>
  <c r="AF18" i="47" s="1"/>
  <c r="AG18" i="47" s="1"/>
  <c r="AH18" i="47" s="1"/>
  <c r="AI18" i="47" s="1"/>
  <c r="AJ18" i="47" s="1"/>
  <c r="AK18" i="47" s="1"/>
  <c r="AL18" i="47" s="1"/>
  <c r="AM18" i="47" s="1"/>
  <c r="AN18" i="47" s="1"/>
  <c r="AO18" i="47" s="1"/>
  <c r="AP18" i="47" s="1"/>
  <c r="AQ18" i="47" s="1"/>
  <c r="AR18" i="47" s="1"/>
  <c r="AB17" i="47"/>
  <c r="AC17" i="47" s="1"/>
  <c r="AD17" i="47" s="1"/>
  <c r="AE17" i="47" s="1"/>
  <c r="AF17" i="47" s="1"/>
  <c r="AG17" i="47" s="1"/>
  <c r="AH17" i="47" s="1"/>
  <c r="AI17" i="47" s="1"/>
  <c r="AJ17" i="47" s="1"/>
  <c r="AK17" i="47" s="1"/>
  <c r="AL17" i="47" s="1"/>
  <c r="AM17" i="47" s="1"/>
  <c r="AN17" i="47" s="1"/>
  <c r="AO17" i="47" s="1"/>
  <c r="AP17" i="47" s="1"/>
  <c r="AQ17" i="47" s="1"/>
  <c r="AR17" i="47" s="1"/>
  <c r="AB16" i="47"/>
  <c r="AC16" i="47" s="1"/>
  <c r="AD16" i="47" s="1"/>
  <c r="AE16" i="47" s="1"/>
  <c r="AF16" i="47" s="1"/>
  <c r="AG16" i="47" s="1"/>
  <c r="AH16" i="47" s="1"/>
  <c r="AI16" i="47" s="1"/>
  <c r="AJ16" i="47" s="1"/>
  <c r="AK16" i="47" s="1"/>
  <c r="AL16" i="47" s="1"/>
  <c r="AM16" i="47" s="1"/>
  <c r="AN16" i="47" s="1"/>
  <c r="AO16" i="47" s="1"/>
  <c r="AP16" i="47" s="1"/>
  <c r="AQ16" i="47" s="1"/>
  <c r="AR16" i="47" s="1"/>
  <c r="AB15" i="47"/>
  <c r="AC15" i="47" s="1"/>
  <c r="AD15" i="47" s="1"/>
  <c r="AE15" i="47" s="1"/>
  <c r="AF15" i="47" s="1"/>
  <c r="AG15" i="47" s="1"/>
  <c r="AH15" i="47" s="1"/>
  <c r="AI15" i="47" s="1"/>
  <c r="AJ15" i="47" s="1"/>
  <c r="AK15" i="47" s="1"/>
  <c r="AL15" i="47" s="1"/>
  <c r="AM15" i="47" s="1"/>
  <c r="AN15" i="47" s="1"/>
  <c r="AO15" i="47" s="1"/>
  <c r="AP15" i="47" s="1"/>
  <c r="AQ15" i="47" s="1"/>
  <c r="AR15" i="47" s="1"/>
  <c r="AB14" i="47"/>
  <c r="AC14" i="47" s="1"/>
  <c r="AD14" i="47"/>
  <c r="AE14" i="47" s="1"/>
  <c r="AF14" i="47" s="1"/>
  <c r="AG14" i="47" s="1"/>
  <c r="AH14" i="47" s="1"/>
  <c r="AI14" i="47" s="1"/>
  <c r="AJ14" i="47" s="1"/>
  <c r="AK14" i="47" s="1"/>
  <c r="AL14" i="47" s="1"/>
  <c r="AM14" i="47" s="1"/>
  <c r="AN14" i="47" s="1"/>
  <c r="AO14" i="47" s="1"/>
  <c r="AP14" i="47" s="1"/>
  <c r="AQ14" i="47" s="1"/>
  <c r="AR14" i="47" s="1"/>
  <c r="AB13" i="47"/>
  <c r="AC13" i="47"/>
  <c r="AD13" i="47" s="1"/>
  <c r="AE13" i="47" s="1"/>
  <c r="AF13" i="47" s="1"/>
  <c r="AG13" i="47" s="1"/>
  <c r="AH13" i="47" s="1"/>
  <c r="AI13" i="47" s="1"/>
  <c r="AJ13" i="47" s="1"/>
  <c r="AK13" i="47" s="1"/>
  <c r="AL13" i="47" s="1"/>
  <c r="AM13" i="47" s="1"/>
  <c r="AN13" i="47" s="1"/>
  <c r="AO13" i="47" s="1"/>
  <c r="AP13" i="47" s="1"/>
  <c r="AQ13" i="47" s="1"/>
  <c r="AR13" i="47" s="1"/>
  <c r="AB12" i="47"/>
  <c r="AC12" i="47" s="1"/>
  <c r="AD12" i="47" s="1"/>
  <c r="AE12" i="47" s="1"/>
  <c r="AF12" i="47" s="1"/>
  <c r="AG12" i="47" s="1"/>
  <c r="AB11" i="47"/>
  <c r="AC11" i="47" s="1"/>
  <c r="AD11" i="47" s="1"/>
  <c r="AE11" i="47" s="1"/>
  <c r="AF11" i="47" s="1"/>
  <c r="AG11" i="47" s="1"/>
  <c r="AH11" i="47" s="1"/>
  <c r="AI11" i="47" s="1"/>
  <c r="AJ11" i="47" s="1"/>
  <c r="AK11" i="47" s="1"/>
  <c r="AL11" i="47" s="1"/>
  <c r="AM11" i="47" s="1"/>
  <c r="AN11" i="47" s="1"/>
  <c r="AO11" i="47" s="1"/>
  <c r="AP11" i="47" s="1"/>
  <c r="AQ11" i="47" s="1"/>
  <c r="AR11" i="47" s="1"/>
  <c r="AB10" i="47"/>
  <c r="AC10" i="47" s="1"/>
  <c r="AD10" i="47" s="1"/>
  <c r="AE10" i="47" s="1"/>
  <c r="AF10" i="47" s="1"/>
  <c r="AG10" i="47" s="1"/>
  <c r="AH10" i="47" s="1"/>
  <c r="AI10" i="47" s="1"/>
  <c r="AJ10" i="47" s="1"/>
  <c r="AK10" i="47" s="1"/>
  <c r="AL10" i="47" s="1"/>
  <c r="AM10" i="47" s="1"/>
  <c r="AN10" i="47" s="1"/>
  <c r="AO10" i="47" s="1"/>
  <c r="AP10" i="47" s="1"/>
  <c r="AQ10" i="47" s="1"/>
  <c r="AR10" i="47" s="1"/>
  <c r="AB9" i="47"/>
  <c r="AC9" i="47" s="1"/>
  <c r="AD9" i="47" s="1"/>
  <c r="AE9" i="47" s="1"/>
  <c r="AF9" i="47" s="1"/>
  <c r="AG9" i="47" s="1"/>
  <c r="AH9" i="47" s="1"/>
  <c r="AI9" i="47" s="1"/>
  <c r="AJ9" i="47" s="1"/>
  <c r="AK9" i="47" s="1"/>
  <c r="AL9" i="47" s="1"/>
  <c r="AM9" i="47" s="1"/>
  <c r="AN9" i="47" s="1"/>
  <c r="AO9" i="47" s="1"/>
  <c r="AP9" i="47" s="1"/>
  <c r="AQ9" i="47" s="1"/>
  <c r="AR9" i="47" s="1"/>
  <c r="AB8" i="47"/>
  <c r="AC8" i="47" s="1"/>
  <c r="AD8" i="47" s="1"/>
  <c r="AE8" i="47" s="1"/>
  <c r="AF8" i="47" s="1"/>
  <c r="AG8" i="47" s="1"/>
  <c r="AH8" i="47" s="1"/>
  <c r="AB6" i="47"/>
  <c r="AC6" i="47" s="1"/>
  <c r="AD6" i="47" s="1"/>
  <c r="AE6" i="47"/>
  <c r="AF6" i="47" s="1"/>
  <c r="AG6" i="47" s="1"/>
  <c r="AH6" i="47" s="1"/>
  <c r="AI6" i="47" s="1"/>
  <c r="AJ6" i="47" s="1"/>
  <c r="AK6" i="47" s="1"/>
  <c r="AL6" i="47" s="1"/>
  <c r="AM6" i="47" s="1"/>
  <c r="AN6" i="47" s="1"/>
  <c r="AO6" i="47" s="1"/>
  <c r="AP6" i="47" s="1"/>
  <c r="AQ6" i="47" s="1"/>
  <c r="AR6" i="47" s="1"/>
  <c r="AB5" i="47"/>
  <c r="AC5" i="47" s="1"/>
  <c r="AD5" i="47"/>
  <c r="AE5" i="47" s="1"/>
  <c r="AF5" i="47" s="1"/>
  <c r="AG5" i="47" s="1"/>
  <c r="AH5" i="47" s="1"/>
  <c r="AI5" i="47" s="1"/>
  <c r="AJ5" i="47" s="1"/>
  <c r="AK5" i="47" s="1"/>
  <c r="AL5" i="47" s="1"/>
  <c r="AM5" i="47" s="1"/>
  <c r="AN5" i="47" s="1"/>
  <c r="AO5" i="47" s="1"/>
  <c r="AP5" i="47" s="1"/>
  <c r="AQ5" i="47" s="1"/>
  <c r="AR5" i="47" s="1"/>
  <c r="AB7" i="47"/>
  <c r="AC7" i="47" s="1"/>
  <c r="AD7" i="47" s="1"/>
  <c r="AE7" i="47" s="1"/>
  <c r="AF7" i="47" s="1"/>
  <c r="AG7" i="47" s="1"/>
  <c r="AH7" i="47" s="1"/>
  <c r="AI7" i="47" s="1"/>
  <c r="AJ7" i="47" s="1"/>
  <c r="AK7" i="47" s="1"/>
  <c r="AL7" i="47" s="1"/>
  <c r="AM7" i="47" s="1"/>
  <c r="AN7" i="47" s="1"/>
  <c r="AO7" i="47" s="1"/>
  <c r="AP7" i="47" s="1"/>
  <c r="AQ7" i="47" s="1"/>
  <c r="AR7" i="47" s="1"/>
  <c r="J43" i="35"/>
  <c r="J42" i="35"/>
  <c r="H83" i="43"/>
  <c r="L28" i="43"/>
  <c r="M8" i="35"/>
  <c r="H14" i="33"/>
  <c r="F62" i="45"/>
  <c r="F61" i="45"/>
  <c r="J22" i="11"/>
  <c r="J21" i="11"/>
  <c r="F98" i="33"/>
  <c r="E98" i="33"/>
  <c r="F97" i="33"/>
  <c r="E97" i="33"/>
  <c r="F52" i="45"/>
  <c r="F32" i="45"/>
  <c r="F5" i="45"/>
  <c r="G20" i="11"/>
  <c r="L89" i="11" s="1"/>
  <c r="H85" i="33" s="1"/>
  <c r="H83" i="33"/>
  <c r="H82" i="33"/>
  <c r="H29" i="33"/>
  <c r="H28" i="33"/>
  <c r="H27" i="33"/>
  <c r="H26" i="33"/>
  <c r="F74" i="46"/>
  <c r="F73" i="46"/>
  <c r="F72" i="46"/>
  <c r="F71" i="46"/>
  <c r="F70" i="46"/>
  <c r="F69" i="46"/>
  <c r="F68" i="46"/>
  <c r="F67" i="46"/>
  <c r="F66" i="46"/>
  <c r="F65" i="46"/>
  <c r="F64" i="46"/>
  <c r="F63" i="46"/>
  <c r="F62" i="46"/>
  <c r="F61" i="46"/>
  <c r="F60" i="46"/>
  <c r="F59" i="46"/>
  <c r="F58" i="46"/>
  <c r="F57" i="46"/>
  <c r="F56" i="46"/>
  <c r="F55" i="46"/>
  <c r="F54" i="46"/>
  <c r="F53" i="46"/>
  <c r="F52" i="46"/>
  <c r="F51" i="46"/>
  <c r="F50" i="46"/>
  <c r="F49" i="46"/>
  <c r="F48" i="46"/>
  <c r="F47" i="46"/>
  <c r="F46" i="46"/>
  <c r="F45" i="46"/>
  <c r="F44" i="46"/>
  <c r="F43" i="46"/>
  <c r="F42" i="46"/>
  <c r="F41" i="46"/>
  <c r="F40" i="46"/>
  <c r="F39" i="46"/>
  <c r="F38" i="46"/>
  <c r="F37" i="46"/>
  <c r="F36" i="46"/>
  <c r="F35" i="46"/>
  <c r="F34" i="46"/>
  <c r="F33" i="46"/>
  <c r="F32" i="46"/>
  <c r="F31" i="46"/>
  <c r="F30" i="46"/>
  <c r="F29" i="46"/>
  <c r="F28" i="46"/>
  <c r="F27" i="46"/>
  <c r="F26" i="46"/>
  <c r="F25" i="46"/>
  <c r="F24" i="46"/>
  <c r="F23" i="46"/>
  <c r="F22" i="46"/>
  <c r="F21" i="46"/>
  <c r="F20" i="46"/>
  <c r="F15" i="46"/>
  <c r="F14" i="46"/>
  <c r="F13" i="46"/>
  <c r="F12" i="46"/>
  <c r="F11" i="46"/>
  <c r="F10" i="46"/>
  <c r="F9" i="46"/>
  <c r="F8" i="46"/>
  <c r="F7" i="46"/>
  <c r="F6" i="46"/>
  <c r="F5" i="46"/>
  <c r="F19" i="46"/>
  <c r="F18" i="46"/>
  <c r="F17" i="46"/>
  <c r="F16" i="46"/>
  <c r="F74" i="45"/>
  <c r="F73" i="45"/>
  <c r="F72" i="45"/>
  <c r="F71" i="45"/>
  <c r="F70" i="45"/>
  <c r="F69" i="45"/>
  <c r="F68" i="45"/>
  <c r="F67" i="45"/>
  <c r="F66" i="45"/>
  <c r="H15" i="33"/>
  <c r="J67" i="43"/>
  <c r="F65" i="45"/>
  <c r="F64" i="45"/>
  <c r="F63" i="45"/>
  <c r="F58" i="45"/>
  <c r="F57" i="45"/>
  <c r="F56" i="45"/>
  <c r="F55" i="45"/>
  <c r="F54" i="45"/>
  <c r="F53" i="45"/>
  <c r="F51" i="45"/>
  <c r="F50" i="45"/>
  <c r="F49" i="45"/>
  <c r="F48" i="45"/>
  <c r="F47" i="45"/>
  <c r="F46" i="45"/>
  <c r="F45" i="45"/>
  <c r="F44" i="45"/>
  <c r="F43" i="45"/>
  <c r="F42" i="45"/>
  <c r="F41" i="45"/>
  <c r="F31" i="45"/>
  <c r="F30" i="45"/>
  <c r="F29" i="45"/>
  <c r="F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F14" i="45"/>
  <c r="F13" i="45"/>
  <c r="F12" i="45"/>
  <c r="F11" i="45"/>
  <c r="F10" i="45"/>
  <c r="F9" i="45"/>
  <c r="F8" i="45"/>
  <c r="F7" i="45"/>
  <c r="F6" i="45"/>
  <c r="N76" i="43"/>
  <c r="G76" i="43" s="1"/>
  <c r="E113" i="11"/>
  <c r="E52" i="33" s="1"/>
  <c r="L46" i="43"/>
  <c r="O4" i="38"/>
  <c r="P4" i="38" s="1"/>
  <c r="L4" i="38"/>
  <c r="K4" i="38"/>
  <c r="O10" i="38"/>
  <c r="M10" i="38"/>
  <c r="H90" i="43"/>
  <c r="B92" i="43"/>
  <c r="B91" i="43"/>
  <c r="B90" i="43"/>
  <c r="B89" i="43"/>
  <c r="D88" i="43"/>
  <c r="D89" i="43" s="1"/>
  <c r="B88" i="43"/>
  <c r="B87" i="43"/>
  <c r="B86" i="43"/>
  <c r="B85" i="43"/>
  <c r="B18" i="35" s="1"/>
  <c r="B84" i="43"/>
  <c r="B83" i="43"/>
  <c r="Q4" i="11"/>
  <c r="Q3" i="11"/>
  <c r="O3" i="11"/>
  <c r="S25" i="43"/>
  <c r="E33" i="43"/>
  <c r="J47" i="43"/>
  <c r="O67" i="43"/>
  <c r="F67" i="43"/>
  <c r="M93" i="43"/>
  <c r="U56" i="43"/>
  <c r="U94" i="43" s="1"/>
  <c r="U60" i="43"/>
  <c r="U98" i="43" s="1"/>
  <c r="U52" i="43"/>
  <c r="U54" i="43" s="1"/>
  <c r="M49" i="43"/>
  <c r="M87" i="43" s="1"/>
  <c r="B19" i="43"/>
  <c r="J18" i="43"/>
  <c r="K64" i="43" s="1"/>
  <c r="A14" i="43"/>
  <c r="A31" i="43"/>
  <c r="A63" i="43"/>
  <c r="A62" i="43"/>
  <c r="G22" i="11"/>
  <c r="G21" i="11"/>
  <c r="G13" i="11"/>
  <c r="G17" i="11"/>
  <c r="G16" i="11"/>
  <c r="G15" i="11"/>
  <c r="E112" i="11"/>
  <c r="G9" i="11"/>
  <c r="E101" i="11"/>
  <c r="K19" i="32" s="1"/>
  <c r="L50" i="11"/>
  <c r="L67" i="11" s="1"/>
  <c r="L42" i="11"/>
  <c r="L34" i="11"/>
  <c r="L26" i="11"/>
  <c r="H21" i="33"/>
  <c r="H16" i="33"/>
  <c r="Q12" i="11"/>
  <c r="F100" i="11" s="1"/>
  <c r="C2" i="15" s="1"/>
  <c r="H6" i="33"/>
  <c r="I52" i="38"/>
  <c r="H52" i="38"/>
  <c r="H51" i="38"/>
  <c r="H50" i="38"/>
  <c r="H49" i="38"/>
  <c r="S4" i="38"/>
  <c r="A3" i="39"/>
  <c r="A4" i="39"/>
  <c r="E51" i="33"/>
  <c r="F231" i="33"/>
  <c r="F233" i="33" s="1"/>
  <c r="F234" i="33" s="1"/>
  <c r="F232" i="33"/>
  <c r="Q13" i="12"/>
  <c r="H119" i="12"/>
  <c r="H118" i="12"/>
  <c r="H117" i="12"/>
  <c r="I117" i="12" s="1"/>
  <c r="H116" i="12"/>
  <c r="I116" i="12" s="1"/>
  <c r="H115" i="12"/>
  <c r="I115" i="12" s="1"/>
  <c r="H114" i="12"/>
  <c r="I114" i="12" s="1"/>
  <c r="H113" i="12"/>
  <c r="I113" i="12" s="1"/>
  <c r="H112" i="12"/>
  <c r="I112" i="12" s="1"/>
  <c r="H111" i="12"/>
  <c r="H110" i="12"/>
  <c r="I110" i="12" s="1"/>
  <c r="H109" i="12"/>
  <c r="I109" i="12" s="1"/>
  <c r="H108" i="12"/>
  <c r="I108" i="12" s="1"/>
  <c r="H107" i="12"/>
  <c r="I107" i="12" s="1"/>
  <c r="H106" i="12"/>
  <c r="H105" i="12"/>
  <c r="H104" i="12"/>
  <c r="I104" i="12" s="1"/>
  <c r="H103" i="12"/>
  <c r="I103" i="12" s="1"/>
  <c r="H88" i="12"/>
  <c r="I88" i="12" s="1"/>
  <c r="H87" i="12"/>
  <c r="I87" i="12" s="1"/>
  <c r="H86" i="12"/>
  <c r="I86" i="12" s="1"/>
  <c r="H85" i="12"/>
  <c r="I85" i="12" s="1"/>
  <c r="H84" i="12"/>
  <c r="H83" i="12"/>
  <c r="I83" i="12" s="1"/>
  <c r="H82" i="12"/>
  <c r="I82" i="12" s="1"/>
  <c r="H81" i="12"/>
  <c r="I81" i="12" s="1"/>
  <c r="H80" i="12"/>
  <c r="I80" i="12" s="1"/>
  <c r="H79" i="12"/>
  <c r="I79" i="12" s="1"/>
  <c r="H78" i="12"/>
  <c r="I78" i="12" s="1"/>
  <c r="H77" i="12"/>
  <c r="I77" i="12" s="1"/>
  <c r="H76" i="12"/>
  <c r="I76" i="12" s="1"/>
  <c r="H75" i="12"/>
  <c r="H74" i="12"/>
  <c r="I74" i="12" s="1"/>
  <c r="H73" i="12"/>
  <c r="I73" i="12" s="1"/>
  <c r="H72" i="12"/>
  <c r="I72" i="12" s="1"/>
  <c r="H71" i="12"/>
  <c r="I71" i="12" s="1"/>
  <c r="H70" i="12"/>
  <c r="I70" i="12"/>
  <c r="H69" i="12"/>
  <c r="I69" i="12" s="1"/>
  <c r="H68" i="12"/>
  <c r="I68" i="12" s="1"/>
  <c r="H67" i="12"/>
  <c r="I67" i="12" s="1"/>
  <c r="H66" i="12"/>
  <c r="I66" i="12" s="1"/>
  <c r="H65" i="12"/>
  <c r="I65" i="12" s="1"/>
  <c r="H64" i="12"/>
  <c r="I64" i="12" s="1"/>
  <c r="H63" i="12"/>
  <c r="I63" i="12" s="1"/>
  <c r="H62" i="12"/>
  <c r="I62" i="12" s="1"/>
  <c r="G12" i="11"/>
  <c r="H33" i="12"/>
  <c r="I33" i="12" s="1"/>
  <c r="F33" i="12"/>
  <c r="F119" i="12"/>
  <c r="G119" i="12"/>
  <c r="H88" i="43"/>
  <c r="H35" i="12"/>
  <c r="I35" i="12" s="1"/>
  <c r="F11" i="12"/>
  <c r="F87" i="12"/>
  <c r="G87" i="12"/>
  <c r="H89" i="43"/>
  <c r="H34" i="12"/>
  <c r="I34" i="12" s="1"/>
  <c r="F34" i="12"/>
  <c r="G33" i="12"/>
  <c r="I3" i="12"/>
  <c r="I99" i="12" s="1"/>
  <c r="J107" i="12"/>
  <c r="J106" i="12"/>
  <c r="J105" i="12"/>
  <c r="J104" i="12"/>
  <c r="C136" i="12"/>
  <c r="H86" i="43"/>
  <c r="F20" i="12"/>
  <c r="G20" i="12"/>
  <c r="B31" i="32"/>
  <c r="B30" i="32"/>
  <c r="C28" i="32"/>
  <c r="K136" i="12"/>
  <c r="F10" i="32"/>
  <c r="D24" i="32" s="1"/>
  <c r="I7" i="32"/>
  <c r="D30" i="12"/>
  <c r="D24" i="12"/>
  <c r="F24" i="12" s="1"/>
  <c r="F74" i="12"/>
  <c r="G74" i="12"/>
  <c r="F63" i="12"/>
  <c r="F67" i="12"/>
  <c r="F68" i="12"/>
  <c r="I64" i="11"/>
  <c r="H64" i="11"/>
  <c r="I63" i="11"/>
  <c r="H63" i="11"/>
  <c r="BM23" i="15"/>
  <c r="BM24" i="15" s="1"/>
  <c r="BM25" i="15" s="1"/>
  <c r="M31" i="12"/>
  <c r="M30" i="12"/>
  <c r="M25" i="12"/>
  <c r="M24" i="12"/>
  <c r="G6" i="32"/>
  <c r="I2" i="12"/>
  <c r="I50" i="12" s="1"/>
  <c r="BJ3" i="15"/>
  <c r="BQ6" i="15"/>
  <c r="BQ4" i="15"/>
  <c r="BV16" i="15"/>
  <c r="BQ5" i="15"/>
  <c r="BV10" i="15"/>
  <c r="BV11" i="15"/>
  <c r="BV12" i="15"/>
  <c r="BV13" i="15"/>
  <c r="BV14" i="15"/>
  <c r="BV15" i="15"/>
  <c r="BV17" i="15"/>
  <c r="BV18" i="15"/>
  <c r="BV19" i="15"/>
  <c r="BV20" i="15"/>
  <c r="H72" i="11"/>
  <c r="L91" i="11"/>
  <c r="H87" i="33"/>
  <c r="F7" i="12"/>
  <c r="G7" i="12"/>
  <c r="F8" i="12"/>
  <c r="G8" i="12"/>
  <c r="F9" i="12"/>
  <c r="G9" i="12"/>
  <c r="F10" i="12"/>
  <c r="G10" i="12"/>
  <c r="F17" i="12"/>
  <c r="G17" i="12"/>
  <c r="F18" i="12"/>
  <c r="G18" i="12"/>
  <c r="D25" i="12"/>
  <c r="F25" i="12" s="1"/>
  <c r="D31" i="12"/>
  <c r="G31" i="12" s="1"/>
  <c r="G34" i="12"/>
  <c r="F35" i="12"/>
  <c r="G35" i="12"/>
  <c r="F57" i="12"/>
  <c r="G57" i="12"/>
  <c r="F58" i="12"/>
  <c r="G58" i="12"/>
  <c r="H58" i="12" s="1"/>
  <c r="I58" i="12" s="1"/>
  <c r="F59" i="12"/>
  <c r="G59" i="12"/>
  <c r="H59" i="12"/>
  <c r="I59" i="12" s="1"/>
  <c r="F60" i="12"/>
  <c r="G60" i="12"/>
  <c r="H60" i="12"/>
  <c r="I60" i="12" s="1"/>
  <c r="F62" i="12"/>
  <c r="G62" i="12"/>
  <c r="G63" i="12"/>
  <c r="F64" i="12"/>
  <c r="G64" i="12"/>
  <c r="F65" i="12"/>
  <c r="G65" i="12"/>
  <c r="F66" i="12"/>
  <c r="G66" i="12"/>
  <c r="F77" i="12"/>
  <c r="G77" i="12"/>
  <c r="G67" i="12"/>
  <c r="G68" i="12"/>
  <c r="F69" i="12"/>
  <c r="G69" i="12"/>
  <c r="F70" i="12"/>
  <c r="G70" i="12"/>
  <c r="F71" i="12"/>
  <c r="G71" i="12"/>
  <c r="F72" i="12"/>
  <c r="G72" i="12"/>
  <c r="F75" i="12"/>
  <c r="G75" i="12"/>
  <c r="I75" i="12"/>
  <c r="F76" i="12"/>
  <c r="G76" i="12"/>
  <c r="F73" i="12"/>
  <c r="G73" i="12"/>
  <c r="F78" i="12"/>
  <c r="G78" i="12"/>
  <c r="F79" i="12"/>
  <c r="G79" i="12"/>
  <c r="F80" i="12"/>
  <c r="G80" i="12"/>
  <c r="F81" i="12"/>
  <c r="G81" i="12"/>
  <c r="F82" i="12"/>
  <c r="G82" i="12"/>
  <c r="F83" i="12"/>
  <c r="G83" i="12"/>
  <c r="F84" i="12"/>
  <c r="G84" i="12"/>
  <c r="I84" i="12"/>
  <c r="F85" i="12"/>
  <c r="G85" i="12"/>
  <c r="F86" i="12"/>
  <c r="G86" i="12"/>
  <c r="F88" i="12"/>
  <c r="G88" i="12"/>
  <c r="F103" i="12"/>
  <c r="G103" i="12"/>
  <c r="F104" i="12"/>
  <c r="G104" i="12"/>
  <c r="F105" i="12"/>
  <c r="G105" i="12"/>
  <c r="F106" i="12"/>
  <c r="G106" i="12"/>
  <c r="F107" i="12"/>
  <c r="G107" i="12"/>
  <c r="F108" i="12"/>
  <c r="G108" i="12"/>
  <c r="F109" i="12"/>
  <c r="G109" i="12"/>
  <c r="F110" i="12"/>
  <c r="G110" i="12"/>
  <c r="F111" i="12"/>
  <c r="G111" i="12"/>
  <c r="I111" i="12"/>
  <c r="F112" i="12"/>
  <c r="G112" i="12"/>
  <c r="F113" i="12"/>
  <c r="G113" i="12"/>
  <c r="F114" i="12"/>
  <c r="G114" i="12"/>
  <c r="F115" i="12"/>
  <c r="G115" i="12"/>
  <c r="F116" i="12"/>
  <c r="G116" i="12"/>
  <c r="F117" i="12"/>
  <c r="G117" i="12"/>
  <c r="F118" i="12"/>
  <c r="G118" i="12"/>
  <c r="I118" i="12"/>
  <c r="A2" i="32"/>
  <c r="I3" i="32"/>
  <c r="C4" i="32"/>
  <c r="C5" i="32"/>
  <c r="L16" i="32"/>
  <c r="L17" i="32"/>
  <c r="L18" i="32"/>
  <c r="I106" i="12"/>
  <c r="I105" i="12"/>
  <c r="F27" i="12"/>
  <c r="F21" i="12"/>
  <c r="F22" i="12"/>
  <c r="F28" i="12"/>
  <c r="H17" i="12"/>
  <c r="K17" i="12" s="1"/>
  <c r="L17" i="12" s="1"/>
  <c r="P22" i="32"/>
  <c r="AI8" i="47"/>
  <c r="AJ8" i="47" s="1"/>
  <c r="AK8" i="47" s="1"/>
  <c r="AL8" i="47" s="1"/>
  <c r="AM8" i="47" s="1"/>
  <c r="AN8" i="47" s="1"/>
  <c r="AO8" i="47" s="1"/>
  <c r="AP8" i="47" s="1"/>
  <c r="AQ8" i="47" s="1"/>
  <c r="AR8" i="47" s="1"/>
  <c r="AH12" i="47"/>
  <c r="AI12" i="47" s="1"/>
  <c r="AJ12" i="47" s="1"/>
  <c r="AK12" i="47" s="1"/>
  <c r="AL12" i="47" s="1"/>
  <c r="AM12" i="47"/>
  <c r="AN12" i="47" s="1"/>
  <c r="AO12" i="47" s="1"/>
  <c r="AP12" i="47" s="1"/>
  <c r="AQ12" i="47" s="1"/>
  <c r="AR12" i="47" s="1"/>
  <c r="AK20" i="47"/>
  <c r="AL20" i="47" s="1"/>
  <c r="AM20" i="47" s="1"/>
  <c r="AN20" i="47" s="1"/>
  <c r="AO20" i="47" s="1"/>
  <c r="AP20" i="47" s="1"/>
  <c r="AQ20" i="47" s="1"/>
  <c r="AR20" i="47" s="1"/>
  <c r="I98" i="12"/>
  <c r="BS18" i="15"/>
  <c r="BU18" i="15" s="1"/>
  <c r="BW18" i="15" s="1"/>
  <c r="C7" i="11"/>
  <c r="C3" i="12" s="1"/>
  <c r="BS12" i="15"/>
  <c r="BU12" i="15" s="1"/>
  <c r="BS15" i="15"/>
  <c r="BU15" i="15" s="1"/>
  <c r="BS13" i="15"/>
  <c r="BU13" i="15" s="1"/>
  <c r="BW13" i="15" s="1"/>
  <c r="I119" i="12"/>
  <c r="K119" i="12"/>
  <c r="L119" i="12" s="1"/>
  <c r="G24" i="12" l="1"/>
  <c r="H24" i="12" s="1"/>
  <c r="BH15" i="15"/>
  <c r="BH34" i="15"/>
  <c r="BH24" i="15"/>
  <c r="BH9" i="15"/>
  <c r="BH10" i="15"/>
  <c r="BH29" i="15"/>
  <c r="BH16" i="15"/>
  <c r="BH35" i="15"/>
  <c r="BH19" i="15"/>
  <c r="BH37" i="15"/>
  <c r="BH14" i="15"/>
  <c r="BH32" i="15"/>
  <c r="BH20" i="15"/>
  <c r="BH5" i="15"/>
  <c r="BH7" i="15"/>
  <c r="BH25" i="15"/>
  <c r="BH27" i="15"/>
  <c r="BH12" i="15"/>
  <c r="BH13" i="15"/>
  <c r="BH30" i="15"/>
  <c r="BH21" i="15"/>
  <c r="BH6" i="15"/>
  <c r="BH23" i="15"/>
  <c r="BJ23" i="15" s="1"/>
  <c r="F31" i="12"/>
  <c r="K33" i="12"/>
  <c r="L33" i="12" s="1"/>
  <c r="H57" i="12"/>
  <c r="I57" i="12" s="1"/>
  <c r="BS17" i="15"/>
  <c r="BU17" i="15" s="1"/>
  <c r="BW17" i="15" s="1"/>
  <c r="BW12" i="15"/>
  <c r="C2" i="34"/>
  <c r="J2" i="34"/>
  <c r="F75" i="46"/>
  <c r="BW15" i="15"/>
  <c r="K105" i="12"/>
  <c r="L105" i="12" s="1"/>
  <c r="K106" i="12"/>
  <c r="L106" i="12" s="1"/>
  <c r="O5" i="35"/>
  <c r="G6" i="34"/>
  <c r="P12" i="34"/>
  <c r="G25" i="12"/>
  <c r="H25" i="12" s="1"/>
  <c r="K25" i="12" s="1"/>
  <c r="L25" i="12" s="1"/>
  <c r="I51" i="12"/>
  <c r="F75" i="45"/>
  <c r="G30" i="12"/>
  <c r="F30" i="12"/>
  <c r="K104" i="12"/>
  <c r="L104" i="12" s="1"/>
  <c r="BS20" i="15"/>
  <c r="BU20" i="15" s="1"/>
  <c r="BW20" i="15" s="1"/>
  <c r="BS11" i="15"/>
  <c r="BU11" i="15" s="1"/>
  <c r="BW11" i="15" s="1"/>
  <c r="BS10" i="15"/>
  <c r="BU10" i="15" s="1"/>
  <c r="BW10" i="15" s="1"/>
  <c r="BS14" i="15"/>
  <c r="BU14" i="15" s="1"/>
  <c r="BW14" i="15" s="1"/>
  <c r="BS16" i="15"/>
  <c r="BU16" i="15" s="1"/>
  <c r="BW16" i="15" s="1"/>
  <c r="BS19" i="15"/>
  <c r="BU19" i="15" s="1"/>
  <c r="BW19" i="15" s="1"/>
  <c r="H31" i="12"/>
  <c r="K31" i="12" s="1"/>
  <c r="L31" i="12" s="1"/>
  <c r="K107" i="12"/>
  <c r="L107" i="12" s="1"/>
  <c r="D18" i="15"/>
  <c r="D26" i="15"/>
  <c r="D34" i="15"/>
  <c r="D38" i="15"/>
  <c r="D42" i="15"/>
  <c r="D58" i="15"/>
  <c r="D62" i="15"/>
  <c r="D66" i="15"/>
  <c r="D74" i="15"/>
  <c r="D82" i="15"/>
  <c r="D86" i="15"/>
  <c r="D90" i="15"/>
  <c r="D106" i="15"/>
  <c r="D110" i="15"/>
  <c r="D114" i="15"/>
  <c r="D122" i="15"/>
  <c r="D130" i="15"/>
  <c r="D134" i="15"/>
  <c r="D138" i="15"/>
  <c r="C205" i="15"/>
  <c r="D205" i="15" s="1"/>
  <c r="D19" i="15"/>
  <c r="D23" i="15"/>
  <c r="D31" i="15"/>
  <c r="D20" i="15"/>
  <c r="D28" i="15"/>
  <c r="D36" i="15"/>
  <c r="D52" i="15"/>
  <c r="D57" i="15"/>
  <c r="D63" i="15"/>
  <c r="D68" i="15"/>
  <c r="D79" i="15"/>
  <c r="D84" i="15"/>
  <c r="D89" i="15"/>
  <c r="D95" i="15"/>
  <c r="D100" i="15"/>
  <c r="D116" i="15"/>
  <c r="D121" i="15"/>
  <c r="D127" i="15"/>
  <c r="D132" i="15"/>
  <c r="D143" i="15"/>
  <c r="D148" i="15"/>
  <c r="D153" i="15"/>
  <c r="D157" i="15"/>
  <c r="D161" i="15"/>
  <c r="D173" i="15"/>
  <c r="D177" i="15"/>
  <c r="D181" i="15"/>
  <c r="D185" i="15"/>
  <c r="D189" i="15"/>
  <c r="D193" i="15"/>
  <c r="D197" i="15"/>
  <c r="D201" i="15"/>
  <c r="D15" i="15"/>
  <c r="D11" i="15"/>
  <c r="D29" i="15"/>
  <c r="D37" i="15"/>
  <c r="D43" i="15"/>
  <c r="D48" i="15"/>
  <c r="D53" i="15"/>
  <c r="D59" i="15"/>
  <c r="D64" i="15"/>
  <c r="D69" i="15"/>
  <c r="D75" i="15"/>
  <c r="D80" i="15"/>
  <c r="D96" i="15"/>
  <c r="D101" i="15"/>
  <c r="D107" i="15"/>
  <c r="D112" i="15"/>
  <c r="D117" i="15"/>
  <c r="D123" i="15"/>
  <c r="D128" i="15"/>
  <c r="D133" i="15"/>
  <c r="D139" i="15"/>
  <c r="D144" i="15"/>
  <c r="D158" i="15"/>
  <c r="D162" i="15"/>
  <c r="D166" i="15"/>
  <c r="D170" i="15"/>
  <c r="D174" i="15"/>
  <c r="D178" i="15"/>
  <c r="D182" i="15"/>
  <c r="D186" i="15"/>
  <c r="D190" i="15"/>
  <c r="D194" i="15"/>
  <c r="D14" i="15"/>
  <c r="D10" i="15"/>
  <c r="D7" i="15"/>
  <c r="D16" i="15"/>
  <c r="D32" i="15"/>
  <c r="D39" i="15"/>
  <c r="D44" i="15"/>
  <c r="D49" i="15"/>
  <c r="D55" i="15"/>
  <c r="D71" i="15"/>
  <c r="D76" i="15"/>
  <c r="D81" i="15"/>
  <c r="D87" i="15"/>
  <c r="D92" i="15"/>
  <c r="D97" i="15"/>
  <c r="D103" i="15"/>
  <c r="D108" i="15"/>
  <c r="D113" i="15"/>
  <c r="D119" i="15"/>
  <c r="D129" i="15"/>
  <c r="D135" i="15"/>
  <c r="D140" i="15"/>
  <c r="D145" i="15"/>
  <c r="D151" i="15"/>
  <c r="D159" i="15"/>
  <c r="D163" i="15"/>
  <c r="D167" i="15"/>
  <c r="D171" i="15"/>
  <c r="D175" i="15"/>
  <c r="D187" i="15"/>
  <c r="D191" i="15"/>
  <c r="D195" i="15"/>
  <c r="D199" i="15"/>
  <c r="D13" i="15"/>
  <c r="D9" i="15"/>
  <c r="D17" i="15"/>
  <c r="D25" i="15"/>
  <c r="D45" i="15"/>
  <c r="D51" i="15"/>
  <c r="D56" i="15"/>
  <c r="D61" i="15"/>
  <c r="D72" i="15"/>
  <c r="D77" i="15"/>
  <c r="D83" i="15"/>
  <c r="D88" i="15"/>
  <c r="D93" i="15"/>
  <c r="D109" i="15"/>
  <c r="D115" i="15"/>
  <c r="D120" i="15"/>
  <c r="D125" i="15"/>
  <c r="D131" i="15"/>
  <c r="D136" i="15"/>
  <c r="D141" i="15"/>
  <c r="D147" i="15"/>
  <c r="D152" i="15"/>
  <c r="D156" i="15"/>
  <c r="D160" i="15"/>
  <c r="D168" i="15"/>
  <c r="D172" i="15"/>
  <c r="D176" i="15"/>
  <c r="D180" i="15"/>
  <c r="D184" i="15"/>
  <c r="D188" i="15"/>
  <c r="D192" i="15"/>
  <c r="D196" i="15"/>
  <c r="D200" i="15"/>
  <c r="D204" i="15"/>
  <c r="D12" i="15"/>
  <c r="D8" i="15"/>
  <c r="H43" i="33"/>
  <c r="H106" i="11" s="1"/>
  <c r="G14" i="11" s="1"/>
  <c r="H85" i="43"/>
  <c r="L58" i="38"/>
  <c r="M58" i="38"/>
  <c r="M57" i="38"/>
  <c r="J23" i="11"/>
  <c r="J20" i="11"/>
  <c r="E7" i="33"/>
  <c r="J16" i="11"/>
  <c r="J11" i="11"/>
  <c r="J12" i="11" s="1"/>
  <c r="J13" i="11" s="1"/>
  <c r="C39" i="33"/>
  <c r="E86" i="33" s="1"/>
  <c r="I25" i="12"/>
  <c r="I31" i="12"/>
  <c r="U90" i="43"/>
  <c r="U92" i="43" s="1"/>
  <c r="E25" i="33"/>
  <c r="A2" i="33"/>
  <c r="A2" i="39" s="1"/>
  <c r="M4" i="38"/>
  <c r="N5" i="38" s="1"/>
  <c r="A16" i="43"/>
  <c r="M52" i="43" s="1"/>
  <c r="M90" i="43" s="1"/>
  <c r="A2" i="45"/>
  <c r="A2" i="46"/>
  <c r="J65" i="43"/>
  <c r="H25" i="35"/>
  <c r="D198" i="15"/>
  <c r="D70" i="15"/>
  <c r="D94" i="15"/>
  <c r="E24" i="33"/>
  <c r="L27" i="43"/>
  <c r="A1" i="39"/>
  <c r="C6" i="11"/>
  <c r="D183" i="15"/>
  <c r="D50" i="15"/>
  <c r="D179" i="15"/>
  <c r="I17" i="12"/>
  <c r="D98" i="15"/>
  <c r="D202" i="15"/>
  <c r="D47" i="15"/>
  <c r="D126" i="15"/>
  <c r="D102" i="15"/>
  <c r="L59" i="11"/>
  <c r="H93" i="33" s="1"/>
  <c r="D146" i="15"/>
  <c r="D60" i="15"/>
  <c r="D124" i="15"/>
  <c r="L31" i="11"/>
  <c r="G12" i="12" s="1"/>
  <c r="D24" i="15"/>
  <c r="D40" i="15"/>
  <c r="D104" i="15"/>
  <c r="L60" i="11"/>
  <c r="H94" i="33" s="1"/>
  <c r="H116" i="11"/>
  <c r="H54" i="33" s="1"/>
  <c r="D91" i="15"/>
  <c r="D21" i="15"/>
  <c r="D85" i="15"/>
  <c r="D149" i="15"/>
  <c r="H117" i="11"/>
  <c r="H55" i="33" s="1"/>
  <c r="G11" i="12"/>
  <c r="H11" i="12" s="1"/>
  <c r="E2" i="15"/>
  <c r="D41" i="15"/>
  <c r="D105" i="15"/>
  <c r="D169" i="15"/>
  <c r="D164" i="15"/>
  <c r="D65" i="15"/>
  <c r="D154" i="15"/>
  <c r="H34" i="33"/>
  <c r="E34" i="33" s="1"/>
  <c r="D35" i="15"/>
  <c r="D67" i="15"/>
  <c r="D99" i="15"/>
  <c r="O1" i="15"/>
  <c r="L93" i="11"/>
  <c r="H89" i="33" s="1"/>
  <c r="D33" i="15"/>
  <c r="D54" i="15"/>
  <c r="D203" i="15"/>
  <c r="D111" i="15"/>
  <c r="D27" i="15"/>
  <c r="H85" i="11"/>
  <c r="H81" i="33" s="1"/>
  <c r="D46" i="15"/>
  <c r="D22" i="15"/>
  <c r="D155" i="15"/>
  <c r="D137" i="15"/>
  <c r="D30" i="15"/>
  <c r="D118" i="15"/>
  <c r="D150" i="15"/>
  <c r="D78" i="15"/>
  <c r="D142" i="15"/>
  <c r="D6" i="15"/>
  <c r="D165" i="15"/>
  <c r="D73" i="15"/>
  <c r="M51" i="43"/>
  <c r="M89" i="43" s="1"/>
  <c r="A24" i="43"/>
  <c r="A16" i="35"/>
  <c r="C99" i="12"/>
  <c r="C51" i="12"/>
  <c r="C7" i="32"/>
  <c r="A1" i="45"/>
  <c r="A1" i="46" s="1"/>
  <c r="A8" i="36" l="1"/>
  <c r="D8" i="35"/>
  <c r="D107" i="11"/>
  <c r="K24" i="12"/>
  <c r="L24" i="12" s="1"/>
  <c r="I24" i="12"/>
  <c r="E205" i="15"/>
  <c r="F205" i="15" s="1"/>
  <c r="F15" i="15"/>
  <c r="F19" i="15"/>
  <c r="F23" i="15"/>
  <c r="F27" i="15"/>
  <c r="F31" i="15"/>
  <c r="F35" i="15"/>
  <c r="F39" i="15"/>
  <c r="F43" i="15"/>
  <c r="F47" i="15"/>
  <c r="F51" i="15"/>
  <c r="F55" i="15"/>
  <c r="F59" i="15"/>
  <c r="F63" i="15"/>
  <c r="F67" i="15"/>
  <c r="F71" i="15"/>
  <c r="F75" i="15"/>
  <c r="F79" i="15"/>
  <c r="F83" i="15"/>
  <c r="F87" i="15"/>
  <c r="F91" i="15"/>
  <c r="F95" i="15"/>
  <c r="F99" i="15"/>
  <c r="F103" i="15"/>
  <c r="F107" i="15"/>
  <c r="F111" i="15"/>
  <c r="F115" i="15"/>
  <c r="F119" i="15"/>
  <c r="F123" i="15"/>
  <c r="F127" i="15"/>
  <c r="F131" i="15"/>
  <c r="F135" i="15"/>
  <c r="F139" i="15"/>
  <c r="F143" i="15"/>
  <c r="F147" i="15"/>
  <c r="F151" i="15"/>
  <c r="F155" i="15"/>
  <c r="F159" i="15"/>
  <c r="F163" i="15"/>
  <c r="F167" i="15"/>
  <c r="F171" i="15"/>
  <c r="F175" i="15"/>
  <c r="F179" i="15"/>
  <c r="F183" i="15"/>
  <c r="F187" i="15"/>
  <c r="F191" i="15"/>
  <c r="F195" i="15"/>
  <c r="F199" i="15"/>
  <c r="F203" i="15"/>
  <c r="F10" i="15"/>
  <c r="F6" i="15"/>
  <c r="F16" i="15"/>
  <c r="F20" i="15"/>
  <c r="F24" i="15"/>
  <c r="F28" i="15"/>
  <c r="F32" i="15"/>
  <c r="F36" i="15"/>
  <c r="F40" i="15"/>
  <c r="F44" i="15"/>
  <c r="F48" i="15"/>
  <c r="F52" i="15"/>
  <c r="F56" i="15"/>
  <c r="F60" i="15"/>
  <c r="F64" i="15"/>
  <c r="F68" i="15"/>
  <c r="F72" i="15"/>
  <c r="F76" i="15"/>
  <c r="F80" i="15"/>
  <c r="F84" i="15"/>
  <c r="F88" i="15"/>
  <c r="F92" i="15"/>
  <c r="F96" i="15"/>
  <c r="F100" i="15"/>
  <c r="F104" i="15"/>
  <c r="F108" i="15"/>
  <c r="F112" i="15"/>
  <c r="F116" i="15"/>
  <c r="F120" i="15"/>
  <c r="F124" i="15"/>
  <c r="F128" i="15"/>
  <c r="F132" i="15"/>
  <c r="F136" i="15"/>
  <c r="F140" i="15"/>
  <c r="F144" i="15"/>
  <c r="F148" i="15"/>
  <c r="F152" i="15"/>
  <c r="F156" i="15"/>
  <c r="F160" i="15"/>
  <c r="F164" i="15"/>
  <c r="F168" i="15"/>
  <c r="F172" i="15"/>
  <c r="F176" i="15"/>
  <c r="F180" i="15"/>
  <c r="F184" i="15"/>
  <c r="F188" i="15"/>
  <c r="F192" i="15"/>
  <c r="F196" i="15"/>
  <c r="F200" i="15"/>
  <c r="F204" i="15"/>
  <c r="F9" i="15"/>
  <c r="F13" i="15"/>
  <c r="F17" i="15"/>
  <c r="F21" i="15"/>
  <c r="F25" i="15"/>
  <c r="F29" i="15"/>
  <c r="F33" i="15"/>
  <c r="F37" i="15"/>
  <c r="F41" i="15"/>
  <c r="F45" i="15"/>
  <c r="F49" i="15"/>
  <c r="F53" i="15"/>
  <c r="L44" i="11" s="1"/>
  <c r="L45" i="11" s="1"/>
  <c r="L46" i="11" s="1"/>
  <c r="F14" i="12" s="1"/>
  <c r="F57" i="15"/>
  <c r="L36" i="11" s="1"/>
  <c r="L37" i="11" s="1"/>
  <c r="L38" i="11" s="1"/>
  <c r="F13" i="12" s="1"/>
  <c r="F61" i="15"/>
  <c r="F65" i="15"/>
  <c r="F69" i="15"/>
  <c r="F73" i="15"/>
  <c r="F77" i="15"/>
  <c r="F81" i="15"/>
  <c r="F85" i="15"/>
  <c r="F89" i="15"/>
  <c r="F93" i="15"/>
  <c r="F97" i="15"/>
  <c r="F101" i="15"/>
  <c r="F105" i="15"/>
  <c r="F109" i="15"/>
  <c r="F113" i="15"/>
  <c r="F117" i="15"/>
  <c r="F121" i="15"/>
  <c r="F125" i="15"/>
  <c r="F129" i="15"/>
  <c r="F133" i="15"/>
  <c r="F137" i="15"/>
  <c r="F141" i="15"/>
  <c r="F14" i="15"/>
  <c r="F18" i="15"/>
  <c r="F34" i="15"/>
  <c r="F50" i="15"/>
  <c r="F66" i="15"/>
  <c r="F82" i="15"/>
  <c r="F98" i="15"/>
  <c r="F114" i="15"/>
  <c r="F130" i="15"/>
  <c r="F145" i="15"/>
  <c r="F153" i="15"/>
  <c r="F161" i="15"/>
  <c r="F169" i="15"/>
  <c r="F177" i="15"/>
  <c r="F185" i="15"/>
  <c r="F193" i="15"/>
  <c r="F201" i="15"/>
  <c r="F8" i="15"/>
  <c r="F22" i="15"/>
  <c r="F38" i="15"/>
  <c r="F54" i="15"/>
  <c r="F70" i="15"/>
  <c r="F86" i="15"/>
  <c r="F102" i="15"/>
  <c r="F118" i="15"/>
  <c r="F134" i="15"/>
  <c r="F146" i="15"/>
  <c r="F154" i="15"/>
  <c r="F162" i="15"/>
  <c r="F170" i="15"/>
  <c r="F178" i="15"/>
  <c r="F186" i="15"/>
  <c r="F194" i="15"/>
  <c r="F202" i="15"/>
  <c r="F7" i="15"/>
  <c r="F26" i="15"/>
  <c r="F42" i="15"/>
  <c r="F58" i="15"/>
  <c r="F74" i="15"/>
  <c r="F90" i="15"/>
  <c r="F106" i="15"/>
  <c r="F122" i="15"/>
  <c r="F138" i="15"/>
  <c r="F149" i="15"/>
  <c r="F157" i="15"/>
  <c r="F165" i="15"/>
  <c r="F173" i="15"/>
  <c r="F181" i="15"/>
  <c r="F189" i="15"/>
  <c r="F197" i="15"/>
  <c r="F12" i="15"/>
  <c r="F30" i="15"/>
  <c r="F46" i="15"/>
  <c r="F62" i="15"/>
  <c r="F78" i="15"/>
  <c r="F94" i="15"/>
  <c r="F110" i="15"/>
  <c r="F126" i="15"/>
  <c r="F142" i="15"/>
  <c r="F150" i="15"/>
  <c r="F158" i="15"/>
  <c r="F166" i="15"/>
  <c r="F174" i="15"/>
  <c r="F182" i="15"/>
  <c r="F190" i="15"/>
  <c r="F198" i="15"/>
  <c r="F11" i="15"/>
  <c r="H30" i="12"/>
  <c r="M60" i="38"/>
  <c r="L60" i="38"/>
  <c r="H84" i="43"/>
  <c r="N4" i="38"/>
  <c r="Q4" i="38" s="1"/>
  <c r="K10" i="38"/>
  <c r="L64" i="11"/>
  <c r="H98" i="33" s="1"/>
  <c r="H25" i="33"/>
  <c r="H10" i="12"/>
  <c r="I10" i="12" s="1"/>
  <c r="L63" i="11"/>
  <c r="H97" i="33" s="1"/>
  <c r="L19" i="11"/>
  <c r="H110" i="11" s="1"/>
  <c r="L55" i="11"/>
  <c r="G15" i="12" s="1"/>
  <c r="H10" i="33" s="1"/>
  <c r="L28" i="11"/>
  <c r="L29" i="11" s="1"/>
  <c r="L30" i="11" s="1"/>
  <c r="F12" i="12" s="1"/>
  <c r="H12" i="12" s="1"/>
  <c r="G27" i="12"/>
  <c r="H27" i="12" s="1"/>
  <c r="H60" i="33"/>
  <c r="G21" i="12"/>
  <c r="H21" i="12" s="1"/>
  <c r="C2" i="12"/>
  <c r="C6" i="32"/>
  <c r="J14" i="11"/>
  <c r="F5" i="15"/>
  <c r="H48" i="33"/>
  <c r="D5" i="15"/>
  <c r="H9" i="12"/>
  <c r="H8" i="12"/>
  <c r="L61" i="11"/>
  <c r="H95" i="33" s="1"/>
  <c r="K11" i="12"/>
  <c r="L11" i="12" s="1"/>
  <c r="I11" i="12"/>
  <c r="G28" i="12"/>
  <c r="H28" i="12" s="1"/>
  <c r="L74" i="11"/>
  <c r="H70" i="33"/>
  <c r="H133" i="11" s="1"/>
  <c r="G22" i="12"/>
  <c r="H22" i="12" s="1"/>
  <c r="K63" i="43"/>
  <c r="L25" i="43"/>
  <c r="J15" i="35"/>
  <c r="L47" i="11"/>
  <c r="L39" i="11"/>
  <c r="A21" i="35"/>
  <c r="A27" i="35"/>
  <c r="A17" i="35"/>
  <c r="L68" i="11" l="1"/>
  <c r="L69" i="11" s="1"/>
  <c r="L90" i="11"/>
  <c r="L92" i="11" s="1"/>
  <c r="K30" i="12"/>
  <c r="L30" i="12" s="1"/>
  <c r="I30" i="12"/>
  <c r="N60" i="38"/>
  <c r="H41" i="35" s="1"/>
  <c r="J41" i="35" s="1"/>
  <c r="D16" i="12"/>
  <c r="G16" i="12" s="1"/>
  <c r="T4" i="38"/>
  <c r="U4" i="38" s="1"/>
  <c r="L10" i="38"/>
  <c r="N10" i="38" s="1"/>
  <c r="P10" i="38" s="1"/>
  <c r="H13" i="33"/>
  <c r="H18" i="33" s="1"/>
  <c r="K10" i="12"/>
  <c r="L10" i="12" s="1"/>
  <c r="L32" i="11"/>
  <c r="H123" i="11"/>
  <c r="H65" i="33"/>
  <c r="H128" i="11" s="1"/>
  <c r="K27" i="12"/>
  <c r="L27" i="12" s="1"/>
  <c r="I27" i="12"/>
  <c r="C98" i="12"/>
  <c r="C50" i="12"/>
  <c r="I21" i="12"/>
  <c r="K21" i="12"/>
  <c r="L21" i="12" s="1"/>
  <c r="G13" i="12"/>
  <c r="H13" i="12" s="1"/>
  <c r="L40" i="11"/>
  <c r="K28" i="12"/>
  <c r="L28" i="12" s="1"/>
  <c r="I28" i="12"/>
  <c r="K8" i="12"/>
  <c r="L8" i="12" s="1"/>
  <c r="I8" i="12"/>
  <c r="G14" i="12"/>
  <c r="H14" i="12" s="1"/>
  <c r="L48" i="11"/>
  <c r="I22" i="12"/>
  <c r="K22" i="12"/>
  <c r="L22" i="12" s="1"/>
  <c r="I9" i="12"/>
  <c r="K9" i="12"/>
  <c r="L9" i="12" s="1"/>
  <c r="K12" i="12"/>
  <c r="L12" i="12" s="1"/>
  <c r="I12" i="12"/>
  <c r="H4" i="33"/>
  <c r="H7" i="12"/>
  <c r="A28" i="35"/>
  <c r="A29" i="35" s="1"/>
  <c r="A30" i="35" s="1"/>
  <c r="A33" i="35"/>
  <c r="L23" i="11" l="1"/>
  <c r="E39" i="33" s="1"/>
  <c r="H39" i="33" s="1"/>
  <c r="H91" i="43"/>
  <c r="L51" i="11"/>
  <c r="P51" i="11" s="1"/>
  <c r="L52" i="11" s="1"/>
  <c r="L53" i="11" s="1"/>
  <c r="H7" i="33"/>
  <c r="H8" i="33" s="1"/>
  <c r="H9" i="33" s="1"/>
  <c r="H11" i="33" s="1"/>
  <c r="H24" i="33"/>
  <c r="F16" i="12"/>
  <c r="H16" i="12"/>
  <c r="K16" i="12" s="1"/>
  <c r="L16" i="12" s="1"/>
  <c r="H87" i="43"/>
  <c r="D19" i="12"/>
  <c r="F19" i="12" s="1"/>
  <c r="H20" i="33"/>
  <c r="H22" i="33" s="1"/>
  <c r="H35" i="33" s="1"/>
  <c r="H19" i="33"/>
  <c r="H69" i="33" s="1"/>
  <c r="H132" i="11" s="1"/>
  <c r="H17" i="33"/>
  <c r="I13" i="12"/>
  <c r="K13" i="12"/>
  <c r="L13" i="12" s="1"/>
  <c r="K7" i="12"/>
  <c r="L7" i="12" s="1"/>
  <c r="I7" i="12"/>
  <c r="H59" i="33"/>
  <c r="H64" i="33"/>
  <c r="I14" i="12"/>
  <c r="K14" i="12"/>
  <c r="L14" i="12" s="1"/>
  <c r="H88" i="33"/>
  <c r="L94" i="11"/>
  <c r="A36" i="35"/>
  <c r="F15" i="12" l="1"/>
  <c r="H15" i="12" s="1"/>
  <c r="I15" i="12" s="1"/>
  <c r="L62" i="11"/>
  <c r="L65" i="11" s="1"/>
  <c r="H86" i="33"/>
  <c r="H31" i="33"/>
  <c r="H32" i="33"/>
  <c r="H33" i="33"/>
  <c r="H30" i="33"/>
  <c r="E35" i="33"/>
  <c r="I19" i="35"/>
  <c r="J19" i="35" s="1"/>
  <c r="L56" i="11"/>
  <c r="M7" i="33"/>
  <c r="G19" i="12"/>
  <c r="I16" i="12"/>
  <c r="H71" i="33"/>
  <c r="H127" i="11"/>
  <c r="H66" i="33"/>
  <c r="I34" i="35" s="1"/>
  <c r="H90" i="33"/>
  <c r="J20" i="35" s="1"/>
  <c r="H19" i="12"/>
  <c r="H122" i="11"/>
  <c r="H61" i="33"/>
  <c r="I22" i="35" s="1"/>
  <c r="A38" i="35"/>
  <c r="A40" i="35"/>
  <c r="K15" i="12" l="1"/>
  <c r="L15" i="12" s="1"/>
  <c r="H129" i="11"/>
  <c r="J34" i="35"/>
  <c r="H45" i="33"/>
  <c r="H36" i="33" s="1"/>
  <c r="H107" i="11"/>
  <c r="H108" i="11" s="1"/>
  <c r="H99" i="33"/>
  <c r="I18" i="35" s="1"/>
  <c r="J18" i="35" s="1"/>
  <c r="H18" i="12"/>
  <c r="I18" i="12" s="1"/>
  <c r="H96" i="33"/>
  <c r="H134" i="11"/>
  <c r="L71" i="11" s="1"/>
  <c r="H124" i="11"/>
  <c r="J23" i="35"/>
  <c r="J29" i="35"/>
  <c r="I19" i="12"/>
  <c r="K19" i="12"/>
  <c r="L19" i="12" s="1"/>
  <c r="A44" i="35"/>
  <c r="A45" i="35" s="1"/>
  <c r="A41" i="35"/>
  <c r="A42" i="35" s="1"/>
  <c r="A43" i="35" s="1"/>
  <c r="E36" i="33" l="1"/>
  <c r="E37" i="33" s="1"/>
  <c r="H46" i="33" s="1"/>
  <c r="H49" i="33" s="1"/>
  <c r="H51" i="33" s="1"/>
  <c r="H37" i="33"/>
  <c r="H47" i="33" s="1"/>
  <c r="K18" i="12"/>
  <c r="L18" i="12" s="1"/>
  <c r="L48" i="12" s="1"/>
  <c r="L54" i="12" s="1"/>
  <c r="L96" i="12" s="1"/>
  <c r="L102" i="12" s="1"/>
  <c r="L131" i="12" s="1"/>
  <c r="H15" i="32" s="1"/>
  <c r="H21" i="32" s="1"/>
  <c r="H22" i="32" s="1"/>
  <c r="B23" i="32" s="1"/>
  <c r="I48" i="12"/>
  <c r="I54" i="12" s="1"/>
  <c r="I96" i="12" s="1"/>
  <c r="I102" i="12" s="1"/>
  <c r="J22" i="35"/>
  <c r="I28" i="35"/>
  <c r="J28" i="35" s="1"/>
  <c r="H56" i="33" l="1"/>
  <c r="H109" i="11"/>
  <c r="H111" i="11" s="1"/>
  <c r="H50" i="33"/>
  <c r="H52" i="33" s="1"/>
  <c r="H57" i="33" s="1"/>
  <c r="D25" i="32"/>
  <c r="I131" i="12"/>
  <c r="I132" i="12"/>
  <c r="BM10" i="15" s="1"/>
  <c r="BM11" i="15" s="1"/>
  <c r="I35" i="35" l="1"/>
  <c r="J35" i="35" s="1"/>
  <c r="I25" i="35"/>
  <c r="J25" i="35" s="1"/>
  <c r="I31" i="35"/>
  <c r="J31" i="35" s="1"/>
  <c r="I32" i="35"/>
  <c r="J32" i="35" s="1"/>
  <c r="J26" i="35"/>
  <c r="H112" i="11"/>
  <c r="L72" i="11"/>
  <c r="L73" i="11" s="1"/>
  <c r="L75" i="11" s="1"/>
  <c r="H113" i="11"/>
  <c r="H119" i="11" s="1"/>
  <c r="BO17" i="15"/>
  <c r="BM12" i="15"/>
  <c r="BN17" i="15"/>
  <c r="BM17" i="15"/>
  <c r="BP31" i="15" s="1"/>
  <c r="J46" i="35" l="1"/>
  <c r="H47" i="35" s="1"/>
  <c r="G5" i="49" s="1"/>
  <c r="F8" i="49" s="1"/>
  <c r="H8" i="49" s="1"/>
  <c r="H118" i="11"/>
  <c r="H114" i="11"/>
  <c r="J86" i="12"/>
  <c r="K86" i="12" s="1"/>
  <c r="L86" i="12" s="1"/>
  <c r="J115" i="12"/>
  <c r="K115" i="12" s="1"/>
  <c r="L115" i="12" s="1"/>
  <c r="J75" i="12"/>
  <c r="K75" i="12" s="1"/>
  <c r="L75" i="12" s="1"/>
  <c r="J118" i="12"/>
  <c r="K118" i="12" s="1"/>
  <c r="L118" i="12" s="1"/>
  <c r="J67" i="12"/>
  <c r="K67" i="12" s="1"/>
  <c r="L67" i="12" s="1"/>
  <c r="J87" i="12"/>
  <c r="K87" i="12" s="1"/>
  <c r="L87" i="12" s="1"/>
  <c r="J116" i="12"/>
  <c r="K116" i="12" s="1"/>
  <c r="L116" i="12" s="1"/>
  <c r="J110" i="12"/>
  <c r="K110" i="12" s="1"/>
  <c r="L110" i="12" s="1"/>
  <c r="J60" i="12"/>
  <c r="K60" i="12" s="1"/>
  <c r="L60" i="12" s="1"/>
  <c r="J73" i="12"/>
  <c r="K73" i="12" s="1"/>
  <c r="L73" i="12" s="1"/>
  <c r="J84" i="12"/>
  <c r="K84" i="12" s="1"/>
  <c r="L84" i="12" s="1"/>
  <c r="J113" i="12"/>
  <c r="K113" i="12" s="1"/>
  <c r="L113" i="12" s="1"/>
  <c r="J69" i="12"/>
  <c r="K69" i="12" s="1"/>
  <c r="L69" i="12" s="1"/>
  <c r="J70" i="12"/>
  <c r="K70" i="12" s="1"/>
  <c r="L70" i="12" s="1"/>
  <c r="J57" i="12"/>
  <c r="K57" i="12" s="1"/>
  <c r="L57" i="12" s="1"/>
  <c r="J82" i="12"/>
  <c r="K82" i="12" s="1"/>
  <c r="L82" i="12" s="1"/>
  <c r="J58" i="12"/>
  <c r="K58" i="12" s="1"/>
  <c r="L58" i="12" s="1"/>
  <c r="J72" i="12"/>
  <c r="K72" i="12" s="1"/>
  <c r="L72" i="12" s="1"/>
  <c r="J76" i="12"/>
  <c r="K76" i="12" s="1"/>
  <c r="L76" i="12" s="1"/>
  <c r="J112" i="12"/>
  <c r="K112" i="12" s="1"/>
  <c r="L112" i="12" s="1"/>
  <c r="J63" i="12"/>
  <c r="K63" i="12" s="1"/>
  <c r="L63" i="12" s="1"/>
  <c r="J74" i="12"/>
  <c r="K74" i="12" s="1"/>
  <c r="L74" i="12" s="1"/>
  <c r="J64" i="12"/>
  <c r="K64" i="12" s="1"/>
  <c r="L64" i="12" s="1"/>
  <c r="J79" i="12"/>
  <c r="K79" i="12" s="1"/>
  <c r="L79" i="12" s="1"/>
  <c r="J109" i="12"/>
  <c r="K109" i="12" s="1"/>
  <c r="L109" i="12" s="1"/>
  <c r="J59" i="12"/>
  <c r="K59" i="12" s="1"/>
  <c r="L59" i="12" s="1"/>
  <c r="J68" i="12"/>
  <c r="K68" i="12" s="1"/>
  <c r="L68" i="12" s="1"/>
  <c r="J103" i="12"/>
  <c r="K103" i="12" s="1"/>
  <c r="L103" i="12" s="1"/>
  <c r="J71" i="12"/>
  <c r="K71" i="12" s="1"/>
  <c r="L71" i="12" s="1"/>
  <c r="J65" i="12"/>
  <c r="K65" i="12" s="1"/>
  <c r="L65" i="12" s="1"/>
  <c r="J117" i="12"/>
  <c r="K117" i="12" s="1"/>
  <c r="L117" i="12" s="1"/>
  <c r="J108" i="12"/>
  <c r="K108" i="12" s="1"/>
  <c r="L108" i="12" s="1"/>
  <c r="J88" i="12"/>
  <c r="K88" i="12" s="1"/>
  <c r="L88" i="12" s="1"/>
  <c r="J34" i="12"/>
  <c r="K34" i="12" s="1"/>
  <c r="L34" i="12" s="1"/>
  <c r="J111" i="12"/>
  <c r="K111" i="12" s="1"/>
  <c r="L111" i="12" s="1"/>
  <c r="J83" i="12"/>
  <c r="K83" i="12" s="1"/>
  <c r="L83" i="12" s="1"/>
  <c r="J78" i="12"/>
  <c r="K78" i="12" s="1"/>
  <c r="L78" i="12" s="1"/>
  <c r="J62" i="12"/>
  <c r="K62" i="12" s="1"/>
  <c r="L62" i="12" s="1"/>
  <c r="J35" i="12"/>
  <c r="K35" i="12" s="1"/>
  <c r="L35" i="12" s="1"/>
  <c r="J85" i="12"/>
  <c r="K85" i="12" s="1"/>
  <c r="L85" i="12" s="1"/>
  <c r="J114" i="12"/>
  <c r="K114" i="12" s="1"/>
  <c r="L114" i="12" s="1"/>
  <c r="J80" i="12"/>
  <c r="K80" i="12" s="1"/>
  <c r="L80" i="12" s="1"/>
  <c r="J81" i="12"/>
  <c r="K81" i="12" s="1"/>
  <c r="L81" i="12" s="1"/>
  <c r="J66" i="12"/>
  <c r="K66" i="12" s="1"/>
  <c r="L66" i="12" s="1"/>
  <c r="J77" i="12"/>
  <c r="K77" i="12" s="1"/>
  <c r="L77" i="12" s="1"/>
  <c r="BM13" i="15"/>
  <c r="BM14" i="15"/>
  <c r="F9" i="49" l="1"/>
  <c r="H9" i="49" s="1"/>
  <c r="G11" i="49" s="1"/>
  <c r="BM16" i="15"/>
  <c r="BO16" i="15"/>
  <c r="BN16" i="15"/>
  <c r="BM15" i="15"/>
  <c r="BO15" i="15"/>
  <c r="BN15" i="15"/>
  <c r="K18" i="35" l="1"/>
  <c r="L18" i="35" s="1"/>
  <c r="K35" i="35"/>
  <c r="K34" i="35"/>
  <c r="H5" i="49"/>
  <c r="J11" i="49"/>
  <c r="K11" i="49" s="1"/>
  <c r="K19" i="35"/>
  <c r="M19" i="35" s="1"/>
  <c r="K39" i="35"/>
  <c r="M39" i="35" s="1"/>
  <c r="K32" i="35"/>
  <c r="M32" i="35" s="1"/>
  <c r="K37" i="35"/>
  <c r="M37" i="35" s="1"/>
  <c r="K38" i="35"/>
  <c r="M38" i="35" s="1"/>
  <c r="K45" i="35"/>
  <c r="M45" i="35" s="1"/>
  <c r="K42" i="35"/>
  <c r="L42" i="35" s="1"/>
  <c r="K29" i="35"/>
  <c r="M29" i="35" s="1"/>
  <c r="K20" i="35"/>
  <c r="L20" i="35" s="1"/>
  <c r="K31" i="35"/>
  <c r="L31" i="35" s="1"/>
  <c r="K15" i="35"/>
  <c r="E12" i="36"/>
  <c r="K28" i="35"/>
  <c r="K25" i="35"/>
  <c r="M25" i="35" s="1"/>
  <c r="K22" i="35"/>
  <c r="L22" i="35" s="1"/>
  <c r="K23" i="35"/>
  <c r="M23" i="35" s="1"/>
  <c r="K43" i="35"/>
  <c r="K41" i="35"/>
  <c r="K26" i="35"/>
  <c r="M34" i="35" l="1"/>
  <c r="L34" i="35"/>
  <c r="M35" i="35"/>
  <c r="L35" i="35"/>
  <c r="M18" i="35"/>
  <c r="L45" i="35"/>
  <c r="L19" i="35"/>
  <c r="L37" i="35"/>
  <c r="L29" i="35"/>
  <c r="L23" i="35"/>
  <c r="M20" i="35"/>
  <c r="L38" i="35"/>
  <c r="L39" i="35"/>
  <c r="M42" i="35"/>
  <c r="L32" i="35"/>
  <c r="M31" i="35"/>
  <c r="M22" i="35"/>
  <c r="M43" i="35"/>
  <c r="L43" i="35"/>
  <c r="M41" i="35"/>
  <c r="L41" i="35"/>
  <c r="M28" i="35"/>
  <c r="L28" i="35"/>
  <c r="L26" i="35"/>
  <c r="M26" i="35"/>
  <c r="L25" i="35"/>
  <c r="L13" i="35"/>
  <c r="M13" i="35"/>
  <c r="L15" i="35"/>
  <c r="M15" i="35"/>
  <c r="M46" i="35" l="1"/>
  <c r="F12" i="36" s="1"/>
  <c r="F18" i="36" l="1"/>
  <c r="F19" i="36"/>
  <c r="D21" i="36" s="1"/>
  <c r="J34" i="34" s="1"/>
  <c r="C34" i="34"/>
  <c r="E20" i="36"/>
  <c r="G34" i="34" l="1"/>
  <c r="C6" i="50"/>
</calcChain>
</file>

<file path=xl/sharedStrings.xml><?xml version="1.0" encoding="utf-8"?>
<sst xmlns="http://schemas.openxmlformats.org/spreadsheetml/2006/main" count="2800" uniqueCount="1105">
  <si>
    <t>ที่</t>
  </si>
  <si>
    <t>รายการ</t>
  </si>
  <si>
    <t>Factor F</t>
  </si>
  <si>
    <t>ข้อมูลประกอบการประมาณราคา</t>
  </si>
  <si>
    <t>บาท/ลบ.ม.</t>
  </si>
  <si>
    <t>ระยะขนส่ง</t>
  </si>
  <si>
    <t xml:space="preserve"> =</t>
  </si>
  <si>
    <t xml:space="preserve">ระยะขนส่ง                  </t>
  </si>
  <si>
    <t>ลูกรัง</t>
  </si>
  <si>
    <t>บาท/ตัน</t>
  </si>
  <si>
    <t xml:space="preserve"> บาท/ตัน</t>
  </si>
  <si>
    <t xml:space="preserve">ระยะขนส่ง      </t>
  </si>
  <si>
    <t xml:space="preserve">ระยะขนส่ง        </t>
  </si>
  <si>
    <t xml:space="preserve">ระยะขนส่ง       </t>
  </si>
  <si>
    <t>รายการราคาค่างานต่อหน่วย</t>
  </si>
  <si>
    <t>=</t>
  </si>
  <si>
    <t xml:space="preserve"> บาท/ตร.ม.</t>
  </si>
  <si>
    <t xml:space="preserve">        ผิวทาง (ขนทิ้ง)</t>
  </si>
  <si>
    <t>ค่าตัวแปร</t>
  </si>
  <si>
    <t xml:space="preserve"> บาท/ลบ.ม.</t>
  </si>
  <si>
    <t>หมายเหตุ</t>
  </si>
  <si>
    <t xml:space="preserve">          - ราคน้ำมันโซล่า เฉลี่ย</t>
  </si>
  <si>
    <t>บาท / ลิตร</t>
  </si>
  <si>
    <t>ชื่อสายทาง</t>
  </si>
  <si>
    <t>จำนวน</t>
  </si>
  <si>
    <t>หน่วย</t>
  </si>
  <si>
    <t>ราคาวัสดุ-ค่าแรง-ต่อหน่วย</t>
  </si>
  <si>
    <t>จำนวนเงิน</t>
  </si>
  <si>
    <t>วัสดุ</t>
  </si>
  <si>
    <t>ค่าแรง</t>
  </si>
  <si>
    <t>รวม</t>
  </si>
  <si>
    <t>(บาท)</t>
  </si>
  <si>
    <t>งานปรับปรุงโครงสร้างทาง</t>
  </si>
  <si>
    <t>ตร.ม.</t>
  </si>
  <si>
    <t>ลบ.ม.</t>
  </si>
  <si>
    <t>งานผิวทาง</t>
  </si>
  <si>
    <t>2.1 Prime  Coat</t>
  </si>
  <si>
    <t>2.2 Tack  Coat</t>
  </si>
  <si>
    <t xml:space="preserve"> -  Asphaltic  Concrete  (ปูบน Prime  Coat)</t>
  </si>
  <si>
    <t xml:space="preserve"> -  Asphaltic  Concrete  (ปูบน Tack  Coat)</t>
  </si>
  <si>
    <t>งานตีเส้นจราจร</t>
  </si>
  <si>
    <t>งานจราจรสงเคราะห์</t>
  </si>
  <si>
    <t>ชุด</t>
  </si>
  <si>
    <t>หลัก</t>
  </si>
  <si>
    <t>รหัสสายทาง</t>
  </si>
  <si>
    <t>สถานที่ตั้ง</t>
  </si>
  <si>
    <t>กม.</t>
  </si>
  <si>
    <t xml:space="preserve">   รายการ</t>
  </si>
  <si>
    <t xml:space="preserve"> ซม.</t>
  </si>
  <si>
    <t>บาท</t>
  </si>
  <si>
    <t>งานผิวไหล่ทาง</t>
  </si>
  <si>
    <t xml:space="preserve">สายทาง </t>
  </si>
  <si>
    <t xml:space="preserve">สถานที่ตั้ง </t>
  </si>
  <si>
    <t>ม. )</t>
  </si>
  <si>
    <t>3.2 Tack  Coat</t>
  </si>
  <si>
    <t>3.1 Prime  Coat</t>
  </si>
  <si>
    <t>4.1 สีเทอร์โมพลาสติก</t>
  </si>
  <si>
    <t>เมตร</t>
  </si>
  <si>
    <t>5.1 งานปรับปรุง</t>
  </si>
  <si>
    <t>5.2 งานติดตั้ง</t>
  </si>
  <si>
    <t xml:space="preserve">         - สายทางอยู่ในเขตพื้นที่  </t>
  </si>
  <si>
    <t>รายละเอียดการประมาณราคา</t>
  </si>
  <si>
    <t xml:space="preserve">หินคลุก      </t>
  </si>
  <si>
    <t xml:space="preserve"> บาท/ลบ.ม.(หลวม)</t>
  </si>
  <si>
    <t>ความหนา</t>
  </si>
  <si>
    <t xml:space="preserve"> ตร.ม./ตัน )</t>
  </si>
  <si>
    <t>A =   ราคายางแอสฟัลท์ (AC 60 - 70 ) ที่ แหล่งบวกด้วยค่าขนส่งถึงที่ตั้งโรงงานผสมแอสฟัลติกคอนกรีต (บาท/ตัน)</t>
  </si>
  <si>
    <t>B  =  ราคาหินปากโม่บวกด้วยค่าขนส่งจากปากโม่ ถึงที่ตั้งโรงงานผสมแอสฟัลติกคอนกรีต หรือจุดกองรวม (บาท/ลบ.ม.)</t>
  </si>
  <si>
    <t xml:space="preserve"> บาท/ลบ.ม.(แน่น)</t>
  </si>
  <si>
    <t>ค่าบรรทุก</t>
  </si>
  <si>
    <t xml:space="preserve">น้ำมันโซล่าเฉลี่ย </t>
  </si>
  <si>
    <t>บาท/ลิตร</t>
  </si>
  <si>
    <t>หินฝุ่น</t>
  </si>
  <si>
    <t>(งบประมาณ 100 %) ดอกเบี้ยเงินกู้</t>
  </si>
  <si>
    <t>%</t>
  </si>
  <si>
    <t>ค่าขนส่งหิน</t>
  </si>
  <si>
    <t>เงินล่วงหน้าจ่าย</t>
  </si>
  <si>
    <t xml:space="preserve">ค่าขนส่งยาง  </t>
  </si>
  <si>
    <t>ดอกเบี้ยเงินฝาก</t>
  </si>
  <si>
    <t>Traffic  Factor</t>
  </si>
  <si>
    <t>เงินประกันผลงาน</t>
  </si>
  <si>
    <t>ภาษีมูลค่าเพิ่ม ( VAT )</t>
  </si>
  <si>
    <t>ราคาน้ำมันโซล่าเฉลี่ย</t>
  </si>
  <si>
    <t>อยู่ในพื้นที่</t>
  </si>
  <si>
    <t>ฝนตกปกติ</t>
  </si>
  <si>
    <t>ฝนตกชุก</t>
  </si>
  <si>
    <t>ตารางสรุปค่าดำเนินการและค่าเสื่อมราคา</t>
  </si>
  <si>
    <t>รวมค่างาน (บาท)</t>
  </si>
  <si>
    <t>ปกติ</t>
  </si>
  <si>
    <t xml:space="preserve"> 1. วัสดุคัดเลือก ลูกรังรองพื้นทาง</t>
  </si>
  <si>
    <t xml:space="preserve">           ขุด-ขน</t>
  </si>
  <si>
    <t>ลบ.ม.(หลวม)</t>
  </si>
  <si>
    <t xml:space="preserve">           ผสม (ผสมกับวัสดุอื่น  ๆ)</t>
  </si>
  <si>
    <t>ลบ.ม.(แน่น)</t>
  </si>
  <si>
    <t xml:space="preserve">           บดทับ</t>
  </si>
  <si>
    <t xml:space="preserve"> 2. งานพื้นทาง (หินคลุก)</t>
  </si>
  <si>
    <t xml:space="preserve">           ผสม  (Blend)</t>
  </si>
  <si>
    <t xml:space="preserve"> 3. งานขุดรื้อคันทางเดิมแล้วบดทับ</t>
  </si>
  <si>
    <t xml:space="preserve">           ลูกรัง       10  ซม.</t>
  </si>
  <si>
    <t xml:space="preserve">           หินคลุก    10  ซม.</t>
  </si>
  <si>
    <t xml:space="preserve"> 4. งานราดยางไพร์มโค้ท</t>
  </si>
  <si>
    <t xml:space="preserve"> 5. งานราดยางแทคโค้ท</t>
  </si>
  <si>
    <t xml:space="preserve"> 6. งานผิวทางแอสฟัลติกคอนกรีต</t>
  </si>
  <si>
    <t>ตัน</t>
  </si>
  <si>
    <t>7. ค่าแรงงาน  Cape Seal</t>
  </si>
  <si>
    <t xml:space="preserve">           Chip  Seal</t>
  </si>
  <si>
    <t>ตร.ม</t>
  </si>
  <si>
    <t xml:space="preserve">            Fog   Spray</t>
  </si>
  <si>
    <t xml:space="preserve">            Slurry  Seal</t>
  </si>
  <si>
    <t>FACTOR D</t>
  </si>
  <si>
    <t>ความหนา(มม.)</t>
  </si>
  <si>
    <t>Factor สำหรับงานบำรุงทาง (สำหรับงานซ่อมสร้างผิวลาดยาง)</t>
  </si>
  <si>
    <t>ตาราง FACTOR F งานทาง</t>
  </si>
  <si>
    <t>ระยะเวลาการเบิกจ่าย</t>
  </si>
  <si>
    <t xml:space="preserve">  เดือน</t>
  </si>
  <si>
    <t>คำนวนค่า Factor F</t>
  </si>
  <si>
    <t>ค่างาน(ทุน)</t>
  </si>
  <si>
    <t>เวลาทำการ</t>
  </si>
  <si>
    <t>ค่า</t>
  </si>
  <si>
    <t>ดอก</t>
  </si>
  <si>
    <t>กำไร</t>
  </si>
  <si>
    <t>รวมในรูป</t>
  </si>
  <si>
    <t xml:space="preserve">ภาษี </t>
  </si>
  <si>
    <t>ล้านบาท</t>
  </si>
  <si>
    <t>เดือน</t>
  </si>
  <si>
    <t>อำนวยการ</t>
  </si>
  <si>
    <t>เบี้ย</t>
  </si>
  <si>
    <t>Factor</t>
  </si>
  <si>
    <t>(ปกติ)</t>
  </si>
  <si>
    <t>รถบรรทุกสิบล้อ + รถลากพ่วง</t>
  </si>
  <si>
    <t>บาท/ตร.ม.</t>
  </si>
  <si>
    <t xml:space="preserve">  - ค่าวัสดุที่แหล่ง</t>
  </si>
  <si>
    <t xml:space="preserve">  - ค่าเสื่อมราคาขุดตัก</t>
  </si>
  <si>
    <t xml:space="preserve">  - ค่าขนส่ง</t>
  </si>
  <si>
    <t xml:space="preserve">  - ค่าเสื่อมราคาบดทับ</t>
  </si>
  <si>
    <t>แห่ง</t>
  </si>
  <si>
    <t xml:space="preserve">   5.1.1 หลักแนวโค้ง ค.ส.ล.</t>
  </si>
  <si>
    <t xml:space="preserve">   5.1.2 หลักกิโลเมตร</t>
  </si>
  <si>
    <t xml:space="preserve">   5.2.1 ป้ายกำหนดน้ำหนักบรรทุก</t>
  </si>
  <si>
    <t xml:space="preserve">   5.2.2 ป้ายจราจรแบบ บ1.</t>
  </si>
  <si>
    <t xml:space="preserve">   5.2.3 ป้ายจราจรแบบ บ2.</t>
  </si>
  <si>
    <t xml:space="preserve">   5.2.4 ป้ายจราจร บ3 - บ55</t>
  </si>
  <si>
    <t>ปุ่ม</t>
  </si>
  <si>
    <t xml:space="preserve">   5.1.3 ป้ายจราจร</t>
  </si>
  <si>
    <t xml:space="preserve">   5.1.4 GUARD RAIL</t>
  </si>
  <si>
    <t>ยาง CSS-1</t>
  </si>
  <si>
    <t>ยาง AC 60-70</t>
  </si>
  <si>
    <t>ยาง CRS-2</t>
  </si>
  <si>
    <t>หิน3/4"</t>
  </si>
  <si>
    <t>หิน1/2"</t>
  </si>
  <si>
    <t>หิน3/8"</t>
  </si>
  <si>
    <t>หินผสมแอสฟัลต์</t>
  </si>
  <si>
    <t>ข้อมูลแหล่งวัสดุและระยะทางขนส่ง</t>
  </si>
  <si>
    <t>ใช้</t>
  </si>
  <si>
    <t>1.006 เมื่อปริมาณจราจรน้อยกว่า 1000 คัน/วัน</t>
  </si>
  <si>
    <t>1.013 เมื่อปริมาณจราจรมากกว่า 1000 คัน/วัน</t>
  </si>
  <si>
    <t xml:space="preserve"> 1 เมื่อใช้รถรถบรรทุก 10 ล้อ ในการขนส่งวัสดุ</t>
  </si>
  <si>
    <t>ดอกเบี้ยเงินกู้</t>
  </si>
  <si>
    <t>(งบประมาณ 100 %)</t>
  </si>
  <si>
    <t>ยอดยกไป</t>
  </si>
  <si>
    <t>ยอดยกมา</t>
  </si>
  <si>
    <t>ฝนตกชุก 1</t>
  </si>
  <si>
    <t xml:space="preserve">ฝนตกชุก 2 </t>
  </si>
  <si>
    <t>ฝนตกชุก 2</t>
  </si>
  <si>
    <t xml:space="preserve">                                                                                                        </t>
  </si>
  <si>
    <t>ราคาน้ำมันโซล่า เฉลี่ย</t>
  </si>
  <si>
    <r>
      <t xml:space="preserve">ตารางค่าขนส่งค่าวัสดุก่อสร้าง </t>
    </r>
    <r>
      <rPr>
        <sz val="16"/>
        <color indexed="10"/>
        <rFont val="AngsanaUPC"/>
        <family val="1"/>
        <charset val="222"/>
      </rPr>
      <t xml:space="preserve"> รถบรรทุกสิบล้อ</t>
    </r>
  </si>
  <si>
    <r>
      <t xml:space="preserve">ตารางค่าขนส่งค่าวัสดุก่อสร้าง  </t>
    </r>
    <r>
      <rPr>
        <sz val="16"/>
        <color indexed="10"/>
        <rFont val="AngsanaUPC"/>
        <family val="1"/>
        <charset val="222"/>
      </rPr>
      <t>รถบรรทุกสิบล้อ + รถลากพ่วง</t>
    </r>
  </si>
  <si>
    <r>
      <t xml:space="preserve">ตารางค่าขนส่งค่าวัสดุก่อสร้าง  </t>
    </r>
    <r>
      <rPr>
        <b/>
        <sz val="13.5"/>
        <color indexed="10"/>
        <rFont val="DilleniaUPC"/>
        <family val="1"/>
        <charset val="222"/>
      </rPr>
      <t>รถบรรทุกสิบล้อ</t>
    </r>
  </si>
  <si>
    <t xml:space="preserve">     งานปูลาดและบดทับผิว  AC หนา 5 ซม.</t>
  </si>
  <si>
    <t xml:space="preserve">     บนผิวไพร์มโค้ท</t>
  </si>
  <si>
    <t xml:space="preserve">     บนผิวแทคโค้ท</t>
  </si>
  <si>
    <t xml:space="preserve">     ค่าผสมวัสดุแอสฟัลติกคอนกรีต</t>
  </si>
  <si>
    <t xml:space="preserve"> 2 เมื่อใช้รถบรรทุก 10 ล้อ + รถลากพ่วง ในการขนส่งวัสดุ</t>
  </si>
  <si>
    <t xml:space="preserve">Factor F  </t>
  </si>
  <si>
    <t xml:space="preserve">Factor F </t>
  </si>
  <si>
    <t>8. Pavement In-Place Recycling</t>
  </si>
  <si>
    <t xml:space="preserve">           ขุดลึก 20 ซม.</t>
  </si>
  <si>
    <t>วัสดุคัดเลือก</t>
  </si>
  <si>
    <t>9. งานถางป่าขุดต่อ</t>
  </si>
  <si>
    <t>10.งานตัดแต่งขั้นบันได</t>
  </si>
  <si>
    <t xml:space="preserve">  - ค่าผสม</t>
  </si>
  <si>
    <t>สรุปประมาณราคาค่าบำรุงรักษาทาง</t>
  </si>
  <si>
    <r>
      <t>ประเภทงาน</t>
    </r>
    <r>
      <rPr>
        <sz val="14"/>
        <rFont val="DilleniaUPC"/>
        <family val="1"/>
        <charset val="222"/>
      </rPr>
      <t xml:space="preserve">            </t>
    </r>
  </si>
  <si>
    <r>
      <t>เจ้าของโครงการ</t>
    </r>
    <r>
      <rPr>
        <sz val="14"/>
        <rFont val="DilleniaUPC"/>
        <family val="1"/>
        <charset val="222"/>
      </rPr>
      <t xml:space="preserve">       </t>
    </r>
  </si>
  <si>
    <r>
      <t>รหัสสายทาง</t>
    </r>
    <r>
      <rPr>
        <sz val="14"/>
        <rFont val="DilleniaUPC"/>
        <family val="1"/>
        <charset val="222"/>
      </rPr>
      <t xml:space="preserve">                              </t>
    </r>
  </si>
  <si>
    <t xml:space="preserve">ชื่อสายทาง   </t>
  </si>
  <si>
    <r>
      <t xml:space="preserve">สถานที่ตั้ง </t>
    </r>
    <r>
      <rPr>
        <sz val="14"/>
        <rFont val="DilleniaUPC"/>
        <family val="1"/>
        <charset val="222"/>
      </rPr>
      <t xml:space="preserve">             </t>
    </r>
  </si>
  <si>
    <r>
      <t xml:space="preserve">ลักษณะสายทางเดิม   </t>
    </r>
    <r>
      <rPr>
        <sz val="14"/>
        <rFont val="DilleniaUPC"/>
        <family val="1"/>
        <charset val="222"/>
      </rPr>
      <t xml:space="preserve">    </t>
    </r>
  </si>
  <si>
    <t xml:space="preserve">ชนิดผิวทาง   </t>
  </si>
  <si>
    <r>
      <t>กว้าง</t>
    </r>
    <r>
      <rPr>
        <sz val="14"/>
        <rFont val="DilleniaUPC"/>
        <family val="1"/>
        <charset val="222"/>
      </rPr>
      <t xml:space="preserve">             </t>
    </r>
  </si>
  <si>
    <t xml:space="preserve">                                         </t>
  </si>
  <si>
    <t xml:space="preserve">ชนิดไหล่ทาง  </t>
  </si>
  <si>
    <t xml:space="preserve">กว้าง             </t>
  </si>
  <si>
    <t>ระยะทางดำเนินการซ่อมสร้าง ฯ</t>
  </si>
  <si>
    <t xml:space="preserve">ผิวทางกว้าง    </t>
  </si>
  <si>
    <t xml:space="preserve">ช่วง  กม.         </t>
  </si>
  <si>
    <t xml:space="preserve">ถึง  กม. </t>
  </si>
  <si>
    <t>Factor  F</t>
  </si>
  <si>
    <t>รวมค่างานก่อสร้าง</t>
  </si>
  <si>
    <t xml:space="preserve">   หมายเหตุ</t>
  </si>
  <si>
    <t xml:space="preserve"> - เงินล่วงหน้าจ่าย </t>
  </si>
  <si>
    <t xml:space="preserve"> - ดอกเบี้ยเงินกู้      </t>
  </si>
  <si>
    <t xml:space="preserve"> - เงินประกันผลงานหัก </t>
  </si>
  <si>
    <t xml:space="preserve"> - พื้นที่</t>
  </si>
  <si>
    <t>สรุป</t>
  </si>
  <si>
    <t xml:space="preserve">ระยะทางดำเนินการ       </t>
  </si>
  <si>
    <t>เฉลี่ยราคา  กม.ละ</t>
  </si>
  <si>
    <t>คณะกรรมการกำหนดราคากลาง</t>
  </si>
  <si>
    <t>(ลงชื่อ)</t>
  </si>
  <si>
    <t>.............................................</t>
  </si>
  <si>
    <t xml:space="preserve">ประธานกรรมการฯ  </t>
  </si>
  <si>
    <t xml:space="preserve">             (                                           ) </t>
  </si>
  <si>
    <t>กรรมการ ฯ</t>
  </si>
  <si>
    <t>1.1 งานถางป่าขุดตอ</t>
  </si>
  <si>
    <t>2.3 Asphaltic  Concrete</t>
  </si>
  <si>
    <t>3.3 Asphaltic  Concrete</t>
  </si>
  <si>
    <t xml:space="preserve"> -  Asphaltic Concrete (ปูบน Prime Coat)</t>
  </si>
  <si>
    <t xml:space="preserve"> -  Asphaltic Concrete (ปูบนTack Coat)</t>
  </si>
  <si>
    <t>ซม.</t>
  </si>
  <si>
    <t>11.งานดินตัด - ขึ้นรูปคันทาง</t>
  </si>
  <si>
    <t xml:space="preserve">     ดิน - ขุดตัด</t>
  </si>
  <si>
    <t>ลบ.ม (ปกติ)</t>
  </si>
  <si>
    <t>12. งานดินคันทาง</t>
  </si>
  <si>
    <t xml:space="preserve">     ขุด - ขน</t>
  </si>
  <si>
    <t xml:space="preserve">      บดทับ</t>
  </si>
  <si>
    <t>ดินถม</t>
  </si>
  <si>
    <t>1. งานวัสดุดินถม ( จากการขนส่ง )</t>
  </si>
  <si>
    <t>2. งานวัสดุคัดเลือก</t>
  </si>
  <si>
    <t>3. งานลูกรัง</t>
  </si>
  <si>
    <t>4. งานพื้นทาง</t>
  </si>
  <si>
    <t xml:space="preserve">        ขุดรื้อหินคลุก</t>
  </si>
  <si>
    <t xml:space="preserve">        N  =  ค่างาน Pavement In-Place Recycling</t>
  </si>
  <si>
    <t xml:space="preserve">        A  =  ปริมาณยางแอสฟัลต์</t>
  </si>
  <si>
    <t xml:space="preserve"> ตัน/ตร.ม.</t>
  </si>
  <si>
    <t xml:space="preserve">        Y  =  ราคายางแอสฟัลต์บวกค่าขนส่ง</t>
  </si>
  <si>
    <t xml:space="preserve">        S  =  ปริมาณปูนซีเมนต์</t>
  </si>
  <si>
    <t xml:space="preserve">        C  =  ราคาปริมาณปูนซีเมนต์บวกค่าขนส่ง</t>
  </si>
  <si>
    <t>ม.</t>
  </si>
  <si>
    <t xml:space="preserve"> กก./ลบ.ม.</t>
  </si>
  <si>
    <t xml:space="preserve">  - ค่าปูนซีเมนต์ + ค่าขนส่ง                                                    </t>
  </si>
  <si>
    <t xml:space="preserve">  - ปริมาณปูนซีเมนต์ต่อตารางเมตร</t>
  </si>
  <si>
    <t xml:space="preserve">          รวมค่างาน Pavement In-Place Recycling</t>
  </si>
  <si>
    <t xml:space="preserve">        N  =   [ Operating Cost + AY + SC ]</t>
  </si>
  <si>
    <t xml:space="preserve">อัตราการยุบตัว  </t>
  </si>
  <si>
    <t>5. งานขุดซ่อมผิวทางเดิม (Deep  Patch)</t>
  </si>
  <si>
    <t xml:space="preserve">  - ค่าวัสดุ</t>
  </si>
  <si>
    <t xml:space="preserve">       รวมค่าวัสดุ</t>
  </si>
  <si>
    <t xml:space="preserve">  - ค่าดำเนินการและค่าเสื่อมราคางานขุดรื้อพื้นทางเดิมแล้วบดทับ</t>
  </si>
  <si>
    <t xml:space="preserve">                รวมค่าวัสดุและขนส่ง</t>
  </si>
  <si>
    <t xml:space="preserve">                รวมค่าวัสดุและค่าแรงเป็นเงิน</t>
  </si>
  <si>
    <t xml:space="preserve">               รวมค่าวัสดุและขนส่ง</t>
  </si>
  <si>
    <t xml:space="preserve">               รวมค่าวัสดุและค่าแรงเป็นเงิน</t>
  </si>
  <si>
    <t xml:space="preserve">  - ค่าวัสดุหินคลุก</t>
  </si>
  <si>
    <t xml:space="preserve">                รวมค่าวัสดุ</t>
  </si>
  <si>
    <t xml:space="preserve">  - Tack Coat</t>
  </si>
  <si>
    <t xml:space="preserve">  - Hot Mix</t>
  </si>
  <si>
    <t xml:space="preserve">  - ค่าดำเนินการและค่าเสื่อมราคางาน Tack Coat ปูลาดและบดทับ</t>
  </si>
  <si>
    <t xml:space="preserve">        ความลึกในการขุดกัด                              =</t>
  </si>
  <si>
    <t xml:space="preserve">        Operating Cost                                  =</t>
  </si>
  <si>
    <t xml:space="preserve">        ปริมาณซีเมนต์ที่ใช้ (โดยน้ำหนัก)                  =</t>
  </si>
  <si>
    <t xml:space="preserve">        หน่วยน้ำหนักของวัสดุพื้นทางที่ขุดกัด             =</t>
  </si>
  <si>
    <t xml:space="preserve">   5.2.13 ป้ายจราจรแบบ ต71 - ต73</t>
  </si>
  <si>
    <t xml:space="preserve">   5.2.14 ป้ายจราจรแบบ ต74</t>
  </si>
  <si>
    <t xml:space="preserve">   5.2.15 ป้ายจราจรแบบ ต76</t>
  </si>
  <si>
    <t xml:space="preserve">   5.2.16 ป้ายจราจรแบบ ต77</t>
  </si>
  <si>
    <t xml:space="preserve">   5.2.17 ป้ายจราจรแบบ ต78</t>
  </si>
  <si>
    <t xml:space="preserve">   5.2.18 ป้ายจราจรแบบ น1</t>
  </si>
  <si>
    <t xml:space="preserve">   5.2.19 ป้ายจราจรแบบ น2 ( 1 แผ่นป้าย )</t>
  </si>
  <si>
    <t xml:space="preserve">   5.2.20 ป้ายจราจรแบบ น2 ( 2 แผ่นป้าย )</t>
  </si>
  <si>
    <t xml:space="preserve">   5.2.21 ป้ายจราจรแบบ น2 ( 3 แผ่นป้าย )</t>
  </si>
  <si>
    <t xml:space="preserve">   5.2.22 ป้ายจราจรแบบ น3</t>
  </si>
  <si>
    <t xml:space="preserve">   5.2.23 ป้ายจราจรแบบ น4</t>
  </si>
  <si>
    <t xml:space="preserve">   5.2.24 ป้ายจราจรแบบ น5</t>
  </si>
  <si>
    <t xml:space="preserve">7. งานปะซ่อมผิวทางเดิม (Skin Patch) </t>
  </si>
  <si>
    <t>10. งาน Pavement In-Place Recycling</t>
  </si>
  <si>
    <t xml:space="preserve">   10.1 สูตรค่างาน Pavement In-Place Recycling </t>
  </si>
  <si>
    <t xml:space="preserve">  10.2 ข้อมูลประกอบการคิดค่างาน</t>
  </si>
  <si>
    <t>1.2 งานเกลี่ยปรับไหล่ทางเดิมแล้วบดทับ ( ไหล่ลูกรัง )</t>
  </si>
  <si>
    <t>1.3 งานปรับดินเดิมแล้วบดทับ</t>
  </si>
  <si>
    <t>1.4 งาน Benching</t>
  </si>
  <si>
    <t>1.6 งานดินถม ( จากการขนส่ง )</t>
  </si>
  <si>
    <t>1.7 งานวัสดุคัดเลือกบดอัดแน่น</t>
  </si>
  <si>
    <t>1.8 งานรองพื้นทาง (ลูกรังบดอัดแน่น)</t>
  </si>
  <si>
    <t>1.9 หินคลุกบดอัดแน่น</t>
  </si>
  <si>
    <t>1.12 Deep  Patch</t>
  </si>
  <si>
    <t>1.13 งาน Pavement In - Place Recycling</t>
  </si>
  <si>
    <t>4.2 Rumble Strips</t>
  </si>
  <si>
    <t>4.3 ทางม้าลาย</t>
  </si>
  <si>
    <t xml:space="preserve">   5.2.29 ป้ายจราจรแบบ </t>
  </si>
  <si>
    <t xml:space="preserve">   5.2.30 ป้ายจราจรแบบ </t>
  </si>
  <si>
    <t xml:space="preserve">   5.2.31 ป้ายจราจรแบบ </t>
  </si>
  <si>
    <t xml:space="preserve">          ค่างาน Pavement In-Place Recycling</t>
  </si>
  <si>
    <t>\</t>
  </si>
  <si>
    <t>1.10 หินคลุกปรับระดับ (หลวม)</t>
  </si>
  <si>
    <t>ระยะทางดำเนินการ</t>
  </si>
  <si>
    <r>
      <t xml:space="preserve">ระยะทางตลอดสายทาง </t>
    </r>
    <r>
      <rPr>
        <sz val="14"/>
        <rFont val="DilleniaUPC"/>
        <family val="1"/>
        <charset val="222"/>
      </rPr>
      <t xml:space="preserve">    </t>
    </r>
  </si>
  <si>
    <t xml:space="preserve">        ขุดรื้อรองพื้นทาง(ลูกรัง)</t>
  </si>
  <si>
    <t xml:space="preserve">  - ค่าดำเนินการ,ค่าเสื่อมราคาผสมและบดทับ (หินคลุกใหม่)</t>
  </si>
  <si>
    <t xml:space="preserve">  - ค่าดำเนินการ,ค่าเสื่อมราคาผสมและบดทับรองพื้นทาง(หินคลุกเดิม+หินคลุกใหม่)</t>
  </si>
  <si>
    <t xml:space="preserve">   5.2.7 ป้ายจราจร ต61</t>
  </si>
  <si>
    <r>
      <t xml:space="preserve">   5.2.8 ป้ายจราจรแบบ ต63,ต66</t>
    </r>
    <r>
      <rPr>
        <sz val="12"/>
        <rFont val="DilleniaUPC"/>
        <family val="1"/>
        <charset val="222"/>
      </rPr>
      <t xml:space="preserve"> (2 แผ่นป้ายต่อชุด)</t>
    </r>
  </si>
  <si>
    <t xml:space="preserve">   5.2.9 ป้ายจราจรแบบ ต64,ต67</t>
  </si>
  <si>
    <t xml:space="preserve">   5.2.10 ป้ายจราจรแบบ ต65,ต68</t>
  </si>
  <si>
    <t xml:space="preserve">   5.2.11 ป้ายจราจรแบบ ต69</t>
  </si>
  <si>
    <t xml:space="preserve">   5.2.12 ป้ายจราจรแบบ ต70</t>
  </si>
  <si>
    <t xml:space="preserve">   5.2.6 ป้ายจราจร ต28-ต30,ต57,ต62</t>
  </si>
  <si>
    <t>ประมาณราคา      …………………………………………..</t>
  </si>
  <si>
    <t>ตรวจ     …………………………………………….</t>
  </si>
  <si>
    <t>ตรวจ……..................……………………………………….</t>
  </si>
  <si>
    <t>ประมาณราคา…………………………………….…………..</t>
  </si>
  <si>
    <t>( นายสมเกียรติ  ทองโต )</t>
  </si>
  <si>
    <t xml:space="preserve">  ผู้อำนวยการสำนักบำรุงทาง</t>
  </si>
  <si>
    <t>เห็นชอบ …………..…………………………………………….</t>
  </si>
  <si>
    <t>ฝนตกชุก 1*</t>
  </si>
  <si>
    <t>ฝนตกชุก 2**</t>
  </si>
  <si>
    <t>AC</t>
  </si>
  <si>
    <r>
      <t xml:space="preserve">   5.2.5 </t>
    </r>
    <r>
      <rPr>
        <sz val="14"/>
        <rFont val="DilleniaUPC"/>
        <family val="1"/>
      </rPr>
      <t>ป้ายจราจรแบบ ต1-ต27,ต31-ต56,ต58-ต60,ต75</t>
    </r>
  </si>
  <si>
    <t>อ. ..... จ. .....</t>
  </si>
  <si>
    <t>ราคากลาง (บาท)</t>
  </si>
  <si>
    <t>ราคาต่อหน่วย</t>
  </si>
  <si>
    <t>แบบที่ 9</t>
  </si>
  <si>
    <t>3 เส้นกว้าง 15 ซม.</t>
  </si>
  <si>
    <t xml:space="preserve">  =</t>
  </si>
  <si>
    <t>คิดเป็นราคาค่าก่อสร้าง</t>
  </si>
  <si>
    <t>รวมเป็นราคาค่าก่อสร้างประมาณ</t>
  </si>
  <si>
    <t>คิดเป็นราคากลาง</t>
  </si>
  <si>
    <t>0.00 - 1.50</t>
  </si>
  <si>
    <t>6.00 - 9.00</t>
  </si>
  <si>
    <r>
      <t xml:space="preserve">   5.2.27 </t>
    </r>
    <r>
      <rPr>
        <sz val="13.5"/>
        <rFont val="DilleniaUPC"/>
        <family val="1"/>
      </rPr>
      <t xml:space="preserve">ป้ายจราจรแบบ </t>
    </r>
    <r>
      <rPr>
        <sz val="13"/>
        <rFont val="DilleniaUPC"/>
        <family val="1"/>
      </rPr>
      <t>บ3-บ55+ต1-ต28,ต31-ต56,ต56-ต60,ต75</t>
    </r>
  </si>
  <si>
    <r>
      <t xml:space="preserve">   5.2.25 </t>
    </r>
    <r>
      <rPr>
        <sz val="14"/>
        <rFont val="DilleniaUPC"/>
        <family val="1"/>
      </rPr>
      <t xml:space="preserve">ป้ายจราจรแบบ น6 </t>
    </r>
  </si>
  <si>
    <r>
      <t xml:space="preserve">   5.2.26 </t>
    </r>
    <r>
      <rPr>
        <sz val="14"/>
        <rFont val="DilleniaUPC"/>
        <family val="1"/>
      </rPr>
      <t>ป้ายจราจรแบบ น7 - น20</t>
    </r>
  </si>
  <si>
    <t>1.5 งานดินตัด</t>
  </si>
  <si>
    <t>รูปแบบที่ 2</t>
  </si>
  <si>
    <t>251..13</t>
  </si>
  <si>
    <t>122..76</t>
  </si>
  <si>
    <r>
      <t xml:space="preserve">   5.2.28 ป้ายจราจรแบบ </t>
    </r>
    <r>
      <rPr>
        <sz val="13"/>
        <rFont val="DilleniaUPC"/>
        <family val="1"/>
      </rPr>
      <t>บ3-บ55 + ต71-ต73</t>
    </r>
  </si>
  <si>
    <t xml:space="preserve">   5.2.32 ป้ายจราจรแบบ </t>
  </si>
  <si>
    <t xml:space="preserve">   5.2.33 หลักแนวโค้ง ค.ส.ล.</t>
  </si>
  <si>
    <t xml:space="preserve">   5.2.34 หลักกิโลเมตร</t>
  </si>
  <si>
    <t xml:space="preserve">   5.2.35 หลักเขตทาง</t>
  </si>
  <si>
    <t xml:space="preserve">   5.2.36 หลักนำทาง</t>
  </si>
  <si>
    <t xml:space="preserve">   5.2.37 Guard  Rail บริเวณทางโค้งหรือคอสะพาน</t>
  </si>
  <si>
    <t xml:space="preserve">   5.2.38 Guard  Rail บริเวณทางตรง</t>
  </si>
  <si>
    <t xml:space="preserve">   5.2.39 ตีเส้นทางรถไฟตัดผ่าน</t>
  </si>
  <si>
    <t xml:space="preserve">   5.2.40 ติดตั้งปุ่มสะท้อนแสง ( 2 หน้า )</t>
  </si>
  <si>
    <t xml:space="preserve">   5.2.41 ติดตั้งสัญญาณไฟกระพริบ</t>
  </si>
  <si>
    <t xml:space="preserve">   5.2.42 ปรับปรุงสะพาน คสล</t>
  </si>
  <si>
    <t xml:space="preserve">   5.2.44 Timber Barricade</t>
  </si>
  <si>
    <t xml:space="preserve">   5.2.43 ป้ายจราจรระหว่างการก่อสร้าง</t>
  </si>
  <si>
    <t>ต้น</t>
  </si>
  <si>
    <t>... รวมค่างานต้นทุน</t>
  </si>
  <si>
    <t>ค่าดำเนินการและค่าเสื่อมราคา</t>
  </si>
  <si>
    <t xml:space="preserve">ค่ายาง CSS-1 (0.8 x Y1 /1000) </t>
  </si>
  <si>
    <t>9.2 งาน PRIME COAT บนพื้นทางผสมวัสดุซีเมนต์</t>
  </si>
  <si>
    <t>11.1 ใช้อัตราเดียวกับงานผิวจราจร</t>
  </si>
  <si>
    <t>11. งานไหล่ทาง</t>
  </si>
  <si>
    <t>ปูบน Tack Coat</t>
  </si>
  <si>
    <t>ปูบน Prime Coat</t>
  </si>
  <si>
    <t>ค่าดำเนินการและค่าเสื่อมราคาเมื่อบดทับ</t>
  </si>
  <si>
    <t>ตร.ม./ตัน )</t>
  </si>
  <si>
    <t>ซม.      (</t>
  </si>
  <si>
    <t>รวมค่าวัสดุ+ค่าขนส่ง</t>
  </si>
  <si>
    <t>ค่าขนส่งACจาก Plant ถึงหน้างาน</t>
  </si>
  <si>
    <t xml:space="preserve"> - Asphaltic  Concrete =(0.052(Yc) + 0.74(Xc) + ค่าเสื่อมราคาผสม)</t>
  </si>
  <si>
    <t>ลบ.ม. ละ</t>
  </si>
  <si>
    <t>หินผสมแอสฟัลท์ติกคอนกรีตรวมค่าขนส่ง</t>
  </si>
  <si>
    <t>ค่าขนส่งหินจากแหล่งถึงโรงงาน</t>
  </si>
  <si>
    <t>หินผสมแอสฟัลท์ติกคอนกรีต</t>
  </si>
  <si>
    <t>หินผสมแอสฟัลท์ติกคอนกรีต =  0.48*(ราคาหินฝุ่นที่แหล่ง)+0.15*(ราคาหิน 3/4" ที่แหล่ง)+0.27*(ราคาหิน 1/2"ที่แหล่ง)+0.1*(ราคาหิน 3/8"ที่แหล่ง)</t>
  </si>
  <si>
    <t xml:space="preserve">10.2.1 กรณีปริมาณงานน้อยกว่า 10,000 ตัน </t>
  </si>
  <si>
    <t xml:space="preserve">        10.2  งานผิวทางแบบ Asphaltic  Concrete</t>
  </si>
  <si>
    <t>10. งานผิวทาง</t>
  </si>
  <si>
    <t>(...26+...27)</t>
  </si>
  <si>
    <t>ราคาหิน 3/8 " รวมค่าขนส่งถึงหน้างาน</t>
  </si>
  <si>
    <t>ราคาหิน 3/4 " รวมค่าขนส่งถึงหน้างาน</t>
  </si>
  <si>
    <t>(Xs)</t>
  </si>
  <si>
    <t>ราคาหินฝุ่น  รวมค่าขนส่งถึงหน้างาน</t>
  </si>
  <si>
    <t>(X)</t>
  </si>
  <si>
    <t>ราคาหิน  1/2"  รวมค่าขนส่งถึงหน้างาน</t>
  </si>
  <si>
    <t>ราคาหิน 3/8 " ที่แหล่ง</t>
  </si>
  <si>
    <t>ราคาหิน 3/4 " ที่แหล่ง</t>
  </si>
  <si>
    <t>ราคาหินฝุ่น   ที่แหล่ง</t>
  </si>
  <si>
    <t>ราคาหิน 1/2"  ที่แหล่ง</t>
  </si>
  <si>
    <t>ค่าขนส่งหินจากแหล่งถึงหน้างาน</t>
  </si>
  <si>
    <t>ราคาวัสดุ AGGREGATE</t>
  </si>
  <si>
    <t>(Yc)</t>
  </si>
  <si>
    <t>ตันละ</t>
  </si>
  <si>
    <t>ค่ายางแอสฟัลท์ AC 60-70  รวมค่าขนส่ง</t>
  </si>
  <si>
    <t>ค่ายางแอสฟัลท์ AC 60-70 ที่โรงงาน</t>
  </si>
  <si>
    <t>(Y)</t>
  </si>
  <si>
    <t>ค่ายางแอสฟัลท์ CRS-2   รวมค่าขนส่ง</t>
  </si>
  <si>
    <t>(Yp)</t>
  </si>
  <si>
    <t>ค่ายางแอสฟัลท์ CSS-1   รวมค่าขนส่ง</t>
  </si>
  <si>
    <t>(Ys)</t>
  </si>
  <si>
    <t>ค่ายางแอสฟัลท์ CSS-1h   รวมค่าขนส่ง</t>
  </si>
  <si>
    <t>ค่ายางแอสฟัลท์ CRS-2  ที่โรงงาน</t>
  </si>
  <si>
    <t>ค่ายางแอสฟัลท์ CSS-1  ที่โรงงาน</t>
  </si>
  <si>
    <t>ค่ายางแอสฟัลท์ CSS-1h  ที่โรงงาน</t>
  </si>
  <si>
    <t>ราคาวัสดุแอสฟัลท์</t>
  </si>
  <si>
    <t>(แน่น)</t>
  </si>
  <si>
    <t>ค่างาน ลบ.ม. ละ</t>
  </si>
  <si>
    <t>(...24+...25)</t>
  </si>
  <si>
    <t>อัตราส่วนการยุบตัวเมื่อบดทับ (...23) x 1.5</t>
  </si>
  <si>
    <t>... รวมค่าวัสดุที่หน้างาน</t>
  </si>
  <si>
    <t>ค่าขนส่งวัสดุจากแหล่งถึงหน้างาน</t>
  </si>
  <si>
    <t>(หลวม)</t>
  </si>
  <si>
    <t>ค่าวัสดุที่แหล่ง</t>
  </si>
  <si>
    <t>ค่างาน ตร.ม. ละ</t>
  </si>
  <si>
    <t>... ค่าดำเนินการและค่าเสื่อมราคา</t>
  </si>
  <si>
    <t>กรอกข้อมูลเฉพาะในช่องสีขาวเท่านั้น</t>
  </si>
  <si>
    <t>วันที่ประมาณราคา</t>
  </si>
  <si>
    <t>ราคาน้ำมัน</t>
  </si>
  <si>
    <t>ชื่อโครงการ</t>
  </si>
  <si>
    <t>หมู่ที่</t>
  </si>
  <si>
    <t>ตำบล</t>
  </si>
  <si>
    <t>ขนส่งลูกรัง,หินคลุก</t>
  </si>
  <si>
    <t>อำเภอ</t>
  </si>
  <si>
    <t>ตรวจสอบ</t>
  </si>
  <si>
    <t>ผิวจราจรกว้าง</t>
  </si>
  <si>
    <t>ถนนยาว</t>
  </si>
  <si>
    <t>หัวหน้าฝ่ายสำรวจและออกแบบ</t>
  </si>
  <si>
    <t>เห็นชอบ</t>
  </si>
  <si>
    <t>ผู้อำนวยการกองช่าง</t>
  </si>
  <si>
    <t>ลักษณะสายทาง</t>
  </si>
  <si>
    <t xml:space="preserve"> </t>
  </si>
  <si>
    <t>ลำดับที่</t>
  </si>
  <si>
    <t>ราคาทุน</t>
  </si>
  <si>
    <t>ราคา/หน่วย</t>
  </si>
  <si>
    <t>ราคากลาง</t>
  </si>
  <si>
    <t>x Factor F</t>
  </si>
  <si>
    <t>งานดินคันทาง</t>
  </si>
  <si>
    <t>งานป้ายโครงการ</t>
  </si>
  <si>
    <t>ป้ายโครงการ(ป้ายเหล็ก)</t>
  </si>
  <si>
    <t>รวมทั้งสิ้นเป็นเงิน</t>
  </si>
  <si>
    <t>ค่า Factor F งานก่อสร้างทาง</t>
  </si>
  <si>
    <t>ใช้ราคาวัสดุอ้างอิง สระบุรี เดือน</t>
  </si>
  <si>
    <t>ใช้ราคาวัสดุอ้างอิง กทม. เดือน</t>
  </si>
  <si>
    <t>รวม
ค่าก่อสร้าง
(บาท)</t>
  </si>
  <si>
    <t>ประเภทงานทาง</t>
  </si>
  <si>
    <t xml:space="preserve"> - ดอกเบี้ยเงินกู้</t>
  </si>
  <si>
    <t xml:space="preserve"> - ภาษี</t>
  </si>
  <si>
    <t xml:space="preserve"> - เงินล่วงหน้าจ่าย</t>
  </si>
  <si>
    <t xml:space="preserve"> - เงินประกันผลงานหัก</t>
  </si>
  <si>
    <t xml:space="preserve">  </t>
  </si>
  <si>
    <t xml:space="preserve">(ตัวอักษร) </t>
  </si>
  <si>
    <t>ราคาเฉลี่ย ต่อ ตร.ม.</t>
  </si>
  <si>
    <t>บาทต่อตารางเมตร</t>
  </si>
  <si>
    <t>สูตรคำนวณวัสดุงานถนนลาดยาง</t>
  </si>
  <si>
    <t>กรณีไม่มีไหล่ทาง</t>
  </si>
  <si>
    <t>ความกว้างผิวจราจร</t>
  </si>
  <si>
    <t>ไหล่ทางกว้าง(S)</t>
  </si>
  <si>
    <t>ไหล่ทางกว้าง(2S)</t>
  </si>
  <si>
    <t>ความกว้างชั้นหินคลุก</t>
  </si>
  <si>
    <t>ความหนาชั้นหินคลุก</t>
  </si>
  <si>
    <t>ความกว้าง (2XSide Slope)</t>
  </si>
  <si>
    <t>ความกว้างชั้นลูกรัง</t>
  </si>
  <si>
    <t>ความหนาชั้นลูกรัง</t>
  </si>
  <si>
    <t>ความกว้าง (2*Side Slope)</t>
  </si>
  <si>
    <t>ความกว้างถนนเดิม</t>
  </si>
  <si>
    <t>พื้นที่บดอัดถนนเดิม</t>
  </si>
  <si>
    <t>(ม.)</t>
  </si>
  <si>
    <t>ถนนกว้าง 4.00 ม.</t>
  </si>
  <si>
    <t>= ความยาวถนน x 0.98</t>
  </si>
  <si>
    <t>ถนนกว้าง 5.00 ม.</t>
  </si>
  <si>
    <t>= ความยาวถนน x 1.18</t>
  </si>
  <si>
    <t>ถนนกว้าง 6.00 ม.</t>
  </si>
  <si>
    <t>= ความยาวถนน x 1.38</t>
  </si>
  <si>
    <t>หินคลุกรองพื้นทาง</t>
  </si>
  <si>
    <t>ปริมาตรลูกรัง</t>
  </si>
  <si>
    <t>= ความยาวถนน x 0.66</t>
  </si>
  <si>
    <t>(ตร.ม.)</t>
  </si>
  <si>
    <t>(ลบ.ม.)</t>
  </si>
  <si>
    <t>= ความยาวถนน x 0.81</t>
  </si>
  <si>
    <t>= ความยาวถนน x 0.96</t>
  </si>
  <si>
    <t>กรณีมีไหล่ทาง(ไหล่ทางชนิดหิคลุก)</t>
  </si>
  <si>
    <t>พื้นที่หน้าตัดหินคลุก</t>
  </si>
  <si>
    <t>ไหล่ข้างละ 0.50 ม.</t>
  </si>
  <si>
    <t>ไหล่ข้างละ 1.00 ม.</t>
  </si>
  <si>
    <t>= ความยาวถนน x 1.58</t>
  </si>
  <si>
    <t>= ความยาวถนน x 1.78</t>
  </si>
  <si>
    <t>หินคลุกรองพื้นทาง ใช้กรณีเดียวกับไม่มีไหล่ทาง</t>
  </si>
  <si>
    <t>หินคลุกไหล่ทาง</t>
  </si>
  <si>
    <t>= ความยาวถนน x 0.15</t>
  </si>
  <si>
    <t>= ความยาวถนน x 0.30</t>
  </si>
  <si>
    <t xml:space="preserve">สีเทอร์โบ </t>
  </si>
  <si>
    <t>สีเหลือง</t>
  </si>
  <si>
    <t>- ในเขตชุมชน = ความยาว/4 x 0.10</t>
  </si>
  <si>
    <t>- นอกเขตชุมชน = ความยาว/12 x 0.11x 3</t>
  </si>
  <si>
    <t>สีขาว</t>
  </si>
  <si>
    <t>= ความยาวถนน x 2 x 0.10</t>
  </si>
  <si>
    <t>สีเส้นจราจร</t>
  </si>
  <si>
    <t>= ความยาวถนน x 2 x 0.11</t>
  </si>
  <si>
    <t>เครื่องจักรกลงานถนนลาดยาง</t>
  </si>
  <si>
    <t>ถ้าถนนกว้าง 3.00 - 5.00 เมตร ให้ใช้ชุดเครื่องจักร 1 วันต่อ 500 เมตร</t>
  </si>
  <si>
    <t>ถ้าถนนกว้าง 6.00 เมตร ให้ใช้ชุดเครื่องจักร 2 วันต่อ 500 เมตร</t>
  </si>
  <si>
    <t>ไหล่กว้าง</t>
  </si>
  <si>
    <t>ท่อระบายน้ำ</t>
  </si>
  <si>
    <t>งานขยายคันทาง</t>
  </si>
  <si>
    <t>ไม่วางท่อ</t>
  </si>
  <si>
    <t>ข้างละ</t>
  </si>
  <si>
    <t>0.00</t>
  </si>
  <si>
    <t>0.25</t>
  </si>
  <si>
    <t>0.50</t>
  </si>
  <si>
    <t>1.00</t>
  </si>
  <si>
    <t>ปริมาณ</t>
  </si>
  <si>
    <t>แบบ</t>
  </si>
  <si>
    <t>เสริมชั้นพื้นทาง</t>
  </si>
  <si>
    <t>งาน</t>
  </si>
  <si>
    <t>งานรองพื้นทาง (หรือลูกรัง)</t>
  </si>
  <si>
    <t>หินผสมคอนกรีต</t>
  </si>
  <si>
    <t>หิน 1/2"</t>
  </si>
  <si>
    <t>หิน 3/4"</t>
  </si>
  <si>
    <t xml:space="preserve">หิน 3/8" </t>
  </si>
  <si>
    <t>ยาง CSS-1h</t>
  </si>
  <si>
    <t xml:space="preserve">ยาง CRS-2 </t>
  </si>
  <si>
    <t xml:space="preserve">ยาง AC 60-70 </t>
  </si>
  <si>
    <t>ทรายถมที่ (หลังท่อ)</t>
  </si>
  <si>
    <t>ทรายหยาบ(ผสมปูน)</t>
  </si>
  <si>
    <t>ลวดผูกเหล็ก</t>
  </si>
  <si>
    <t>กก.</t>
  </si>
  <si>
    <t>ตะปู</t>
  </si>
  <si>
    <t>ไม้แบบ</t>
  </si>
  <si>
    <t>ลบ.ฟ.</t>
  </si>
  <si>
    <t>สีเทอร์โมฯ สีเหลือง ,สีขาว</t>
  </si>
  <si>
    <t>ราคารวมค่าขนส่งถึงหน้างาน</t>
  </si>
  <si>
    <t>สีน้ำมัน,สีพลาสติก (ทาภายนอก)</t>
  </si>
  <si>
    <t>แกลลอน</t>
  </si>
  <si>
    <t>ค่าแรงผสมคอนกรีตพร้อมค่าแรงเทคอนกรีต</t>
  </si>
  <si>
    <t>ขนส่งวัสดุแอสฟัสท์ ถึงหน้างาน</t>
  </si>
  <si>
    <t xml:space="preserve">  - ค่าวัสดุที่แหล่ง (รวมราคาค่าเสื่อมราคาขุดตัก)</t>
  </si>
  <si>
    <t>ขนส่งวัสดุคัดเลือก</t>
  </si>
  <si>
    <t>(หินคลุก)</t>
  </si>
  <si>
    <t>ส่วนราชการ  กองช่าง  องค์การบริหารส่วนจังหวัดสระบุรี</t>
  </si>
  <si>
    <t>องค์การบริหารส่วนจังหวัดสระบุรี</t>
  </si>
  <si>
    <t xml:space="preserve">ระยะทางตลอดสายทาง  </t>
  </si>
  <si>
    <t>งานเกลี่ยไหล่ทาง (คิดความยาวสองข้าง ๆละ 1.00 เมตร * ยาว</t>
  </si>
  <si>
    <t>ค่าเสือมราคาผสม      =</t>
  </si>
  <si>
    <t>0.052(Yc)                =</t>
  </si>
  <si>
    <t xml:space="preserve"> 0.74(Xc)                 =</t>
  </si>
  <si>
    <t>9. งานลาดยาง</t>
  </si>
  <si>
    <t xml:space="preserve">     9.1 งานลาดยาง PRIME COAT</t>
  </si>
  <si>
    <t xml:space="preserve">     9.2  งานลาดยาง TACK COAT</t>
  </si>
  <si>
    <t xml:space="preserve">ค่ายาง CRS-2 (0.2 x Y /1000) </t>
  </si>
  <si>
    <t>(...28+...29)</t>
  </si>
  <si>
    <t>งาน Pavement In - Place Recycling</t>
  </si>
  <si>
    <t>ตาราง Factor F งานก่อสร้างทาง</t>
  </si>
  <si>
    <r>
      <t>ประเภทงาน</t>
    </r>
    <r>
      <rPr>
        <sz val="11"/>
        <rFont val="DilleniaUPC"/>
        <family val="1"/>
        <charset val="222"/>
      </rPr>
      <t xml:space="preserve">            </t>
    </r>
  </si>
  <si>
    <r>
      <t>เจ้าของโครงการ</t>
    </r>
    <r>
      <rPr>
        <sz val="11"/>
        <rFont val="DilleniaUPC"/>
        <family val="1"/>
        <charset val="222"/>
      </rPr>
      <t xml:space="preserve">       </t>
    </r>
  </si>
  <si>
    <r>
      <t>6. งานพื้นทาง</t>
    </r>
    <r>
      <rPr>
        <b/>
        <sz val="11"/>
        <color indexed="10"/>
        <rFont val="DilleniaUPC"/>
        <family val="1"/>
      </rPr>
      <t xml:space="preserve"> ( หินคลุกปรับระดับ )</t>
    </r>
  </si>
  <si>
    <t>ความหนาของผิว AC</t>
  </si>
  <si>
    <t>ปูนซีเมนต์</t>
  </si>
  <si>
    <t xml:space="preserve">     </t>
  </si>
  <si>
    <t>งานหินคลุกปรับเสริมระดับ(หลวม)</t>
  </si>
  <si>
    <t>(โดยวิธี  Pavement In-Place Recycling)</t>
  </si>
  <si>
    <t>ระยะทาง</t>
  </si>
  <si>
    <t>กิโลเมตร</t>
  </si>
  <si>
    <t>(ในกรณีที่ไม่สามารถดำเนินการได้ตามรายการข้างต้น ให้ทำการซ่อมสร้างผิวทาง Asphaltic Concrete</t>
  </si>
  <si>
    <t>ได้ตามสภาพพื้นที่โดยให้อยู่ในดุลพินิจของผู้ควบคุมงานแต่จะต้องได้ปริมาณงาน</t>
  </si>
  <si>
    <t>ไม่น้อยกว่าที่กำหนดในแบบก่อสร้าง)</t>
  </si>
  <si>
    <t>สารบัญ</t>
  </si>
  <si>
    <t>แผ่นที่</t>
  </si>
  <si>
    <t>แผนที่สังเขป</t>
  </si>
  <si>
    <t>1 แผ่น</t>
  </si>
  <si>
    <t>แบบแสดงรูปตัดขวางงานซ่อมสร้างผิวทาง Asphaltic Concrete</t>
  </si>
  <si>
    <t>แบบมาตรฐานที่ใช้ประกอบด้วย</t>
  </si>
  <si>
    <t xml:space="preserve">          - แบบมาตรฐานงานบำรุงรักษาทาง  จำนวน    1    เล่ม</t>
  </si>
  <si>
    <t>สำรวจ</t>
  </si>
  <si>
    <t>เขียนแบบ</t>
  </si>
  <si>
    <t>แบบแสดง</t>
  </si>
  <si>
    <t>จำนวน  4  แผ่น</t>
  </si>
  <si>
    <t>Side Slope</t>
  </si>
  <si>
    <t>2 .5%</t>
  </si>
  <si>
    <t xml:space="preserve">ระดับดินเดิม </t>
  </si>
  <si>
    <t>ทำ  Prime  Coat  พื้นทาง</t>
  </si>
  <si>
    <t>ทำการขุดกัดผิวทางเดิม , พื้นทางและไหล่ทางเดิม โดยวิธี Pavement In-Place Recycling</t>
  </si>
  <si>
    <t>บดอัดแน่นไม่น้อยกว่า 95 % Modified Proctor Density และมีค่าแรงอัด (Unconfined Compressive</t>
  </si>
  <si>
    <t>Strength) ไม่น้อยกว่า 17.5 KSC.</t>
  </si>
  <si>
    <t>เสริมหินคลุกปรับระดับพื้นทางและพื้นไหล่ทางเดิมบดอัดแน่น</t>
  </si>
  <si>
    <t>โครงสร้างทางเดิม</t>
  </si>
  <si>
    <t>NOT  TO  SCALE</t>
  </si>
  <si>
    <t>ปริมาณงาน</t>
  </si>
  <si>
    <t>วิศวกร</t>
  </si>
  <si>
    <t xml:space="preserve">ช่วงที่ 1 </t>
  </si>
  <si>
    <t>ช่วงที่ 2</t>
  </si>
  <si>
    <t>ช่วงที่ 3</t>
  </si>
  <si>
    <t>กม.ที่</t>
  </si>
  <si>
    <t>ถึง</t>
  </si>
  <si>
    <t xml:space="preserve">แผ่นที่  2 / </t>
  </si>
  <si>
    <t>4+889</t>
  </si>
  <si>
    <t>รายละเอียดประกอบการปรับปรุงถนน Asphaltic Concrete</t>
  </si>
  <si>
    <t>ค่าขนส่งลูกรัง</t>
  </si>
  <si>
    <t xml:space="preserve">     ขนาดเบา</t>
  </si>
  <si>
    <r>
      <t>24.50,</t>
    </r>
    <r>
      <rPr>
        <sz val="11"/>
        <color indexed="9"/>
        <rFont val="DilleniaUPC"/>
        <family val="1"/>
      </rPr>
      <t xml:space="preserve"> 25.50,</t>
    </r>
    <r>
      <rPr>
        <sz val="11"/>
        <color indexed="9"/>
        <rFont val="DilleniaUPC"/>
        <family val="1"/>
        <charset val="222"/>
      </rPr>
      <t xml:space="preserve"> </t>
    </r>
    <r>
      <rPr>
        <sz val="11"/>
        <color indexed="9"/>
        <rFont val="DilleniaUPC"/>
        <family val="1"/>
      </rPr>
      <t>26.50,27.50, 28.50, 29.50</t>
    </r>
    <r>
      <rPr>
        <sz val="11"/>
        <color indexed="9"/>
        <rFont val="DilleniaUPC"/>
        <family val="1"/>
        <charset val="222"/>
      </rPr>
      <t xml:space="preserve">, </t>
    </r>
    <r>
      <rPr>
        <sz val="11"/>
        <color indexed="9"/>
        <rFont val="DilleniaUPC"/>
        <family val="1"/>
      </rPr>
      <t>30.50, 31.50 ,32.50</t>
    </r>
  </si>
  <si>
    <r>
      <rPr>
        <b/>
        <sz val="11"/>
        <color indexed="9"/>
        <rFont val="DilleniaUPC"/>
        <family val="1"/>
      </rPr>
      <t>ฝนตกชุก 1*</t>
    </r>
    <r>
      <rPr>
        <sz val="11"/>
        <color indexed="9"/>
        <rFont val="DilleniaUPC"/>
        <family val="1"/>
        <charset val="222"/>
      </rPr>
      <t xml:space="preserve">    = จันทบุรี  ,ชุมพร ,เชียงราย ,ตรัง ,นครพนม ,นครศรีธรรมราช ,ปราจีนบุรี ,ปัตตานี ,พัทลุง ,สงขลา ,สตูล ,สุราษฎร์ธานี ,หนองคาย</t>
    </r>
  </si>
  <si>
    <r>
      <rPr>
        <b/>
        <sz val="11"/>
        <color indexed="9"/>
        <rFont val="DilleniaUPC"/>
        <family val="1"/>
      </rPr>
      <t>ฝนตกชุก 2**</t>
    </r>
    <r>
      <rPr>
        <sz val="11"/>
        <color indexed="9"/>
        <rFont val="DilleniaUPC"/>
        <family val="1"/>
        <charset val="222"/>
      </rPr>
      <t xml:space="preserve">   = ตราด ,นราธิวาส ,พังงา ,ภูเก็ต ,ยะลา ,ระนอง</t>
    </r>
  </si>
  <si>
    <t>รหัส Unprotect      000</t>
  </si>
  <si>
    <t>กรอกข้อความ หรือ ตัวเลข  เฉพาะในช่องพื้น สีเหลือง</t>
  </si>
  <si>
    <t xml:space="preserve"> งานขุดซ่อมผิวทางเดิม (Deep  Patch)</t>
  </si>
  <si>
    <t>ตารางปริมาณงาน</t>
  </si>
  <si>
    <t>รูปตัดตามขวาง Asphaltic Concrete</t>
  </si>
  <si>
    <t>4+000</t>
  </si>
  <si>
    <t>5+573</t>
  </si>
  <si>
    <t>ความลึก  0.20 ม.  โดยผสมปูนซีเมนต์ปอร์แลนด์ประเภทหนึ่ง ไม่น้อยกว่า 3.5 % โดยน้ำหนัก</t>
  </si>
  <si>
    <t>หน.ฝ่ายก่อสร้างและซ่อมบำรุง</t>
  </si>
  <si>
    <t>นางสรารัตน์ สุขมะดัน</t>
  </si>
  <si>
    <t>จำนวน  3  แผ่น</t>
  </si>
  <si>
    <t>แผ่นที่  3 /3</t>
  </si>
  <si>
    <t>สำรวจ/ออกแบบ</t>
  </si>
  <si>
    <t>หินคลุกปรับเสริมระดับ</t>
  </si>
  <si>
    <t>กว้าง</t>
  </si>
  <si>
    <t>ยาว</t>
  </si>
  <si>
    <t>หนา</t>
  </si>
  <si>
    <t>0+800</t>
  </si>
  <si>
    <t>0+825</t>
  </si>
  <si>
    <t>0+850</t>
  </si>
  <si>
    <t>0+875</t>
  </si>
  <si>
    <t>0+900</t>
  </si>
  <si>
    <t>0+925</t>
  </si>
  <si>
    <t>0+950</t>
  </si>
  <si>
    <t>0+975</t>
  </si>
  <si>
    <t>1+000</t>
  </si>
  <si>
    <t>1+025</t>
  </si>
  <si>
    <t>1+050</t>
  </si>
  <si>
    <t>1+075</t>
  </si>
  <si>
    <t>1+100</t>
  </si>
  <si>
    <t>1+125</t>
  </si>
  <si>
    <t>1+150</t>
  </si>
  <si>
    <t>1+175</t>
  </si>
  <si>
    <t>1+200</t>
  </si>
  <si>
    <t>1+225</t>
  </si>
  <si>
    <t>1+250</t>
  </si>
  <si>
    <t>1+275</t>
  </si>
  <si>
    <t>1+300</t>
  </si>
  <si>
    <t>1+325</t>
  </si>
  <si>
    <t>1+350</t>
  </si>
  <si>
    <t>1+375</t>
  </si>
  <si>
    <t>1+400</t>
  </si>
  <si>
    <t>1+425</t>
  </si>
  <si>
    <t>1+450</t>
  </si>
  <si>
    <t>1+475</t>
  </si>
  <si>
    <t>1+500</t>
  </si>
  <si>
    <t>1+525</t>
  </si>
  <si>
    <t>1+550</t>
  </si>
  <si>
    <t>1+575</t>
  </si>
  <si>
    <t>1+600</t>
  </si>
  <si>
    <t>1+625</t>
  </si>
  <si>
    <t>1+650</t>
  </si>
  <si>
    <t>1+675</t>
  </si>
  <si>
    <t>1+700</t>
  </si>
  <si>
    <t>1+725</t>
  </si>
  <si>
    <t>1+750</t>
  </si>
  <si>
    <t>1+775</t>
  </si>
  <si>
    <t>1+800</t>
  </si>
  <si>
    <t>1+825</t>
  </si>
  <si>
    <t>1+850</t>
  </si>
  <si>
    <t>1+875</t>
  </si>
  <si>
    <t>1+900</t>
  </si>
  <si>
    <t>1+925</t>
  </si>
  <si>
    <t>1+950</t>
  </si>
  <si>
    <t>1+975</t>
  </si>
  <si>
    <t>2+000</t>
  </si>
  <si>
    <t>2+025</t>
  </si>
  <si>
    <t>2+050</t>
  </si>
  <si>
    <t>2+075</t>
  </si>
  <si>
    <t>2+100</t>
  </si>
  <si>
    <t>2+125</t>
  </si>
  <si>
    <t>2+150</t>
  </si>
  <si>
    <t>2+175</t>
  </si>
  <si>
    <t>2+200</t>
  </si>
  <si>
    <t>2+225</t>
  </si>
  <si>
    <t>2+250</t>
  </si>
  <si>
    <t>2+275</t>
  </si>
  <si>
    <t>2+300</t>
  </si>
  <si>
    <t>2+325</t>
  </si>
  <si>
    <t>2+350</t>
  </si>
  <si>
    <t>2+375</t>
  </si>
  <si>
    <t>2+400</t>
  </si>
  <si>
    <t>2+425</t>
  </si>
  <si>
    <t>2+450</t>
  </si>
  <si>
    <t>2+475</t>
  </si>
  <si>
    <t>2+500</t>
  </si>
  <si>
    <t>พื้นที่ทำการ DEEP</t>
  </si>
  <si>
    <t>หน.ก่อสร้างและซ่อมบำรุง</t>
  </si>
  <si>
    <t>งานโครงสร้างทาง</t>
  </si>
  <si>
    <t>งาน Tack  Coat</t>
  </si>
  <si>
    <t>Asphaltic  Concrete</t>
  </si>
  <si>
    <t>5 ซม.</t>
  </si>
  <si>
    <t>3 ซม.</t>
  </si>
  <si>
    <t>ขุดลึก 20  ซม.</t>
  </si>
  <si>
    <t>หนา 5 ซม.</t>
  </si>
  <si>
    <t>รวมประมาณ</t>
  </si>
  <si>
    <t xml:space="preserve">ความหนา </t>
  </si>
  <si>
    <t>2+515</t>
  </si>
  <si>
    <t xml:space="preserve">ค่ายาง CSS-1 (0.8 x Yp /1000) </t>
  </si>
  <si>
    <t>…………..(1)</t>
  </si>
  <si>
    <t>ค่าวัสดุ     (3)</t>
  </si>
  <si>
    <t xml:space="preserve">ค่าวัสดุ     (4) </t>
  </si>
  <si>
    <t>ค่าวัสดุ     (5)</t>
  </si>
  <si>
    <t>……………(6)</t>
  </si>
  <si>
    <t>ค่าวัสดุ     (7)</t>
  </si>
  <si>
    <t>(6)+(7)</t>
  </si>
  <si>
    <t xml:space="preserve">ค่าขนส่งยางแอสฟัลท์ถึง Plant </t>
  </si>
  <si>
    <t>ขนด้วยรถบรรทุก 10 ล้อ + ลากพ่วง</t>
  </si>
  <si>
    <t xml:space="preserve">เส้นทางขนส่ง ทางราบ    </t>
  </si>
  <si>
    <t>2. หินคลุกปรับระดับ</t>
  </si>
  <si>
    <t>หนองแค</t>
  </si>
  <si>
    <t>คชสิทธิ์</t>
  </si>
  <si>
    <t>งานเส้นหยุด</t>
  </si>
  <si>
    <t xml:space="preserve">ค่ายาง CSS-1 (1.0 x Yp /1000) </t>
  </si>
  <si>
    <t>32..27</t>
  </si>
  <si>
    <t>งาน Prime Coat บนพื้นทางผสมวัสดุซีเมนต์</t>
  </si>
  <si>
    <t>งานหินคลุกปรับเสริมระดับ</t>
  </si>
  <si>
    <t>RUMBLE STRIPS</t>
  </si>
  <si>
    <t>อบต.</t>
  </si>
  <si>
    <t>ชะอม</t>
  </si>
  <si>
    <t>ชำผักแพว</t>
  </si>
  <si>
    <t>ตาลเดี่ยว</t>
  </si>
  <si>
    <t>ท่าคล้อ</t>
  </si>
  <si>
    <t>ท่าตูม</t>
  </si>
  <si>
    <t>บ้านธาตุ</t>
  </si>
  <si>
    <t>บ้านป่า</t>
  </si>
  <si>
    <t>สองคอน</t>
  </si>
  <si>
    <t>ห้วยแห้ง</t>
  </si>
  <si>
    <t>หินซ้อน</t>
  </si>
  <si>
    <t>ท่ามะปราง</t>
  </si>
  <si>
    <t>เตาปูน</t>
  </si>
  <si>
    <t>หน้าพระลาน</t>
  </si>
  <si>
    <t>ห้วยบง</t>
  </si>
  <si>
    <t>พุแค</t>
  </si>
  <si>
    <t>ผึ้งรวง</t>
  </si>
  <si>
    <t>บ้านแก้ง</t>
  </si>
  <si>
    <t>เขาดินพัฒนา</t>
  </si>
  <si>
    <t>บ้านหลวง</t>
  </si>
  <si>
    <t>ไผ่หลิ่ว</t>
  </si>
  <si>
    <t>ดงตะงาว</t>
  </si>
  <si>
    <t>ตลาดน้อย</t>
  </si>
  <si>
    <t>บางโขมด</t>
  </si>
  <si>
    <t>บ้านหมอ</t>
  </si>
  <si>
    <t>สร่างโศก</t>
  </si>
  <si>
    <t>หนองบัว</t>
  </si>
  <si>
    <t>ไผ่ขวาง</t>
  </si>
  <si>
    <t>โคกใหญ่</t>
  </si>
  <si>
    <t>หรเทพ</t>
  </si>
  <si>
    <t>เขาวง</t>
  </si>
  <si>
    <t>ธารเกษม</t>
  </si>
  <si>
    <t>พุกร่าง</t>
  </si>
  <si>
    <t>พุคำจาน</t>
  </si>
  <si>
    <t>หนองแก</t>
  </si>
  <si>
    <t>ห้วยป่าหวาย</t>
  </si>
  <si>
    <t>นายาว</t>
  </si>
  <si>
    <t>ซับสนุ่น</t>
  </si>
  <si>
    <t>มวกเหล็ก</t>
  </si>
  <si>
    <t>มิตรภาพ</t>
  </si>
  <si>
    <t>ลำพญากลาง</t>
  </si>
  <si>
    <t>ลำสมพุง</t>
  </si>
  <si>
    <t>หนองย่างเสือ</t>
  </si>
  <si>
    <t>กุดนกเปล้า</t>
  </si>
  <si>
    <t>ดาวเรือง</t>
  </si>
  <si>
    <t>ตลิ่งชัน</t>
  </si>
  <si>
    <t>ตะกุด</t>
  </si>
  <si>
    <t>ปากข้าวสาร</t>
  </si>
  <si>
    <t>หนองปลาไหล</t>
  </si>
  <si>
    <t>หนองยาว</t>
  </si>
  <si>
    <t>หนองโน</t>
  </si>
  <si>
    <t>นาโฉง</t>
  </si>
  <si>
    <t>โคกสว่าง</t>
  </si>
  <si>
    <t>คำพราน</t>
  </si>
  <si>
    <t>วังม่วง</t>
  </si>
  <si>
    <t>แสลงพัน</t>
  </si>
  <si>
    <t>คลองเรือ</t>
  </si>
  <si>
    <t>เจริญธรรม</t>
  </si>
  <si>
    <t>บ้านลำ</t>
  </si>
  <si>
    <t>วิหารแดง</t>
  </si>
  <si>
    <t>หนองหมู</t>
  </si>
  <si>
    <t>หนองสรวง</t>
  </si>
  <si>
    <t>ต้นตาล</t>
  </si>
  <si>
    <t>บ้านยาง</t>
  </si>
  <si>
    <t>ม่วงงาม</t>
  </si>
  <si>
    <t>เมืองเก่า</t>
  </si>
  <si>
    <t>เริงราง</t>
  </si>
  <si>
    <t>สวนดอกไม้</t>
  </si>
  <si>
    <t>หัวปลวก</t>
  </si>
  <si>
    <t>งิ้วงาม</t>
  </si>
  <si>
    <t>ศาลารีไทย</t>
  </si>
  <si>
    <t>ท่าช้าง</t>
  </si>
  <si>
    <t>พระยาทด</t>
  </si>
  <si>
    <t>เสาไห้</t>
  </si>
  <si>
    <t>โคกแย้</t>
  </si>
  <si>
    <t>บัวลอย</t>
  </si>
  <si>
    <t>ไผ่ต่ำ</t>
  </si>
  <si>
    <t>หนองไข่น้ำ</t>
  </si>
  <si>
    <t>หนองนาก</t>
  </si>
  <si>
    <t>หนองปลาหมอ</t>
  </si>
  <si>
    <t>หนองปลิง</t>
  </si>
  <si>
    <t>ห้วยขมิ้น</t>
  </si>
  <si>
    <t>ห้วยทราย</t>
  </si>
  <si>
    <t>โคกตูม</t>
  </si>
  <si>
    <t>กุ่มหัก</t>
  </si>
  <si>
    <t>โพนทอง</t>
  </si>
  <si>
    <t>หนองแขม</t>
  </si>
  <si>
    <t>หนองโรง</t>
  </si>
  <si>
    <t>หนองจิก</t>
  </si>
  <si>
    <t>หนองจรเข้</t>
  </si>
  <si>
    <t>หนองกบ</t>
  </si>
  <si>
    <t>ไก่เส่า</t>
  </si>
  <si>
    <t>หนองแซง</t>
  </si>
  <si>
    <t>หนองควายโซ</t>
  </si>
  <si>
    <t>ม่วงหวาน</t>
  </si>
  <si>
    <t>โคกสะอาด</t>
  </si>
  <si>
    <t>เขาดิน</t>
  </si>
  <si>
    <t>หนองหัวโพ</t>
  </si>
  <si>
    <t>หนองสีดา</t>
  </si>
  <si>
    <t>ดอนทอง</t>
  </si>
  <si>
    <t>บ้านกลับ</t>
  </si>
  <si>
    <t>หนองโดน</t>
  </si>
  <si>
    <t>บ้านโปร่ง</t>
  </si>
  <si>
    <t>ระยะทางขนส่ง(กม.)ต.หน้าพระลาน</t>
  </si>
  <si>
    <t>ระยะทางขนส่งวัสดุแอสฟัสท์</t>
  </si>
  <si>
    <t>ระยะทางขนส่งจาก อ.เมืองสระบุรีถึงตำบล(กม.)</t>
  </si>
  <si>
    <t>แก่งคอย</t>
  </si>
  <si>
    <t>เฉลิมพระเกียรติ</t>
  </si>
  <si>
    <t>ดอนพุด</t>
  </si>
  <si>
    <t>พระพุทธบาท</t>
  </si>
  <si>
    <t>เมืองสระบุรี</t>
  </si>
  <si>
    <t>งานทางเชื่อม</t>
  </si>
  <si>
    <t>งานขุดซ่อมผิวทางเดิม (Deep Patch)</t>
  </si>
  <si>
    <t>เส้นหยุด</t>
  </si>
  <si>
    <t xml:space="preserve">ปรับปรุงถนนลาดยางแบบ  Pavement In-Place Recycling </t>
  </si>
  <si>
    <t>งาน Asphaltic  Concrete</t>
  </si>
  <si>
    <t>3. งานผิวทาง</t>
  </si>
  <si>
    <t xml:space="preserve">กรณีปริมาณงานน้อยกว่า 10,000 ตัน </t>
  </si>
  <si>
    <t xml:space="preserve">     3.2 งาน PRIME COAT บนพื้นทางผสมวัสดุซีเมนต์</t>
  </si>
  <si>
    <t>4. งานลาดยาง</t>
  </si>
  <si>
    <t xml:space="preserve">     4.1 งานลาดยาง PRIME COAT</t>
  </si>
  <si>
    <t xml:space="preserve">     4.2  งานลาดยาง TACK COAT</t>
  </si>
  <si>
    <t>5. งาน Pavement In-Place Recycling</t>
  </si>
  <si>
    <t xml:space="preserve">   5.1 สูตรค่างาน Pavement In-Place Recycling </t>
  </si>
  <si>
    <t xml:space="preserve">  5.2 ข้อมูลประกอบการคิดค่างาน</t>
  </si>
  <si>
    <t>6. งานขุดซ่อมผิวทางเดิม (Deep  Patch)</t>
  </si>
  <si>
    <t xml:space="preserve">           ผิว AC  5  ซม.</t>
  </si>
  <si>
    <t>วิศวกรโยธาชำนาญการ</t>
  </si>
  <si>
    <t>0.051(Yc)                =</t>
  </si>
  <si>
    <t xml:space="preserve"> - Asphaltic  Concrete =(0.051(Yc) + 0.74(Xc) + ค่าเสื่อมราคาผสม)</t>
  </si>
  <si>
    <t>(Binder course)</t>
  </si>
  <si>
    <t>(Wearing course)</t>
  </si>
  <si>
    <t>รวมค่าวัสดุ+ค่าขนส่ง (Wearing course)</t>
  </si>
  <si>
    <t>รวมค่าวัสดุ+ค่าขนส่ง (Binder course)</t>
  </si>
  <si>
    <t>ซม.      ( (Wearing course)</t>
  </si>
  <si>
    <t>ซม.      ( (Binder course)</t>
  </si>
  <si>
    <t>(ต.พุแคถึงหน้างาน)</t>
  </si>
  <si>
    <t>(ต.หน้าพระลานถึงหน้างาน)</t>
  </si>
  <si>
    <t>ขนส่งหินฝุ่น,หิน3/8",1/2",3/4"</t>
  </si>
  <si>
    <t>ค่าขนส่งส่งหิน ผสมแอสฟัสท์ถึงโรงงาน</t>
  </si>
  <si>
    <t xml:space="preserve">ค่ายาง CRS-2 (0.3 x Y /1000) </t>
  </si>
  <si>
    <t xml:space="preserve">12. งาน Stabilized Layer </t>
  </si>
  <si>
    <t xml:space="preserve">     ค่าบ่มวัสดุ หินคลุก</t>
  </si>
  <si>
    <t xml:space="preserve">  - ค่าเสื่อมราคา (งาน Stabilized Layer) ค่าบ่มวัสดุ หินคลุก</t>
  </si>
  <si>
    <t xml:space="preserve">  - ค่าเสื่อมราคา(งาน Stabilized Layer) ค่าบ่มวัสดุ หินคลุก</t>
  </si>
  <si>
    <t>ยางแอสฟัลท์จากโรงงานจังหวัดกรุงเทพ ไป PLANT หน้างาน</t>
  </si>
  <si>
    <t>(1)+(3)</t>
  </si>
  <si>
    <t>(1)+(4)</t>
  </si>
  <si>
    <t>(1)+(5)</t>
  </si>
  <si>
    <t>………….2</t>
  </si>
  <si>
    <t>……….…1</t>
  </si>
  <si>
    <t>(2)+(3)</t>
  </si>
  <si>
    <t>………….3</t>
  </si>
  <si>
    <t>………….4</t>
  </si>
  <si>
    <t>………….5</t>
  </si>
  <si>
    <t>………….6</t>
  </si>
  <si>
    <t>(2)+(5)</t>
  </si>
  <si>
    <t>(2)+(4)</t>
  </si>
  <si>
    <t>(2)+(6)</t>
  </si>
  <si>
    <t>ค่าขนส่งหินจากแหล่งหน้าพระลานถึงหน้างาน</t>
  </si>
  <si>
    <t>ปริมาณงาน Asphaltic  Concrete ทั้งโครงการ</t>
  </si>
  <si>
    <t>ค่าขนส่งอุปกรณ์ 80 ตัน</t>
  </si>
  <si>
    <t>กม. (ไม่เกิน 300 กม.)</t>
  </si>
  <si>
    <t>ค่าติดตั้งเครื่องผสม  :  250,000  /</t>
  </si>
  <si>
    <t>(กรณีที่ปริมาณงาน Asphaltic  Concrete ทั้งโครงการ น้อยกว่า 10,000 ตัน ให้ใช้ปริมาณ Asphaltic  Concrete  =  10,000 ตัน ในการคำนวณค่าติดตั้งเครื่องผสม)</t>
  </si>
  <si>
    <t>ขนส่งยาง AC (L/4)</t>
  </si>
  <si>
    <t>ค่าขนส่งAC  ( ปกติใช้ L/4)</t>
  </si>
  <si>
    <t>ค่าดำเนินการ + ค่าเสื่อม (งานผิวทางแอสฟัลท์ติกคอนกรีต : งานปูลาดและบดทับ ผิว AC หนา 5 ซม.</t>
  </si>
  <si>
    <t>ระยะทางขนส่ง(หินคลุก,หิน 1/2")</t>
  </si>
  <si>
    <t>ระยะทางขนส่ง(กม.)จาก ต.พุแค</t>
  </si>
  <si>
    <t>ระยะทางขนส่ง(หิน)</t>
  </si>
  <si>
    <t>ขนส่งอุปกรณ์ 80 ตัน</t>
  </si>
  <si>
    <t xml:space="preserve">  - ค่าขนส่งปูนซีเมนต์</t>
  </si>
  <si>
    <t>ระยะทางขนส่ง</t>
  </si>
  <si>
    <t>วิศวกรผู้ตรวจสอบ</t>
  </si>
  <si>
    <t>นักบริหารงานช่างระดับกลาง</t>
  </si>
  <si>
    <t>ขนด้วย</t>
  </si>
  <si>
    <t>ผิวจราจรกว้าง   6  เมตร  ยาว  2000   เมตร  ไหล่ทางกว้างข้างละ 1.00  เมตร</t>
  </si>
  <si>
    <t xml:space="preserve"> - พื้นที่ปกติ</t>
  </si>
  <si>
    <t>นายมานิตย์  ชูศรีจันทร์</t>
  </si>
  <si>
    <t>นักบริหารงานช่างระดับต้น</t>
  </si>
  <si>
    <t>นายสุรศักดิ์  สมภักดี</t>
  </si>
  <si>
    <t>วิศวกรโยธาปฏิบัติการ</t>
  </si>
  <si>
    <t>ผู้ประมาณการ</t>
  </si>
  <si>
    <t>นายวันเฉลิม  แก้ววิสูตร</t>
  </si>
  <si>
    <t>กรมส่งเสริมการปกครองท้องถิ่น  กระทรวงมหาดไทย</t>
  </si>
  <si>
    <t>เงินจ่ายล่วงหน้า</t>
  </si>
  <si>
    <t>เงินประกันผลงานหัก</t>
  </si>
  <si>
    <t>ค่าภาษีมูลค่าเพิ่ม</t>
  </si>
  <si>
    <t>ต่อปี</t>
  </si>
  <si>
    <t>ค่างาน (ทุน)
ล้านบาท</t>
  </si>
  <si>
    <t>≤</t>
  </si>
  <si>
    <t>Factor f =</t>
  </si>
  <si>
    <t>ตามสูตร</t>
  </si>
  <si>
    <t>(E) =</t>
  </si>
  <si>
    <t>ช่วงราคาที่ 2 (C) =</t>
  </si>
  <si>
    <t>(D) =</t>
  </si>
  <si>
    <t>ช่วงราคาที่ 1 (B) =</t>
  </si>
  <si>
    <t>Factor f</t>
  </si>
  <si>
    <t>x ล้านบาท</t>
  </si>
  <si>
    <t>ค่าจากตาราง</t>
  </si>
  <si>
    <t>งานทาง</t>
  </si>
  <si>
    <t>ค่างานต้นทุน (A) =</t>
  </si>
  <si>
    <t>งานรื้อโครงสร้างถนนเดิม</t>
  </si>
  <si>
    <t>งานรื้อผิวลาดยางเดิม</t>
  </si>
  <si>
    <t>งานโครงสร้างทางและผิวจราจร</t>
  </si>
  <si>
    <t>3.1.1</t>
  </si>
  <si>
    <t>3.1.2</t>
  </si>
  <si>
    <t>3.1.3</t>
  </si>
  <si>
    <t>3.2.1</t>
  </si>
  <si>
    <t>3.2.2</t>
  </si>
  <si>
    <t>3.2.3</t>
  </si>
  <si>
    <t>งานป้ายจราจรและงานติดตั้ง</t>
  </si>
  <si>
    <t>จุด</t>
  </si>
  <si>
    <t>ป้ายจราจรแบบ</t>
  </si>
  <si>
    <t>(หยุด)</t>
  </si>
  <si>
    <t>บ-1</t>
  </si>
  <si>
    <t>ต-75</t>
  </si>
  <si>
    <t xml:space="preserve">เครื่องหมายจราจรบนผิวทาง </t>
  </si>
  <si>
    <t>งานสีเทอร์โมพลาสติกสะท้อนแสง (สีเหลือง + สีขาว)</t>
  </si>
  <si>
    <t>งาน Rumble Strips</t>
  </si>
  <si>
    <t>งานปรับเกลี่ยแต่งไหล่ทาง (ขนาดเบา)</t>
  </si>
  <si>
    <t>สูตรเดิม</t>
  </si>
  <si>
    <t>รายชื่อ</t>
  </si>
  <si>
    <t>นายมารุต  ชาวสวน</t>
  </si>
  <si>
    <t>นายพรชัย  แก้วบังวัน</t>
  </si>
  <si>
    <t>นายทศพล  พรรคนาวิน</t>
  </si>
  <si>
    <t>ตำแหน่ง</t>
  </si>
  <si>
    <t>นายพงศกร  เพชรประดับ</t>
  </si>
  <si>
    <t>นายสราวุธ  อินสุข</t>
  </si>
  <si>
    <t>นายจิรพล  บุญลือ</t>
  </si>
  <si>
    <t>หัวหน้าฝ่ายก่อสร้างและซ่อมบำรุง</t>
  </si>
  <si>
    <t>โครงการ</t>
  </si>
  <si>
    <t>Press F2 and then press F9</t>
  </si>
  <si>
    <t>ช่วงที่ 1</t>
  </si>
  <si>
    <r>
      <t xml:space="preserve">ระยะทางขนส่งลูกรังและหินคลุก จาก </t>
    </r>
    <r>
      <rPr>
        <b/>
        <sz val="16"/>
        <color indexed="60"/>
        <rFont val="TH Sarabun New"/>
        <family val="2"/>
      </rPr>
      <t>พุแค</t>
    </r>
  </si>
  <si>
    <r>
      <t xml:space="preserve">ระยะทางขนส่งหินคลุกและหินฝุ่น จาก </t>
    </r>
    <r>
      <rPr>
        <b/>
        <sz val="16"/>
        <color indexed="60"/>
        <rFont val="TH Sarabun New"/>
        <family val="2"/>
      </rPr>
      <t>หน้าพระลาน</t>
    </r>
  </si>
  <si>
    <r>
      <t xml:space="preserve">ระยะทางขนส่งอุปกรณ์ จาก </t>
    </r>
    <r>
      <rPr>
        <b/>
        <sz val="16"/>
        <color indexed="60"/>
        <rFont val="TH Sarabun New"/>
        <family val="2"/>
      </rPr>
      <t>สระบุรี</t>
    </r>
  </si>
  <si>
    <r>
      <t xml:space="preserve">ยางแอสฟัลท์จาก </t>
    </r>
    <r>
      <rPr>
        <b/>
        <sz val="16"/>
        <color indexed="60"/>
        <rFont val="TH Sarabun New"/>
        <family val="2"/>
      </rPr>
      <t>กรุงเทพ</t>
    </r>
    <r>
      <rPr>
        <sz val="16"/>
        <rFont val="TH Sarabun New"/>
        <family val="2"/>
      </rPr>
      <t xml:space="preserve"> ไป PLANT หน้างาน</t>
    </r>
  </si>
  <si>
    <t>งานเสริมหินคลุกปรับระดับ</t>
  </si>
  <si>
    <t>รถบรรทุกขนส่งลูกรัง</t>
  </si>
  <si>
    <t>รถบรรทุกขนส่งหิน</t>
  </si>
  <si>
    <t xml:space="preserve">รถบรรทุกขนส่งยาง  </t>
  </si>
  <si>
    <t>ราคารวม</t>
  </si>
  <si>
    <t>ระยะขนส่งวัสดุคัดเลือก</t>
  </si>
  <si>
    <t>Note</t>
  </si>
  <si>
    <t>เส้นทึบเข้าแยกยาวไม่น้อยกว่า</t>
  </si>
  <si>
    <t>เส้นทึบเข้าโค้งกำหนดยาว</t>
  </si>
  <si>
    <t>ผลรวมค่างานต้นทุนงานก่อสร้างทาง (คำนวณ Factor F)</t>
  </si>
  <si>
    <t>ความกว้างเส้นจราจร</t>
  </si>
  <si>
    <t>ความยาวเส้นทึบกลาง (สีเหลือง)</t>
  </si>
  <si>
    <t>ความยาวถนน (ม.)</t>
  </si>
  <si>
    <t>ความยาวเส้นกลางทึบสีเหลือง (ม.)</t>
  </si>
  <si>
    <t>ความยาวเส้นขอบทางสีขาว (ม.)</t>
  </si>
  <si>
    <t>ความยาวเส้นกลางสีเหลือง (ม.)</t>
  </si>
  <si>
    <t>*คิดที่ตีเส้นกลาง 3 เว้น 9</t>
  </si>
  <si>
    <t>ความกว้างเส้นจราจร (ม.)</t>
  </si>
  <si>
    <t>พื้นที่ตีเส้นจราจร (ตร.ม.)</t>
  </si>
  <si>
    <t>*โดยปกติให้ 0.05 ม.</t>
  </si>
  <si>
    <t>ไหล่ทางกว้าง (ม.)</t>
  </si>
  <si>
    <t>ความกว้างเส้นหยุด</t>
  </si>
  <si>
    <t>จำนวนเส้นหยุด</t>
  </si>
  <si>
    <t>ความยาวเส้นหยุด (ม.)</t>
  </si>
  <si>
    <t>พื้นที่เส้นหยุด (ตร.ม.)</t>
  </si>
  <si>
    <t>ไม่มีไหล่ทาง</t>
  </si>
  <si>
    <t>ความยาว Rumble Strip (ม.)/เส้น</t>
  </si>
  <si>
    <t>ความกว้าง Rumble Strip</t>
  </si>
  <si>
    <t>จำนวน Rumble Strip</t>
  </si>
  <si>
    <t>ชุด (30 เส้น)</t>
  </si>
  <si>
    <t>พื้นที่ Rumble Strip (ตร.ม.)</t>
  </si>
  <si>
    <t>ช่วงที่ 1 (Recycling)</t>
  </si>
  <si>
    <t>ช่วงที่ 2 (Recycling)</t>
  </si>
  <si>
    <t>ขนาด</t>
  </si>
  <si>
    <t>กว้าง (ม.)</t>
  </si>
  <si>
    <t>ยาว (ม.)</t>
  </si>
  <si>
    <t>ลึก (ม.)</t>
  </si>
  <si>
    <t>0</t>
  </si>
  <si>
    <t>พื้นที่ Recycling</t>
  </si>
  <si>
    <t>ข้อมูล (ไม่ได้ใช้)</t>
  </si>
  <si>
    <t>งานชั้นหินคลุกพื้นทาง(หนา 0.15 ม.) (ไม่ได้ใช้)</t>
  </si>
  <si>
    <t>ไหล่ทาง Recycling AC กว้างข้างละ</t>
  </si>
  <si>
    <t>ความหนาหินคลุกปรับระดับ (ม.)</t>
  </si>
  <si>
    <t>ปริมาตร (ลบ.ม.)</t>
  </si>
  <si>
    <t>งาน Prime Coat บนพื้นทางวัสดุผสมซีเมนต์</t>
  </si>
  <si>
    <t>พื้นที่ผิวจราจร (ตร.ม.)</t>
  </si>
  <si>
    <t>พื้นที่ไหล่ทาง (ตร.ม.)</t>
  </si>
  <si>
    <t>ไหล่ทาง</t>
  </si>
  <si>
    <t>บอกรายละเอียด</t>
  </si>
  <si>
    <t>ราคาน้ำมันดีเซล B7</t>
  </si>
  <si>
    <t>ใช้ราคาสืบวัสดุก่อสร้างจากพาณิชย์จังหวัดสระบุรี วันที่</t>
  </si>
  <si>
    <t>ราคาสืบ ณ วันที่</t>
  </si>
  <si>
    <t>ราคาพาณิชย์ กทม</t>
  </si>
  <si>
    <t>ราคาพาณิชย์ สระบุรี</t>
  </si>
  <si>
    <t>ราคา ทช.</t>
  </si>
  <si>
    <r>
      <t xml:space="preserve">           </t>
    </r>
    <r>
      <rPr>
        <u/>
        <sz val="16"/>
        <rFont val="TH Sarabun New"/>
        <family val="2"/>
      </rPr>
      <t>ตร.ม. @</t>
    </r>
  </si>
  <si>
    <t>บาท/ลิตร ณ วันที่</t>
  </si>
  <si>
    <t>งานแอสฟัลท์ติกคอนกรีต</t>
  </si>
  <si>
    <t>จำนวนช่วงโครงการ</t>
  </si>
  <si>
    <t>ช่วง</t>
  </si>
  <si>
    <t>ปี คศ/เดือน/วัน</t>
  </si>
  <si>
    <t>เมตร/เส้น</t>
  </si>
  <si>
    <t>ตามแบบองค์การบริหารส่วนจังหวัดสระบุรี</t>
  </si>
  <si>
    <t>*ถ้าไม่มีช่วงที่ 1 หรือ ช่วงที่ 2  ให้ลบข้อมูลทั้งหมดตั้งแต่แถวที่ 10-22</t>
  </si>
  <si>
    <t>งบประมาณประจำปี</t>
  </si>
  <si>
    <t>พื้นที่รับผิดชอบ</t>
  </si>
  <si>
    <t>นายมารุต</t>
  </si>
  <si>
    <t>นายพรชัย</t>
  </si>
  <si>
    <t>นายวันเฉลิม</t>
  </si>
  <si>
    <t>นายทศพล</t>
  </si>
  <si>
    <t>นายมานิตย์</t>
  </si>
  <si>
    <t>วิศวกรรับผิดชอบ</t>
  </si>
  <si>
    <t>แนะนำวิศวกร</t>
  </si>
  <si>
    <t>งานพื้นทาง (หรือหินคลุก B)</t>
  </si>
  <si>
    <t>+</t>
  </si>
  <si>
    <t>1. งานงานปรับเกลี่ยแต่งไหล่ทาง งานถางป่าขุดตอ-ขนาดเบา</t>
  </si>
  <si>
    <t>เพิ่มพื้นที่ก่อสร้างของงานประเภทอื่น</t>
  </si>
  <si>
    <t>ประมาณราคาวันที่</t>
  </si>
  <si>
    <t>ประมาณราคา</t>
  </si>
  <si>
    <t>กำหนดราคากลางวันที่</t>
  </si>
  <si>
    <t>(1)</t>
  </si>
  <si>
    <t>(2)</t>
  </si>
  <si>
    <t>(3)=(1)x(2)</t>
  </si>
  <si>
    <t>(4)</t>
  </si>
  <si>
    <t>(5)</t>
  </si>
  <si>
    <t>(6)=(3)x(4)</t>
  </si>
  <si>
    <t>ราคาวัสดุ
(บาท)</t>
  </si>
  <si>
    <t>วัสดุคัดเลือก (ลูกรัง)</t>
  </si>
  <si>
    <t>แก้ไขปรับปรุงเดือน มีนาคม 2566</t>
  </si>
  <si>
    <t>ฝ่ายสาธารณูปโภค</t>
  </si>
  <si>
    <t>สาย สบ.ถ1 - 0039 บ้านหนองหว้า - บ้านสาธุประชาสรรค์  ตำบลพุแค - ตำบลห้วยบง  อำเภอเฉลิมพระเกียรติ  จังหวัดสระบุรี</t>
  </si>
  <si>
    <t>พุแค - ห้วยบง</t>
  </si>
  <si>
    <t>-</t>
  </si>
  <si>
    <t>นักบริหารงานช่างระดับสูง</t>
  </si>
  <si>
    <t>ผู้อำนวยการส่วนการโยธา</t>
  </si>
  <si>
    <t>ผู้อำนวยการสำนักช่าง</t>
  </si>
  <si>
    <t>รายละเอียดโครงการ งบประมาณ ประจำปี พ.ศ. 2566</t>
  </si>
  <si>
    <t>อำเภอเฉลิมพระเกียรติ</t>
  </si>
  <si>
    <t>งบประมาณ</t>
  </si>
  <si>
    <t>หน่วยงานผู้ขอรับ</t>
  </si>
  <si>
    <t>ช่างผู้รับผิดชอบ</t>
  </si>
  <si>
    <t>การสนับสนุนโครงการ</t>
  </si>
  <si>
    <t>นายพงศกร เพชรประดับ</t>
  </si>
  <si>
    <t xml:space="preserve"> ตำบลพุแค - ตำบลห้วยบง  อำเภอเฉลิมพระเกียรติ  จังหวัดสระบุรี</t>
  </si>
  <si>
    <t xml:space="preserve">องค์การบริหารส่วนจังหวัดสระบุรี </t>
  </si>
  <si>
    <r>
      <t xml:space="preserve"> </t>
    </r>
    <r>
      <rPr>
        <b/>
        <u/>
        <sz val="14.5"/>
        <rFont val="TH SarabunPSK"/>
        <family val="2"/>
      </rPr>
      <t>สภาพเดิม</t>
    </r>
  </si>
  <si>
    <t>ค่าพิกัด เริ่มต้น</t>
  </si>
  <si>
    <t xml:space="preserve">  - เป็นถนนที่ได้รับโอนมอบจากกรมทางหลวงชนบท และขึ้นทะเบียน เป็นทางหลวงท้องถิ่น ชั้นที่ 4 </t>
  </si>
  <si>
    <t xml:space="preserve"> N = 14.653360</t>
  </si>
  <si>
    <t xml:space="preserve"> (นอกเขตเมืองและนอกเขตชุมชน) ในความครอบครองฯ ของ องค์การบริหารส่วนจังหวัดสระบุรี</t>
  </si>
  <si>
    <t xml:space="preserve"> E  = 100.934270</t>
  </si>
  <si>
    <t>ค่าพิกัด สิ้นสุด</t>
  </si>
  <si>
    <t xml:space="preserve"> N = 14.626620
</t>
  </si>
  <si>
    <t xml:space="preserve"> E = 100.896630</t>
  </si>
  <si>
    <r>
      <t xml:space="preserve"> </t>
    </r>
    <r>
      <rPr>
        <b/>
        <u/>
        <sz val="14.5"/>
        <rFont val="TH SarabunPSK"/>
        <family val="2"/>
      </rPr>
      <t>วัตถุประสงค์</t>
    </r>
  </si>
  <si>
    <t xml:space="preserve">            (ลงชื่อ)  ………………………………….  ผู้สำรวจโครงการ</t>
  </si>
  <si>
    <t>(นายพงศกร เพชรประดับ)</t>
  </si>
  <si>
    <t xml:space="preserve">        3.1  งานผิวทางแบบ AC</t>
  </si>
  <si>
    <t xml:space="preserve">  - ค่าปูนซีเมนต์                                                     </t>
  </si>
  <si>
    <t>งาน Prime Coat</t>
  </si>
  <si>
    <t>หัวหน้าฝ่ายสาธารณูปโภค</t>
  </si>
  <si>
    <t>15 ซม.</t>
  </si>
  <si>
    <t>สำนักช่าง ส่วนการโยธา องค์การบริหารส่วนจังหวัดสระบุรี</t>
  </si>
  <si>
    <t>สำนักช่าง</t>
  </si>
  <si>
    <t xml:space="preserve">      ขาดหนังสือยินยอม</t>
  </si>
  <si>
    <t xml:space="preserve">      เอกสารครบ</t>
  </si>
  <si>
    <t xml:space="preserve">      เอกสารไม่ครบ</t>
  </si>
  <si>
    <t>ป้ายจราจรแบบกำหนดน้ำหนักบรรทุก</t>
  </si>
  <si>
    <t>(สามแยก)</t>
  </si>
  <si>
    <t>(ทถ-3-121)</t>
  </si>
  <si>
    <t>ผิวจราจรกว้าง 6.00 เมตร ยาว 5,800 เมตร หนา 0.05 เมตร ไหล่ทางกว้างข้างละ 1.00 เมตร</t>
  </si>
  <si>
    <t xml:space="preserve"> ขนาดผิวจราจรกว้าง 6.00 เมตร ยาว 5,800.00 เมตร ไหล่ทางกว้างข้างละ 1.00 เมตร  หนา 0.05 เมตร</t>
  </si>
  <si>
    <t>ปรับปรุงถนนลาดยาง โดยวิธี Pavement In-Place Recycling</t>
  </si>
  <si>
    <t xml:space="preserve"> โครงการปรับปรุงถนนลาดยาง สาย สบ.ถ1 - 0039 บ้านหนองหว้า - บ้านสาธุประชาสรรค์</t>
  </si>
  <si>
    <t xml:space="preserve"> - ปรับปรุงผิวจราจรลาดยางแอสฟัลต์คอนกรีต โดยวิธี Pavement In-Place Recycling </t>
  </si>
  <si>
    <t xml:space="preserve"> ขนาดผิวทาง กว้าง 6.00 เมตร ไหล่ทางกว้างข้างละ 1.00 เมตร ระยะทางตลอดสาย 5,800 เมตร</t>
  </si>
  <si>
    <t xml:space="preserve"> ผิวทางและไหล่ทาง ชนิดลาดยางเดิม เสื่อมสภาพ + มีรอยแตกร้าว หลายแห่ง</t>
  </si>
  <si>
    <t xml:space="preserve"> หรือคิดเป็นพื้นที่ลาดยางไม่น้อยกว่า 46,400.00 ตารางเมตร พร้อมติดตั้งเครื่องหมายจราจร + อุปกรณ์</t>
  </si>
  <si>
    <t xml:space="preserve">         หรือคิดเป็นพื้นที่ลาดยางไม่น้อยกว่า 46,400.00 ตารางเมตร</t>
  </si>
  <si>
    <t>ปรับปรุงถนนลาดยาง สาย สบ.ถ1 - 0039 บ้านหนองหว้า - บ้านสาธุประชาสรรค์</t>
  </si>
  <si>
    <t>ตำบลพุแค - ตำบลห้วยบง  อำเภอเฉลิมพระเกียรติ  จังหวัดสระบุรี</t>
  </si>
  <si>
    <t>หรือคิดเป็นพื้นที่ลาดยางไม่น้อยกว่า 46,400.00 ตารางเมตร</t>
  </si>
  <si>
    <t xml:space="preserve">งานทางเชื่อม </t>
  </si>
  <si>
    <t>โครงการปรับปรุงถนนลาดยาง สาย สบ.ถ1 - 0039 บ้านหนองหว้า - บ้านสาธุประชาสรรค์โดยวิธี Pavement In-Place Recycling</t>
  </si>
  <si>
    <t>ลงชื่อ</t>
  </si>
  <si>
    <t>กรรมการ</t>
  </si>
  <si>
    <t>ประธานกรรมการ</t>
  </si>
  <si>
    <t>คณะกรรมการกำหนดราคากลาง ตามคำสั่งองค์การบริหารส่วนจังหวัดสระบุรี ที่ 1433/2566 ลงวันที่ 16 สิงหาคม 2566</t>
  </si>
  <si>
    <r>
      <t xml:space="preserve"> -  Asphaltic  Concrete </t>
    </r>
    <r>
      <rPr>
        <u/>
        <sz val="14"/>
        <rFont val="Angsana New"/>
        <family val="1"/>
      </rPr>
      <t>ปูบน Prime  Coat</t>
    </r>
  </si>
  <si>
    <r>
      <t xml:space="preserve"> -  Asphaltic  Concrete </t>
    </r>
    <r>
      <rPr>
        <u/>
        <sz val="14"/>
        <rFont val="Angsana New"/>
        <family val="1"/>
      </rPr>
      <t>ปูบน Tack  Coat</t>
    </r>
  </si>
  <si>
    <t>ส่วนราชการ สำนักช่าง  องค์การบริหารส่วนจังหวัดสระบุรี</t>
  </si>
  <si>
    <t xml:space="preserve">แบบสรุปราคากลางงานก่อสร้างทาง สะพานและท่อเหลี่ยม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</si>
</sst>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1" formatCode="_-* #,##0_-;\-* #,##0_-;_-* &quot;-&quot;_-;_-@_-"/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0.0000"/>
    <numFmt numFmtId="190" formatCode="0.000"/>
    <numFmt numFmtId="191" formatCode="_-* #,##0.0000_-;\-* #,##0.0000_-;_-* &quot;-&quot;????_-;_-@_-"/>
    <numFmt numFmtId="192" formatCode="#,##0.000"/>
    <numFmt numFmtId="193" formatCode="#,##0.0000"/>
    <numFmt numFmtId="194" formatCode="#,##0.00_ ;\-#,##0.00\ "/>
    <numFmt numFmtId="195" formatCode="#,##0.0000_);\(#,##0.0000\)"/>
    <numFmt numFmtId="196" formatCode="0.0%"/>
    <numFmt numFmtId="197" formatCode="_(* #,##0.00_);_(* \(#,##0.00\);_(* &quot; &quot;??_);_(@_)"/>
    <numFmt numFmtId="198" formatCode="#,##0.000;\-#,##0.000"/>
    <numFmt numFmtId="199" formatCode="#,##0.000_);\(#,##0.000\)"/>
    <numFmt numFmtId="200" formatCode="_-* #,##0_-;\-* #,##0_-;_-* &quot;-&quot;??_-;_-@_-"/>
    <numFmt numFmtId="201" formatCode="0.00000000"/>
    <numFmt numFmtId="202" formatCode="_-* #,##0.00_-;\-* #,##0.00_-;_-* &quot;-&quot;_-;_-@_-"/>
    <numFmt numFmtId="203" formatCode="#,##0_ ;\-#,##0\ "/>
    <numFmt numFmtId="204" formatCode="0\+000"/>
    <numFmt numFmtId="205" formatCode="_-* #,##0.0000_-;\-* #,##0.0000_-;_-* &quot;-&quot;??_-;_-@_-"/>
    <numFmt numFmtId="206" formatCode="_(* #,##0.000_);_(* \(#,##0.000\);_(* &quot;-&quot;??_);_(@_)"/>
    <numFmt numFmtId="207" formatCode="d\ ดดดด\ &quot;พ.ศ.&quot;\ bbbb"/>
    <numFmt numFmtId="208" formatCode="_(* #,##0.0000_);_(* \(#,##0.0000\);_(* &quot;-&quot;??_);_(@_)"/>
    <numFmt numFmtId="209" formatCode="_(* #,##0.0_);_(* \(#,##0.0\);_(* &quot;-&quot;??_);_(@_)"/>
    <numFmt numFmtId="210" formatCode="\(@\)"/>
    <numFmt numFmtId="211" formatCode="_-* #,##0.0_-;\-* #,##0.0_-;_-* &quot;-&quot;??_-;_-@_-"/>
    <numFmt numFmtId="212" formatCode="0\+000;\-0\+000;0\+000"/>
    <numFmt numFmtId="213" formatCode="[$-107041E]d\ mmmm\ yyyy;@"/>
    <numFmt numFmtId="214" formatCode="0.0"/>
    <numFmt numFmtId="215" formatCode="_(* #,##0.0000_);_(* \(#,##0.0000\);_(* &quot;-&quot;????_);_(@_)"/>
    <numFmt numFmtId="216" formatCode="#,##0.00;[Red]#,##0.00"/>
    <numFmt numFmtId="217" formatCode="#,##0.000_ ;\-#,##0.000\ "/>
    <numFmt numFmtId="218" formatCode="###0.00;###0.00"/>
    <numFmt numFmtId="219" formatCode="[$-F800]dddd\,\ mmmm\ dd\,\ yyyy"/>
  </numFmts>
  <fonts count="153">
    <font>
      <sz val="14"/>
      <name val="Cordia New"/>
      <charset val="222"/>
    </font>
    <font>
      <sz val="14"/>
      <name val="Cordia New"/>
      <family val="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3.5"/>
      <name val="DilleniaUPC"/>
      <family val="1"/>
    </font>
    <font>
      <sz val="10"/>
      <name val="Courier"/>
      <family val="3"/>
    </font>
    <font>
      <sz val="13.5"/>
      <name val="DilleniaUPC"/>
      <family val="1"/>
      <charset val="222"/>
    </font>
    <font>
      <sz val="12"/>
      <name val="DilleniaUPC"/>
      <family val="1"/>
      <charset val="222"/>
    </font>
    <font>
      <b/>
      <sz val="14"/>
      <name val="DilleniaUPC"/>
      <family val="1"/>
      <charset val="222"/>
    </font>
    <font>
      <b/>
      <sz val="13.5"/>
      <name val="DilleniaUPC"/>
      <family val="1"/>
      <charset val="222"/>
    </font>
    <font>
      <b/>
      <sz val="13.5"/>
      <name val="DilleniaUPC"/>
      <family val="1"/>
    </font>
    <font>
      <sz val="13"/>
      <name val="DilleniaUPC"/>
      <family val="1"/>
      <charset val="222"/>
    </font>
    <font>
      <sz val="13.5"/>
      <color indexed="8"/>
      <name val="DilleniaUPC"/>
      <family val="1"/>
      <charset val="222"/>
    </font>
    <font>
      <sz val="14"/>
      <name val="DilleniaUPC"/>
      <family val="1"/>
      <charset val="222"/>
    </font>
    <font>
      <b/>
      <sz val="16"/>
      <name val="DilleniaUPC"/>
      <family val="1"/>
      <charset val="222"/>
    </font>
    <font>
      <u/>
      <sz val="14"/>
      <name val="DilleniaUPC"/>
      <family val="1"/>
      <charset val="222"/>
    </font>
    <font>
      <sz val="16"/>
      <name val="AngsanaUPC"/>
      <family val="1"/>
      <charset val="222"/>
    </font>
    <font>
      <sz val="16"/>
      <color indexed="10"/>
      <name val="AngsanaUPC"/>
      <family val="1"/>
      <charset val="222"/>
    </font>
    <font>
      <b/>
      <sz val="13.5"/>
      <color indexed="10"/>
      <name val="DilleniaUPC"/>
      <family val="1"/>
      <charset val="222"/>
    </font>
    <font>
      <b/>
      <sz val="13.5"/>
      <color indexed="52"/>
      <name val="DilleniaUPC"/>
      <family val="1"/>
      <charset val="222"/>
    </font>
    <font>
      <b/>
      <sz val="14"/>
      <color indexed="10"/>
      <name val="DilleniaUPC"/>
      <family val="1"/>
      <charset val="222"/>
    </font>
    <font>
      <sz val="14"/>
      <name val="DilleniaUPC"/>
      <family val="1"/>
    </font>
    <font>
      <b/>
      <sz val="14"/>
      <name val="DilleniaUPC"/>
      <family val="1"/>
    </font>
    <font>
      <sz val="13.5"/>
      <color indexed="10"/>
      <name val="DilleniaUPC"/>
      <family val="1"/>
      <charset val="222"/>
    </font>
    <font>
      <sz val="14"/>
      <color indexed="10"/>
      <name val="DilleniaUPC"/>
      <family val="1"/>
      <charset val="222"/>
    </font>
    <font>
      <b/>
      <sz val="13.5"/>
      <name val="DilleniaUPC"/>
      <family val="1"/>
    </font>
    <font>
      <sz val="14"/>
      <color indexed="10"/>
      <name val="DilleniaUPC"/>
      <family val="1"/>
      <charset val="222"/>
    </font>
    <font>
      <sz val="13.5"/>
      <color indexed="10"/>
      <name val="DilleniaUPC"/>
      <family val="1"/>
      <charset val="222"/>
    </font>
    <font>
      <sz val="13"/>
      <name val="DilleniaUPC"/>
      <family val="1"/>
    </font>
    <font>
      <sz val="11"/>
      <name val="DilleniaUPC"/>
      <family val="1"/>
      <charset val="222"/>
    </font>
    <font>
      <sz val="10"/>
      <name val="Arial"/>
      <family val="2"/>
    </font>
    <font>
      <sz val="10"/>
      <name val="Arial"/>
      <family val="2"/>
    </font>
    <font>
      <b/>
      <sz val="13"/>
      <name val="CordiaUPC"/>
      <family val="2"/>
      <charset val="222"/>
    </font>
    <font>
      <sz val="16"/>
      <name val="CordiaUPC"/>
      <family val="2"/>
    </font>
    <font>
      <sz val="14"/>
      <name val="TH SarabunPSK"/>
      <family val="2"/>
    </font>
    <font>
      <sz val="14"/>
      <name val="Angsana New"/>
      <family val="1"/>
    </font>
    <font>
      <b/>
      <sz val="16"/>
      <name val="CordiaUPC"/>
      <family val="2"/>
      <charset val="222"/>
    </font>
    <font>
      <b/>
      <sz val="14"/>
      <name val="CordiaUPC"/>
      <family val="2"/>
      <charset val="222"/>
    </font>
    <font>
      <sz val="14"/>
      <name val="CordiaUPC"/>
      <family val="2"/>
      <charset val="222"/>
    </font>
    <font>
      <sz val="12"/>
      <name val="CordiaUPC"/>
      <family val="2"/>
      <charset val="222"/>
    </font>
    <font>
      <b/>
      <sz val="11"/>
      <name val="DilleniaUPC"/>
      <family val="1"/>
      <charset val="222"/>
    </font>
    <font>
      <sz val="11"/>
      <name val="DilleniaUPC"/>
      <family val="1"/>
    </font>
    <font>
      <u/>
      <sz val="11"/>
      <name val="DilleniaUPC"/>
      <family val="1"/>
      <charset val="222"/>
    </font>
    <font>
      <b/>
      <u/>
      <sz val="11"/>
      <name val="DilleniaUPC"/>
      <family val="1"/>
    </font>
    <font>
      <sz val="11"/>
      <color indexed="12"/>
      <name val="DilleniaUPC"/>
      <family val="1"/>
      <charset val="222"/>
    </font>
    <font>
      <b/>
      <sz val="11"/>
      <name val="DilleniaUPC"/>
      <family val="1"/>
    </font>
    <font>
      <sz val="11"/>
      <color indexed="9"/>
      <name val="DilleniaUPC"/>
      <family val="1"/>
      <charset val="222"/>
    </font>
    <font>
      <b/>
      <sz val="11"/>
      <color indexed="10"/>
      <name val="DilleniaUPC"/>
      <family val="1"/>
    </font>
    <font>
      <sz val="11"/>
      <color indexed="10"/>
      <name val="DilleniaUPC"/>
      <family val="1"/>
      <charset val="222"/>
    </font>
    <font>
      <sz val="11"/>
      <name val="Cordia New"/>
      <family val="2"/>
    </font>
    <font>
      <b/>
      <u/>
      <sz val="11"/>
      <name val="DilleniaUPC"/>
      <family val="1"/>
      <charset val="222"/>
    </font>
    <font>
      <sz val="11"/>
      <name val="BrowalliaUPC"/>
      <family val="1"/>
    </font>
    <font>
      <sz val="11"/>
      <name val="BrowalliaUPC"/>
      <family val="2"/>
      <charset val="222"/>
    </font>
    <font>
      <b/>
      <sz val="11"/>
      <name val="CordiaUPC"/>
      <family val="2"/>
      <charset val="222"/>
    </font>
    <font>
      <sz val="11"/>
      <name val="CordiaUPC"/>
      <family val="2"/>
      <charset val="222"/>
    </font>
    <font>
      <sz val="11"/>
      <name val="Arial"/>
      <family val="2"/>
    </font>
    <font>
      <b/>
      <sz val="11"/>
      <name val="BrowalliaUPC"/>
      <family val="2"/>
      <charset val="222"/>
    </font>
    <font>
      <sz val="14"/>
      <name val="AngsanaUPC"/>
      <family val="1"/>
    </font>
    <font>
      <b/>
      <sz val="100"/>
      <name val="CordiaUPC"/>
      <family val="2"/>
      <charset val="222"/>
    </font>
    <font>
      <b/>
      <sz val="50"/>
      <name val="CordiaUPC"/>
      <family val="2"/>
      <charset val="222"/>
    </font>
    <font>
      <b/>
      <sz val="45"/>
      <name val="CordiaUPC"/>
      <family val="2"/>
      <charset val="222"/>
    </font>
    <font>
      <b/>
      <sz val="28"/>
      <name val="CordiaUPC"/>
      <family val="2"/>
      <charset val="222"/>
    </font>
    <font>
      <b/>
      <sz val="25"/>
      <name val="CordiaUPC"/>
      <family val="2"/>
      <charset val="222"/>
    </font>
    <font>
      <sz val="25"/>
      <name val="CordiaUPC"/>
      <family val="2"/>
      <charset val="222"/>
    </font>
    <font>
      <b/>
      <sz val="18"/>
      <name val="CordiaUPC"/>
      <family val="2"/>
      <charset val="222"/>
    </font>
    <font>
      <b/>
      <sz val="30"/>
      <name val="CordiaUPC"/>
      <family val="2"/>
      <charset val="222"/>
    </font>
    <font>
      <b/>
      <sz val="12"/>
      <name val="CordiaUPC"/>
      <family val="2"/>
      <charset val="222"/>
    </font>
    <font>
      <b/>
      <sz val="20"/>
      <name val="CordiaUPC"/>
      <family val="2"/>
      <charset val="222"/>
    </font>
    <font>
      <b/>
      <u/>
      <sz val="26"/>
      <name val="CordiaUPC"/>
      <family val="2"/>
      <charset val="222"/>
    </font>
    <font>
      <sz val="16"/>
      <name val="CordiaUPC"/>
      <family val="2"/>
      <charset val="222"/>
    </font>
    <font>
      <vertAlign val="subscript"/>
      <sz val="16"/>
      <name val="CordiaUPC"/>
      <family val="2"/>
      <charset val="222"/>
    </font>
    <font>
      <vertAlign val="subscript"/>
      <sz val="14"/>
      <name val="CordiaUPC"/>
      <family val="2"/>
      <charset val="222"/>
    </font>
    <font>
      <u/>
      <sz val="14"/>
      <name val="CordiaUPC"/>
      <family val="2"/>
      <charset val="222"/>
    </font>
    <font>
      <b/>
      <sz val="40"/>
      <name val="CordiaUPC"/>
      <family val="2"/>
      <charset val="222"/>
    </font>
    <font>
      <sz val="10"/>
      <name val="CordiaUPC"/>
      <family val="2"/>
      <charset val="222"/>
    </font>
    <font>
      <sz val="14"/>
      <name val="Cordia New"/>
      <family val="2"/>
    </font>
    <font>
      <sz val="15"/>
      <name val="CordiaUPC"/>
      <family val="2"/>
      <charset val="222"/>
    </font>
    <font>
      <b/>
      <sz val="14"/>
      <name val="CordiaUPC"/>
      <family val="2"/>
    </font>
    <font>
      <sz val="11"/>
      <color indexed="9"/>
      <name val="DilleniaUPC"/>
      <family val="1"/>
    </font>
    <font>
      <b/>
      <sz val="11"/>
      <color indexed="9"/>
      <name val="DilleniaUPC"/>
      <family val="1"/>
    </font>
    <font>
      <b/>
      <sz val="15"/>
      <name val="CordiaUPC"/>
      <family val="2"/>
      <charset val="222"/>
    </font>
    <font>
      <b/>
      <sz val="14"/>
      <name val="Cordia New"/>
      <family val="2"/>
    </font>
    <font>
      <b/>
      <sz val="14"/>
      <name val="TH SarabunPSK"/>
      <family val="2"/>
    </font>
    <font>
      <sz val="14"/>
      <color indexed="8"/>
      <name val="TH SarabunPSK"/>
      <family val="2"/>
    </font>
    <font>
      <sz val="14"/>
      <color indexed="9"/>
      <name val="TH SarabunPSK"/>
      <family val="2"/>
    </font>
    <font>
      <sz val="8"/>
      <name val="Cordia New"/>
      <family val="2"/>
    </font>
    <font>
      <sz val="16"/>
      <name val="TH Sarabun New"/>
      <family val="2"/>
    </font>
    <font>
      <sz val="16"/>
      <name val="Times New Roman"/>
      <family val="1"/>
    </font>
    <font>
      <b/>
      <sz val="16"/>
      <name val="TH Sarabun New"/>
      <family val="2"/>
    </font>
    <font>
      <sz val="16"/>
      <name val="AngsanaUPC"/>
      <family val="2"/>
    </font>
    <font>
      <b/>
      <sz val="14"/>
      <color theme="0"/>
      <name val="DilleniaUPC"/>
      <family val="1"/>
      <charset val="222"/>
    </font>
    <font>
      <sz val="11"/>
      <color theme="0"/>
      <name val="DilleniaUPC"/>
      <family val="1"/>
      <charset val="222"/>
    </font>
    <font>
      <b/>
      <sz val="11"/>
      <color rgb="FFFF0000"/>
      <name val="DilleniaUPC"/>
      <family val="1"/>
      <charset val="222"/>
    </font>
    <font>
      <b/>
      <sz val="14"/>
      <color theme="1"/>
      <name val="CordiaUPC"/>
      <family val="2"/>
    </font>
    <font>
      <b/>
      <sz val="11"/>
      <color theme="0"/>
      <name val="DilleniaUPC"/>
      <family val="1"/>
      <charset val="222"/>
    </font>
    <font>
      <sz val="11"/>
      <color theme="0"/>
      <name val="DilleniaUPC"/>
      <family val="1"/>
    </font>
    <font>
      <sz val="11"/>
      <color theme="0"/>
      <name val="Courier"/>
      <family val="3"/>
    </font>
    <font>
      <u/>
      <sz val="11"/>
      <color theme="0"/>
      <name val="DilleniaUPC"/>
      <family val="1"/>
      <charset val="222"/>
    </font>
    <font>
      <b/>
      <sz val="11"/>
      <color theme="0"/>
      <name val="DilleniaUPC"/>
      <family val="1"/>
    </font>
    <font>
      <sz val="11"/>
      <color theme="0"/>
      <name val="Angsana New"/>
      <family val="1"/>
    </font>
    <font>
      <b/>
      <u/>
      <sz val="11"/>
      <color theme="0"/>
      <name val="DilleniaUPC"/>
      <family val="1"/>
    </font>
    <font>
      <sz val="11"/>
      <color theme="0"/>
      <name val="Cordia New"/>
      <family val="2"/>
    </font>
    <font>
      <sz val="11"/>
      <color theme="0"/>
      <name val="BrowalliaUPC"/>
      <family val="1"/>
    </font>
    <font>
      <sz val="11"/>
      <color theme="0"/>
      <name val="BrowalliaUPC"/>
      <family val="2"/>
      <charset val="222"/>
    </font>
    <font>
      <sz val="11"/>
      <color rgb="FFFF0000"/>
      <name val="DilleniaUPC"/>
      <family val="1"/>
      <charset val="222"/>
    </font>
    <font>
      <sz val="18"/>
      <color theme="1"/>
      <name val="Tahoma"/>
      <family val="2"/>
      <charset val="222"/>
      <scheme val="minor"/>
    </font>
    <font>
      <b/>
      <sz val="16"/>
      <color theme="0"/>
      <name val="CordiaUPC"/>
      <family val="2"/>
      <charset val="222"/>
    </font>
    <font>
      <b/>
      <sz val="28"/>
      <color rgb="FFFF0000"/>
      <name val="CordiaUPC"/>
      <family val="2"/>
      <charset val="222"/>
    </font>
    <font>
      <b/>
      <sz val="11"/>
      <color theme="0"/>
      <name val="BrowalliaUPC"/>
      <family val="2"/>
      <charset val="222"/>
    </font>
    <font>
      <b/>
      <u/>
      <sz val="16"/>
      <color theme="1"/>
      <name val="AngsanaUPC"/>
      <family val="1"/>
    </font>
    <font>
      <sz val="16"/>
      <color rgb="FFFF0000"/>
      <name val="AngsanaUPC"/>
      <family val="2"/>
    </font>
    <font>
      <sz val="16"/>
      <color rgb="FF3F3F76"/>
      <name val="AngsanaUPC"/>
      <family val="2"/>
    </font>
    <font>
      <b/>
      <u/>
      <sz val="16"/>
      <color rgb="FFFF0000"/>
      <name val="AngsanaUPC"/>
      <family val="1"/>
    </font>
    <font>
      <b/>
      <sz val="16"/>
      <color rgb="FFFF0000"/>
      <name val="TH Sarabun New"/>
      <family val="2"/>
    </font>
    <font>
      <b/>
      <sz val="14"/>
      <name val="TH Sarabun New"/>
      <family val="2"/>
    </font>
    <font>
      <sz val="14"/>
      <name val="TH Sarabun New"/>
      <family val="2"/>
    </font>
    <font>
      <b/>
      <sz val="14"/>
      <color rgb="FFFF0000"/>
      <name val="TH Sarabun New"/>
      <family val="2"/>
    </font>
    <font>
      <b/>
      <u/>
      <sz val="14"/>
      <name val="TH Sarabun New"/>
      <family val="2"/>
    </font>
    <font>
      <b/>
      <u val="singleAccounting"/>
      <sz val="14"/>
      <name val="TH Sarabun New"/>
      <family val="2"/>
    </font>
    <font>
      <b/>
      <i/>
      <sz val="16"/>
      <name val="TH Sarabun New"/>
      <family val="2"/>
    </font>
    <font>
      <b/>
      <sz val="16"/>
      <color indexed="60"/>
      <name val="TH Sarabun New"/>
      <family val="2"/>
    </font>
    <font>
      <b/>
      <u/>
      <sz val="16"/>
      <name val="TH Sarabun New"/>
      <family val="2"/>
    </font>
    <font>
      <u/>
      <sz val="16"/>
      <name val="TH Sarabun New"/>
      <family val="2"/>
    </font>
    <font>
      <sz val="14"/>
      <color indexed="10"/>
      <name val="TH Sarabun New"/>
      <family val="2"/>
    </font>
    <font>
      <b/>
      <sz val="14"/>
      <color indexed="10"/>
      <name val="TH Sarabun New"/>
      <family val="2"/>
    </font>
    <font>
      <sz val="12"/>
      <name val="TH Sarabun New"/>
      <family val="2"/>
    </font>
    <font>
      <sz val="16"/>
      <color rgb="FF3F3F76"/>
      <name val="TH Sarabun New"/>
      <family val="2"/>
    </font>
    <font>
      <b/>
      <sz val="16"/>
      <color rgb="FFFA7D00"/>
      <name val="TH Sarabun New"/>
      <family val="2"/>
    </font>
    <font>
      <sz val="16"/>
      <color rgb="FFFA7D00"/>
      <name val="TH Sarabun New"/>
      <family val="2"/>
    </font>
    <font>
      <b/>
      <sz val="16"/>
      <name val="Arial"/>
      <family val="2"/>
    </font>
    <font>
      <b/>
      <sz val="16"/>
      <color rgb="FF002060"/>
      <name val="TH Sarabun New"/>
      <family val="2"/>
    </font>
    <font>
      <sz val="14.5"/>
      <name val="TH SarabunPSK"/>
      <family val="2"/>
    </font>
    <font>
      <sz val="14.5"/>
      <color theme="1"/>
      <name val="TH SarabunPSK"/>
      <family val="2"/>
    </font>
    <font>
      <b/>
      <u/>
      <sz val="14.5"/>
      <name val="TH SarabunPSK"/>
      <family val="2"/>
    </font>
    <font>
      <sz val="14.5"/>
      <color rgb="FFFF0000"/>
      <name val="TH SarabunPSK"/>
      <family val="2"/>
    </font>
    <font>
      <sz val="16"/>
      <color rgb="FF000000"/>
      <name val="TH Sarabun New"/>
      <family val="2"/>
    </font>
    <font>
      <sz val="14"/>
      <color rgb="FF000000"/>
      <name val="TH SarabunIT�"/>
      <family val="2"/>
    </font>
    <font>
      <sz val="14"/>
      <color rgb="FFFF0000"/>
      <name val="TH SarabunPSK"/>
      <family val="2"/>
    </font>
    <font>
      <b/>
      <u/>
      <sz val="14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2"/>
      <name val="TH SarabunPSK"/>
      <family val="2"/>
    </font>
    <font>
      <sz val="14"/>
      <color indexed="10"/>
      <name val="TH SarabunPSK"/>
      <family val="2"/>
    </font>
    <font>
      <sz val="14"/>
      <color theme="0"/>
      <name val="TH SarabunPSK"/>
      <family val="2"/>
    </font>
    <font>
      <b/>
      <sz val="14"/>
      <name val="Angsana New"/>
      <family val="1"/>
    </font>
    <font>
      <b/>
      <u/>
      <sz val="14"/>
      <name val="Angsana New"/>
      <family val="1"/>
    </font>
    <font>
      <sz val="16"/>
      <color rgb="FF3F3F76"/>
      <name val="Angsana New"/>
      <family val="1"/>
    </font>
    <font>
      <sz val="15"/>
      <name val="Angsana New"/>
      <family val="1"/>
    </font>
    <font>
      <b/>
      <sz val="10"/>
      <name val="Angsana New"/>
      <family val="1"/>
    </font>
    <font>
      <u/>
      <sz val="14"/>
      <name val="Angsana New"/>
      <family val="1"/>
    </font>
    <font>
      <sz val="14"/>
      <color indexed="12"/>
      <name val="Angsana New"/>
      <family val="1"/>
    </font>
    <font>
      <u val="singleAccounting"/>
      <sz val="14"/>
      <name val="Angsana New"/>
      <family val="1"/>
    </font>
    <font>
      <b/>
      <u val="singleAccounting"/>
      <sz val="14"/>
      <name val="Angsana New"/>
      <family val="1"/>
    </font>
    <font>
      <b/>
      <sz val="14"/>
      <color rgb="FFFA7D00"/>
      <name val="Angsana New"/>
      <family val="1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52"/>
        <bgColor indexed="29"/>
      </patternFill>
    </fill>
    <fill>
      <patternFill patternType="solid">
        <fgColor indexed="16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4F2A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22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/>
      <right style="medium">
        <color indexed="64"/>
      </right>
      <top/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/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0.59996337778862885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2">
    <xf numFmtId="0" fontId="0" fillId="0" borderId="0"/>
    <xf numFmtId="0" fontId="127" fillId="14" borderId="101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6" fillId="15" borderId="101" applyNumberFormat="0" applyAlignment="0" applyProtection="0"/>
    <xf numFmtId="39" fontId="5" fillId="0" borderId="0"/>
    <xf numFmtId="0" fontId="1" fillId="0" borderId="0"/>
    <xf numFmtId="0" fontId="33" fillId="0" borderId="0"/>
    <xf numFmtId="4" fontId="1" fillId="0" borderId="0"/>
    <xf numFmtId="9" fontId="75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31" fillId="0" borderId="0" applyFont="0" applyFill="0" applyBorder="0" applyAlignment="0" applyProtection="0"/>
    <xf numFmtId="195" fontId="57" fillId="0" borderId="0" applyFont="0" applyFill="0" applyBorder="0" applyAlignment="0" applyProtection="0"/>
    <xf numFmtId="0" fontId="30" fillId="0" borderId="0"/>
    <xf numFmtId="0" fontId="31" fillId="0" borderId="0"/>
    <xf numFmtId="0" fontId="57" fillId="0" borderId="0"/>
    <xf numFmtId="0" fontId="33" fillId="0" borderId="0"/>
    <xf numFmtId="0" fontId="1" fillId="0" borderId="0"/>
    <xf numFmtId="0" fontId="1" fillId="0" borderId="0"/>
    <xf numFmtId="9" fontId="31" fillId="0" borderId="0" applyFont="0" applyFill="0" applyBorder="0" applyAlignment="0" applyProtection="0"/>
    <xf numFmtId="9" fontId="57" fillId="0" borderId="0" applyFont="0" applyFill="0" applyBorder="0" applyAlignment="0" applyProtection="0"/>
  </cellStyleXfs>
  <cellXfs count="1517">
    <xf numFmtId="0" fontId="0" fillId="0" borderId="0" xfId="0"/>
    <xf numFmtId="0" fontId="3" fillId="0" borderId="0" xfId="0" applyFont="1"/>
    <xf numFmtId="39" fontId="3" fillId="0" borderId="1" xfId="5" applyFont="1" applyBorder="1"/>
    <xf numFmtId="39" fontId="3" fillId="0" borderId="2" xfId="5" applyFont="1" applyBorder="1"/>
    <xf numFmtId="39" fontId="3" fillId="0" borderId="0" xfId="5" applyFont="1"/>
    <xf numFmtId="39" fontId="6" fillId="0" borderId="3" xfId="5" applyFont="1" applyBorder="1" applyAlignment="1">
      <alignment horizontal="center"/>
    </xf>
    <xf numFmtId="39" fontId="6" fillId="0" borderId="4" xfId="5" applyFont="1" applyBorder="1" applyAlignment="1">
      <alignment horizontal="center"/>
    </xf>
    <xf numFmtId="39" fontId="6" fillId="0" borderId="5" xfId="5" applyFont="1" applyBorder="1" applyAlignment="1">
      <alignment horizont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39" fontId="6" fillId="0" borderId="0" xfId="5" applyFont="1" applyAlignment="1">
      <alignment horizontal="left"/>
    </xf>
    <xf numFmtId="39" fontId="6" fillId="0" borderId="6" xfId="5" applyFont="1" applyBorder="1" applyAlignment="1">
      <alignment horizontal="center"/>
    </xf>
    <xf numFmtId="39" fontId="6" fillId="0" borderId="7" xfId="5" applyFont="1" applyBorder="1" applyAlignment="1">
      <alignment horizontal="center"/>
    </xf>
    <xf numFmtId="39" fontId="6" fillId="0" borderId="8" xfId="5" applyFont="1" applyBorder="1" applyAlignment="1">
      <alignment horizontal="center"/>
    </xf>
    <xf numFmtId="2" fontId="6" fillId="0" borderId="9" xfId="5" applyNumberFormat="1" applyFont="1" applyBorder="1" applyAlignment="1">
      <alignment horizontal="centerContinuous"/>
    </xf>
    <xf numFmtId="2" fontId="6" fillId="0" borderId="8" xfId="5" applyNumberFormat="1" applyFont="1" applyBorder="1" applyAlignment="1">
      <alignment horizontal="centerContinuous"/>
    </xf>
    <xf numFmtId="2" fontId="9" fillId="0" borderId="10" xfId="5" applyNumberFormat="1" applyFont="1" applyBorder="1" applyAlignment="1">
      <alignment horizontal="center"/>
    </xf>
    <xf numFmtId="0" fontId="6" fillId="0" borderId="11" xfId="0" applyFont="1" applyBorder="1"/>
    <xf numFmtId="39" fontId="9" fillId="0" borderId="2" xfId="5" applyFont="1" applyBorder="1"/>
    <xf numFmtId="39" fontId="6" fillId="0" borderId="2" xfId="5" applyFont="1" applyBorder="1"/>
    <xf numFmtId="39" fontId="7" fillId="0" borderId="2" xfId="5" applyFont="1" applyBorder="1" applyAlignment="1">
      <alignment horizontal="center"/>
    </xf>
    <xf numFmtId="39" fontId="7" fillId="0" borderId="2" xfId="5" applyFont="1" applyBorder="1"/>
    <xf numFmtId="39" fontId="6" fillId="0" borderId="11" xfId="5" applyFont="1" applyBorder="1"/>
    <xf numFmtId="0" fontId="6" fillId="0" borderId="6" xfId="0" applyFont="1" applyBorder="1"/>
    <xf numFmtId="188" fontId="6" fillId="0" borderId="2" xfId="5" applyNumberFormat="1" applyFont="1" applyBorder="1" applyAlignment="1">
      <alignment horizontal="center"/>
    </xf>
    <xf numFmtId="39" fontId="6" fillId="0" borderId="2" xfId="5" applyFont="1" applyBorder="1" applyAlignment="1">
      <alignment horizontal="center"/>
    </xf>
    <xf numFmtId="39" fontId="6" fillId="0" borderId="0" xfId="5" applyFont="1"/>
    <xf numFmtId="2" fontId="6" fillId="0" borderId="0" xfId="5" applyNumberFormat="1" applyFont="1" applyAlignment="1">
      <alignment horizontal="centerContinuous"/>
    </xf>
    <xf numFmtId="39" fontId="6" fillId="0" borderId="12" xfId="5" applyFont="1" applyBorder="1" applyAlignment="1">
      <alignment horizontal="center"/>
    </xf>
    <xf numFmtId="2" fontId="6" fillId="0" borderId="13" xfId="5" applyNumberFormat="1" applyFont="1" applyBorder="1" applyAlignment="1">
      <alignment horizontal="center"/>
    </xf>
    <xf numFmtId="39" fontId="6" fillId="0" borderId="11" xfId="5" applyFont="1" applyBorder="1" applyAlignment="1">
      <alignment horizontal="center"/>
    </xf>
    <xf numFmtId="2" fontId="6" fillId="0" borderId="10" xfId="5" applyNumberFormat="1" applyFont="1" applyBorder="1" applyAlignment="1">
      <alignment horizontal="center"/>
    </xf>
    <xf numFmtId="39" fontId="10" fillId="2" borderId="0" xfId="5" applyFont="1" applyFill="1" applyAlignment="1">
      <alignment horizontal="centerContinuous"/>
    </xf>
    <xf numFmtId="39" fontId="5" fillId="2" borderId="0" xfId="5" applyFill="1" applyAlignment="1">
      <alignment horizontal="centerContinuous"/>
    </xf>
    <xf numFmtId="39" fontId="5" fillId="0" borderId="0" xfId="5"/>
    <xf numFmtId="0" fontId="11" fillId="0" borderId="0" xfId="0" applyFont="1"/>
    <xf numFmtId="39" fontId="6" fillId="0" borderId="14" xfId="5" applyFont="1" applyBorder="1" applyAlignment="1">
      <alignment horizontal="center"/>
    </xf>
    <xf numFmtId="39" fontId="6" fillId="0" borderId="15" xfId="5" applyFont="1" applyBorder="1" applyAlignment="1">
      <alignment horizontal="center"/>
    </xf>
    <xf numFmtId="39" fontId="6" fillId="0" borderId="1" xfId="5" applyFont="1" applyBorder="1" applyAlignment="1">
      <alignment horizontal="center"/>
    </xf>
    <xf numFmtId="39" fontId="6" fillId="0" borderId="13" xfId="5" applyFont="1" applyBorder="1" applyAlignment="1">
      <alignment horizontal="center"/>
    </xf>
    <xf numFmtId="195" fontId="6" fillId="0" borderId="13" xfId="5" applyNumberFormat="1" applyFont="1" applyBorder="1" applyAlignment="1">
      <alignment horizontal="center"/>
    </xf>
    <xf numFmtId="189" fontId="9" fillId="0" borderId="16" xfId="0" applyNumberFormat="1" applyFont="1" applyBorder="1" applyAlignment="1">
      <alignment horizontal="center" vertical="center"/>
    </xf>
    <xf numFmtId="189" fontId="9" fillId="0" borderId="2" xfId="0" applyNumberFormat="1" applyFont="1" applyBorder="1" applyAlignment="1">
      <alignment horizontal="center" vertical="center"/>
    </xf>
    <xf numFmtId="189" fontId="6" fillId="0" borderId="13" xfId="5" applyNumberFormat="1" applyFont="1" applyBorder="1" applyAlignment="1">
      <alignment horizontal="center"/>
    </xf>
    <xf numFmtId="189" fontId="9" fillId="0" borderId="17" xfId="0" applyNumberFormat="1" applyFont="1" applyBorder="1" applyAlignment="1">
      <alignment horizontal="center" vertical="center"/>
    </xf>
    <xf numFmtId="189" fontId="6" fillId="0" borderId="5" xfId="5" applyNumberFormat="1" applyFont="1" applyBorder="1" applyAlignment="1">
      <alignment horizontal="center"/>
    </xf>
    <xf numFmtId="195" fontId="6" fillId="0" borderId="17" xfId="5" applyNumberFormat="1" applyFont="1" applyBorder="1" applyAlignment="1">
      <alignment horizontal="center"/>
    </xf>
    <xf numFmtId="39" fontId="6" fillId="0" borderId="18" xfId="5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39" fontId="3" fillId="0" borderId="19" xfId="5" applyFont="1" applyBorder="1" applyAlignment="1">
      <alignment horizontal="center"/>
    </xf>
    <xf numFmtId="39" fontId="3" fillId="0" borderId="20" xfId="5" applyFont="1" applyBorder="1" applyAlignment="1">
      <alignment horizontal="center"/>
    </xf>
    <xf numFmtId="1" fontId="2" fillId="0" borderId="20" xfId="5" applyNumberFormat="1" applyFont="1" applyBorder="1" applyAlignment="1">
      <alignment horizontal="center"/>
    </xf>
    <xf numFmtId="1" fontId="2" fillId="0" borderId="21" xfId="5" applyNumberFormat="1" applyFont="1" applyBorder="1" applyAlignment="1">
      <alignment horizontal="center"/>
    </xf>
    <xf numFmtId="39" fontId="3" fillId="0" borderId="14" xfId="5" applyFont="1" applyBorder="1" applyAlignment="1">
      <alignment horizontal="center"/>
    </xf>
    <xf numFmtId="39" fontId="3" fillId="0" borderId="16" xfId="5" applyFont="1" applyBorder="1" applyAlignment="1">
      <alignment horizontal="center"/>
    </xf>
    <xf numFmtId="39" fontId="3" fillId="0" borderId="3" xfId="5" applyFont="1" applyBorder="1" applyAlignment="1">
      <alignment horizontal="center"/>
    </xf>
    <xf numFmtId="39" fontId="3" fillId="0" borderId="15" xfId="5" applyFont="1" applyBorder="1" applyAlignment="1">
      <alignment horizontal="center"/>
    </xf>
    <xf numFmtId="39" fontId="3" fillId="0" borderId="17" xfId="5" applyFont="1" applyBorder="1" applyAlignment="1">
      <alignment horizontal="center"/>
    </xf>
    <xf numFmtId="39" fontId="3" fillId="0" borderId="5" xfId="5" applyFont="1" applyBorder="1" applyAlignment="1">
      <alignment horizontal="center"/>
    </xf>
    <xf numFmtId="39" fontId="3" fillId="0" borderId="2" xfId="5" applyFont="1" applyBorder="1" applyAlignment="1">
      <alignment horizontal="right"/>
    </xf>
    <xf numFmtId="39" fontId="6" fillId="0" borderId="0" xfId="5" quotePrefix="1" applyFont="1" applyAlignment="1">
      <alignment horizontal="center"/>
    </xf>
    <xf numFmtId="39" fontId="6" fillId="0" borderId="0" xfId="5" applyFont="1" applyAlignment="1">
      <alignment horizontal="center"/>
    </xf>
    <xf numFmtId="39" fontId="6" fillId="0" borderId="22" xfId="5" quotePrefix="1" applyFont="1" applyBorder="1" applyAlignment="1">
      <alignment horizontal="center"/>
    </xf>
    <xf numFmtId="194" fontId="6" fillId="0" borderId="18" xfId="0" applyNumberFormat="1" applyFont="1" applyBorder="1" applyAlignment="1">
      <alignment horizontal="center"/>
    </xf>
    <xf numFmtId="194" fontId="6" fillId="0" borderId="23" xfId="0" applyNumberFormat="1" applyFont="1" applyBorder="1" applyAlignment="1">
      <alignment horizontal="center"/>
    </xf>
    <xf numFmtId="0" fontId="7" fillId="0" borderId="0" xfId="0" applyFont="1"/>
    <xf numFmtId="0" fontId="13" fillId="0" borderId="0" xfId="0" applyFont="1"/>
    <xf numFmtId="0" fontId="8" fillId="0" borderId="0" xfId="0" applyFont="1"/>
    <xf numFmtId="0" fontId="13" fillId="0" borderId="0" xfId="0" applyFont="1" applyAlignment="1">
      <alignment horizontal="left"/>
    </xf>
    <xf numFmtId="0" fontId="13" fillId="0" borderId="6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7" xfId="0" applyFont="1" applyBorder="1" applyAlignment="1">
      <alignment horizontal="left"/>
    </xf>
    <xf numFmtId="0" fontId="13" fillId="0" borderId="11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/>
    <xf numFmtId="3" fontId="13" fillId="0" borderId="6" xfId="0" applyNumberFormat="1" applyFont="1" applyBorder="1"/>
    <xf numFmtId="0" fontId="13" fillId="0" borderId="6" xfId="0" applyFont="1" applyBorder="1"/>
    <xf numFmtId="0" fontId="13" fillId="0" borderId="2" xfId="0" applyFont="1" applyBorder="1"/>
    <xf numFmtId="0" fontId="13" fillId="0" borderId="13" xfId="0" applyFont="1" applyBorder="1"/>
    <xf numFmtId="0" fontId="13" fillId="0" borderId="2" xfId="0" applyFont="1" applyBorder="1" applyAlignment="1">
      <alignment horizontal="center"/>
    </xf>
    <xf numFmtId="188" fontId="13" fillId="0" borderId="2" xfId="0" applyNumberFormat="1" applyFont="1" applyBorder="1"/>
    <xf numFmtId="43" fontId="13" fillId="0" borderId="2" xfId="0" applyNumberFormat="1" applyFont="1" applyBorder="1"/>
    <xf numFmtId="39" fontId="13" fillId="0" borderId="26" xfId="0" applyNumberFormat="1" applyFont="1" applyBorder="1" applyAlignment="1">
      <alignment horizontal="left"/>
    </xf>
    <xf numFmtId="39" fontId="13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6" xfId="0" applyFont="1" applyBorder="1"/>
    <xf numFmtId="41" fontId="13" fillId="0" borderId="2" xfId="0" applyNumberFormat="1" applyFont="1" applyBorder="1"/>
    <xf numFmtId="0" fontId="13" fillId="0" borderId="26" xfId="0" applyFont="1" applyBorder="1"/>
    <xf numFmtId="49" fontId="8" fillId="0" borderId="26" xfId="0" applyNumberFormat="1" applyFont="1" applyBorder="1"/>
    <xf numFmtId="49" fontId="13" fillId="0" borderId="26" xfId="0" applyNumberFormat="1" applyFont="1" applyBorder="1"/>
    <xf numFmtId="188" fontId="13" fillId="0" borderId="13" xfId="0" applyNumberFormat="1" applyFont="1" applyBorder="1"/>
    <xf numFmtId="0" fontId="13" fillId="0" borderId="11" xfId="0" applyFont="1" applyBorder="1"/>
    <xf numFmtId="0" fontId="13" fillId="0" borderId="27" xfId="0" applyFont="1" applyBorder="1"/>
    <xf numFmtId="0" fontId="13" fillId="0" borderId="12" xfId="0" applyFont="1" applyBorder="1"/>
    <xf numFmtId="4" fontId="8" fillId="0" borderId="12" xfId="0" applyNumberFormat="1" applyFont="1" applyBorder="1"/>
    <xf numFmtId="0" fontId="13" fillId="0" borderId="26" xfId="0" applyFont="1" applyBorder="1" applyAlignment="1">
      <alignment horizontal="center"/>
    </xf>
    <xf numFmtId="41" fontId="13" fillId="0" borderId="2" xfId="0" applyNumberFormat="1" applyFont="1" applyBorder="1" applyAlignment="1">
      <alignment horizontal="right"/>
    </xf>
    <xf numFmtId="0" fontId="13" fillId="0" borderId="25" xfId="0" applyFont="1" applyBorder="1"/>
    <xf numFmtId="0" fontId="13" fillId="0" borderId="28" xfId="0" applyFont="1" applyBorder="1"/>
    <xf numFmtId="41" fontId="13" fillId="0" borderId="11" xfId="0" applyNumberFormat="1" applyFont="1" applyBorder="1" applyAlignment="1">
      <alignment horizontal="center"/>
    </xf>
    <xf numFmtId="43" fontId="13" fillId="0" borderId="11" xfId="0" applyNumberFormat="1" applyFont="1" applyBorder="1"/>
    <xf numFmtId="4" fontId="13" fillId="0" borderId="0" xfId="8" applyFont="1"/>
    <xf numFmtId="3" fontId="13" fillId="0" borderId="0" xfId="0" applyNumberFormat="1" applyFont="1" applyAlignment="1">
      <alignment horizontal="center"/>
    </xf>
    <xf numFmtId="3" fontId="13" fillId="0" borderId="0" xfId="0" applyNumberFormat="1" applyFont="1"/>
    <xf numFmtId="0" fontId="8" fillId="0" borderId="10" xfId="0" applyFont="1" applyBorder="1" applyAlignment="1">
      <alignment horizontal="center"/>
    </xf>
    <xf numFmtId="39" fontId="13" fillId="0" borderId="0" xfId="0" applyNumberFormat="1" applyFont="1" applyAlignment="1">
      <alignment horizontal="left"/>
    </xf>
    <xf numFmtId="39" fontId="8" fillId="0" borderId="0" xfId="0" applyNumberFormat="1" applyFont="1" applyAlignment="1">
      <alignment horizontal="left"/>
    </xf>
    <xf numFmtId="0" fontId="13" fillId="0" borderId="29" xfId="0" applyFont="1" applyBorder="1"/>
    <xf numFmtId="0" fontId="13" fillId="0" borderId="7" xfId="0" applyFont="1" applyBorder="1"/>
    <xf numFmtId="4" fontId="13" fillId="0" borderId="0" xfId="8" applyFont="1" applyAlignment="1">
      <alignment horizontal="left"/>
    </xf>
    <xf numFmtId="4" fontId="13" fillId="0" borderId="0" xfId="8" applyFont="1" applyProtection="1">
      <protection locked="0"/>
    </xf>
    <xf numFmtId="0" fontId="13" fillId="0" borderId="0" xfId="0" applyFont="1" applyProtection="1">
      <protection locked="0"/>
    </xf>
    <xf numFmtId="39" fontId="13" fillId="0" borderId="0" xfId="0" applyNumberFormat="1" applyFont="1" applyAlignment="1">
      <alignment horizontal="center"/>
    </xf>
    <xf numFmtId="4" fontId="13" fillId="0" borderId="0" xfId="8" applyFont="1" applyAlignment="1" applyProtection="1">
      <alignment horizontal="center"/>
      <protection locked="0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15" fillId="0" borderId="0" xfId="0" applyFont="1"/>
    <xf numFmtId="39" fontId="3" fillId="0" borderId="30" xfId="5" applyFont="1" applyBorder="1"/>
    <xf numFmtId="1" fontId="2" fillId="0" borderId="31" xfId="5" applyNumberFormat="1" applyFont="1" applyBorder="1" applyAlignment="1">
      <alignment horizontal="center"/>
    </xf>
    <xf numFmtId="39" fontId="3" fillId="0" borderId="32" xfId="5" applyFont="1" applyBorder="1" applyAlignment="1">
      <alignment horizontal="right"/>
    </xf>
    <xf numFmtId="39" fontId="3" fillId="0" borderId="32" xfId="5" applyFont="1" applyBorder="1"/>
    <xf numFmtId="39" fontId="3" fillId="0" borderId="33" xfId="5" applyFont="1" applyBorder="1" applyAlignment="1">
      <alignment horizontal="right"/>
    </xf>
    <xf numFmtId="39" fontId="3" fillId="0" borderId="33" xfId="5" applyFont="1" applyBorder="1"/>
    <xf numFmtId="39" fontId="3" fillId="0" borderId="34" xfId="5" applyFont="1" applyBorder="1" applyAlignment="1">
      <alignment horizontal="right"/>
    </xf>
    <xf numFmtId="39" fontId="3" fillId="0" borderId="34" xfId="5" applyFont="1" applyBorder="1"/>
    <xf numFmtId="39" fontId="3" fillId="3" borderId="35" xfId="5" applyFont="1" applyFill="1" applyBorder="1"/>
    <xf numFmtId="39" fontId="3" fillId="3" borderId="36" xfId="5" applyFont="1" applyFill="1" applyBorder="1"/>
    <xf numFmtId="39" fontId="3" fillId="0" borderId="37" xfId="5" applyFont="1" applyBorder="1"/>
    <xf numFmtId="39" fontId="3" fillId="0" borderId="38" xfId="5" applyFont="1" applyBorder="1"/>
    <xf numFmtId="1" fontId="2" fillId="0" borderId="39" xfId="5" applyNumberFormat="1" applyFont="1" applyBorder="1" applyAlignment="1">
      <alignment horizontal="center"/>
    </xf>
    <xf numFmtId="39" fontId="3" fillId="0" borderId="40" xfId="5" applyFont="1" applyBorder="1"/>
    <xf numFmtId="39" fontId="3" fillId="0" borderId="41" xfId="5" applyFont="1" applyBorder="1" applyAlignment="1">
      <alignment horizontal="right"/>
    </xf>
    <xf numFmtId="39" fontId="3" fillId="0" borderId="41" xfId="5" applyFont="1" applyBorder="1"/>
    <xf numFmtId="200" fontId="13" fillId="0" borderId="0" xfId="2" applyNumberFormat="1" applyFont="1" applyProtection="1"/>
    <xf numFmtId="39" fontId="3" fillId="3" borderId="42" xfId="5" applyFont="1" applyFill="1" applyBorder="1"/>
    <xf numFmtId="0" fontId="6" fillId="0" borderId="43" xfId="0" applyFont="1" applyBorder="1" applyAlignment="1">
      <alignment horizontal="center"/>
    </xf>
    <xf numFmtId="39" fontId="6" fillId="0" borderId="16" xfId="5" applyFont="1" applyBorder="1" applyAlignment="1">
      <alignment horizontal="center"/>
    </xf>
    <xf numFmtId="39" fontId="6" fillId="0" borderId="17" xfId="5" applyFont="1" applyBorder="1" applyAlignment="1">
      <alignment horizontal="center"/>
    </xf>
    <xf numFmtId="195" fontId="6" fillId="0" borderId="2" xfId="5" applyNumberFormat="1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201" fontId="6" fillId="0" borderId="0" xfId="0" applyNumberFormat="1" applyFont="1"/>
    <xf numFmtId="195" fontId="6" fillId="0" borderId="5" xfId="5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88" fontId="6" fillId="0" borderId="2" xfId="5" applyNumberFormat="1" applyFont="1" applyBorder="1"/>
    <xf numFmtId="0" fontId="6" fillId="0" borderId="2" xfId="0" applyFont="1" applyBorder="1"/>
    <xf numFmtId="2" fontId="6" fillId="0" borderId="2" xfId="5" applyNumberFormat="1" applyFont="1" applyBorder="1"/>
    <xf numFmtId="0" fontId="6" fillId="0" borderId="28" xfId="0" applyFont="1" applyBorder="1"/>
    <xf numFmtId="2" fontId="6" fillId="0" borderId="28" xfId="0" applyNumberFormat="1" applyFont="1" applyBorder="1" applyAlignment="1">
      <alignment horizontal="center"/>
    </xf>
    <xf numFmtId="1" fontId="16" fillId="0" borderId="44" xfId="5" quotePrefix="1" applyNumberFormat="1" applyFont="1" applyBorder="1"/>
    <xf numFmtId="39" fontId="3" fillId="3" borderId="36" xfId="5" applyFont="1" applyFill="1" applyBorder="1" applyAlignment="1">
      <alignment horizontal="right"/>
    </xf>
    <xf numFmtId="39" fontId="3" fillId="3" borderId="45" xfId="5" applyFont="1" applyFill="1" applyBorder="1" applyAlignment="1">
      <alignment horizontal="right"/>
    </xf>
    <xf numFmtId="39" fontId="3" fillId="0" borderId="46" xfId="5" applyFont="1" applyBorder="1"/>
    <xf numFmtId="39" fontId="19" fillId="0" borderId="47" xfId="5" applyFont="1" applyBorder="1"/>
    <xf numFmtId="0" fontId="6" fillId="0" borderId="4" xfId="0" applyFont="1" applyBorder="1"/>
    <xf numFmtId="2" fontId="8" fillId="0" borderId="48" xfId="0" applyNumberFormat="1" applyFont="1" applyBorder="1" applyAlignment="1">
      <alignment horizontal="center"/>
    </xf>
    <xf numFmtId="39" fontId="6" fillId="0" borderId="43" xfId="5" applyFont="1" applyBorder="1" applyAlignment="1">
      <alignment horizontal="center"/>
    </xf>
    <xf numFmtId="1" fontId="9" fillId="0" borderId="47" xfId="5" quotePrefix="1" applyNumberFormat="1" applyFont="1" applyBorder="1"/>
    <xf numFmtId="39" fontId="6" fillId="0" borderId="49" xfId="5" applyFont="1" applyBorder="1"/>
    <xf numFmtId="39" fontId="6" fillId="0" borderId="4" xfId="5" applyFont="1" applyBorder="1"/>
    <xf numFmtId="1" fontId="6" fillId="0" borderId="48" xfId="5" applyNumberFormat="1" applyFont="1" applyBorder="1" applyAlignment="1">
      <alignment horizontal="left"/>
    </xf>
    <xf numFmtId="2" fontId="8" fillId="0" borderId="44" xfId="0" applyNumberFormat="1" applyFont="1" applyBorder="1" applyAlignment="1">
      <alignment horizontal="center"/>
    </xf>
    <xf numFmtId="39" fontId="6" fillId="0" borderId="12" xfId="5" applyFont="1" applyBorder="1" applyAlignment="1">
      <alignment horizontal="centerContinuous"/>
    </xf>
    <xf numFmtId="37" fontId="6" fillId="0" borderId="17" xfId="5" applyNumberFormat="1" applyFont="1" applyBorder="1" applyAlignment="1">
      <alignment horizontal="center"/>
    </xf>
    <xf numFmtId="37" fontId="6" fillId="0" borderId="22" xfId="5" applyNumberFormat="1" applyFont="1" applyBorder="1" applyAlignment="1">
      <alignment horizontal="center"/>
    </xf>
    <xf numFmtId="39" fontId="6" fillId="0" borderId="23" xfId="5" applyFont="1" applyBorder="1" applyAlignment="1">
      <alignment horizontal="center"/>
    </xf>
    <xf numFmtId="199" fontId="6" fillId="0" borderId="1" xfId="5" applyNumberFormat="1" applyFont="1" applyBorder="1" applyAlignment="1">
      <alignment horizontal="center"/>
    </xf>
    <xf numFmtId="195" fontId="6" fillId="0" borderId="1" xfId="5" applyNumberFormat="1" applyFont="1" applyBorder="1" applyAlignment="1">
      <alignment horizontal="center"/>
    </xf>
    <xf numFmtId="195" fontId="6" fillId="0" borderId="23" xfId="5" applyNumberFormat="1" applyFont="1" applyBorder="1" applyAlignment="1">
      <alignment horizontal="center"/>
    </xf>
    <xf numFmtId="195" fontId="12" fillId="4" borderId="1" xfId="5" applyNumberFormat="1" applyFont="1" applyFill="1" applyBorder="1" applyAlignment="1">
      <alignment horizontal="center"/>
    </xf>
    <xf numFmtId="195" fontId="12" fillId="4" borderId="2" xfId="5" applyNumberFormat="1" applyFont="1" applyFill="1" applyBorder="1" applyAlignment="1">
      <alignment horizontal="center"/>
    </xf>
    <xf numFmtId="195" fontId="12" fillId="4" borderId="23" xfId="5" applyNumberFormat="1" applyFont="1" applyFill="1" applyBorder="1" applyAlignment="1">
      <alignment horizontal="center"/>
    </xf>
    <xf numFmtId="195" fontId="12" fillId="0" borderId="1" xfId="5" applyNumberFormat="1" applyFont="1" applyBorder="1" applyAlignment="1">
      <alignment horizontal="center"/>
    </xf>
    <xf numFmtId="195" fontId="12" fillId="0" borderId="2" xfId="5" applyNumberFormat="1" applyFont="1" applyBorder="1" applyAlignment="1">
      <alignment horizontal="center"/>
    </xf>
    <xf numFmtId="195" fontId="12" fillId="0" borderId="23" xfId="5" applyNumberFormat="1" applyFont="1" applyBorder="1" applyAlignment="1">
      <alignment horizontal="center"/>
    </xf>
    <xf numFmtId="39" fontId="6" fillId="0" borderId="1" xfId="5" applyFont="1" applyBorder="1"/>
    <xf numFmtId="39" fontId="6" fillId="0" borderId="23" xfId="5" applyFont="1" applyBorder="1"/>
    <xf numFmtId="39" fontId="6" fillId="0" borderId="15" xfId="5" applyFont="1" applyBorder="1"/>
    <xf numFmtId="39" fontId="6" fillId="0" borderId="17" xfId="5" applyFont="1" applyBorder="1"/>
    <xf numFmtId="39" fontId="6" fillId="0" borderId="22" xfId="5" applyFont="1" applyBorder="1"/>
    <xf numFmtId="39" fontId="3" fillId="0" borderId="50" xfId="5" applyFont="1" applyBorder="1"/>
    <xf numFmtId="39" fontId="3" fillId="0" borderId="51" xfId="5" applyFont="1" applyBorder="1" applyAlignment="1">
      <alignment horizontal="right"/>
    </xf>
    <xf numFmtId="39" fontId="3" fillId="0" borderId="51" xfId="5" applyFont="1" applyBorder="1"/>
    <xf numFmtId="39" fontId="20" fillId="0" borderId="0" xfId="5" applyFont="1" applyAlignment="1">
      <alignment horizontal="left"/>
    </xf>
    <xf numFmtId="43" fontId="13" fillId="0" borderId="0" xfId="0" applyNumberFormat="1" applyFont="1"/>
    <xf numFmtId="2" fontId="6" fillId="0" borderId="2" xfId="0" applyNumberFormat="1" applyFont="1" applyBorder="1"/>
    <xf numFmtId="0" fontId="13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192" fontId="13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197" fontId="13" fillId="0" borderId="0" xfId="0" applyNumberFormat="1" applyFont="1"/>
    <xf numFmtId="3" fontId="13" fillId="0" borderId="0" xfId="0" applyNumberFormat="1" applyFont="1" applyAlignment="1">
      <alignment horizontal="left"/>
    </xf>
    <xf numFmtId="0" fontId="7" fillId="0" borderId="13" xfId="0" applyFont="1" applyBorder="1"/>
    <xf numFmtId="0" fontId="13" fillId="0" borderId="10" xfId="0" applyFont="1" applyBorder="1"/>
    <xf numFmtId="3" fontId="7" fillId="0" borderId="25" xfId="0" applyNumberFormat="1" applyFont="1" applyBorder="1"/>
    <xf numFmtId="3" fontId="13" fillId="0" borderId="24" xfId="0" applyNumberFormat="1" applyFont="1" applyBorder="1"/>
    <xf numFmtId="3" fontId="13" fillId="0" borderId="26" xfId="0" applyNumberFormat="1" applyFont="1" applyBorder="1"/>
    <xf numFmtId="3" fontId="13" fillId="0" borderId="28" xfId="0" applyNumberFormat="1" applyFont="1" applyBorder="1"/>
    <xf numFmtId="4" fontId="13" fillId="0" borderId="0" xfId="0" applyNumberFormat="1" applyFont="1" applyAlignment="1">
      <alignment horizontal="center"/>
    </xf>
    <xf numFmtId="3" fontId="14" fillId="0" borderId="0" xfId="0" applyNumberFormat="1" applyFont="1"/>
    <xf numFmtId="4" fontId="13" fillId="0" borderId="0" xfId="8" applyFont="1" applyAlignment="1">
      <alignment horizontal="right"/>
    </xf>
    <xf numFmtId="4" fontId="13" fillId="0" borderId="0" xfId="8" applyFont="1" applyAlignment="1" applyProtection="1">
      <alignment horizontal="right"/>
      <protection locked="0"/>
    </xf>
    <xf numFmtId="4" fontId="13" fillId="0" borderId="0" xfId="0" applyNumberFormat="1" applyFont="1"/>
    <xf numFmtId="0" fontId="13" fillId="0" borderId="8" xfId="0" applyFont="1" applyBorder="1"/>
    <xf numFmtId="189" fontId="6" fillId="0" borderId="0" xfId="0" applyNumberFormat="1" applyFont="1"/>
    <xf numFmtId="193" fontId="23" fillId="0" borderId="16" xfId="0" applyNumberFormat="1" applyFont="1" applyBorder="1" applyAlignment="1">
      <alignment horizontal="center"/>
    </xf>
    <xf numFmtId="189" fontId="23" fillId="0" borderId="18" xfId="0" applyNumberFormat="1" applyFont="1" applyBorder="1" applyAlignment="1">
      <alignment horizontal="center"/>
    </xf>
    <xf numFmtId="189" fontId="23" fillId="0" borderId="23" xfId="0" applyNumberFormat="1" applyFont="1" applyBorder="1" applyAlignment="1">
      <alignment horizontal="center"/>
    </xf>
    <xf numFmtId="193" fontId="23" fillId="0" borderId="2" xfId="0" applyNumberFormat="1" applyFont="1" applyBorder="1" applyAlignment="1">
      <alignment horizontal="center"/>
    </xf>
    <xf numFmtId="193" fontId="23" fillId="0" borderId="17" xfId="0" applyNumberFormat="1" applyFont="1" applyBorder="1" applyAlignment="1">
      <alignment horizontal="center"/>
    </xf>
    <xf numFmtId="189" fontId="23" fillId="0" borderId="22" xfId="0" applyNumberFormat="1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4" fillId="0" borderId="13" xfId="0" applyFont="1" applyBorder="1"/>
    <xf numFmtId="0" fontId="24" fillId="0" borderId="0" xfId="0" applyFont="1"/>
    <xf numFmtId="0" fontId="24" fillId="0" borderId="26" xfId="0" applyFont="1" applyBorder="1"/>
    <xf numFmtId="0" fontId="24" fillId="0" borderId="2" xfId="0" applyFont="1" applyBorder="1"/>
    <xf numFmtId="43" fontId="24" fillId="0" borderId="0" xfId="0" applyNumberFormat="1" applyFont="1"/>
    <xf numFmtId="39" fontId="25" fillId="0" borderId="2" xfId="5" applyFont="1" applyBorder="1"/>
    <xf numFmtId="0" fontId="25" fillId="0" borderId="2" xfId="0" applyFont="1" applyBorder="1"/>
    <xf numFmtId="0" fontId="7" fillId="0" borderId="2" xfId="0" applyFont="1" applyBorder="1"/>
    <xf numFmtId="0" fontId="26" fillId="0" borderId="2" xfId="0" applyFont="1" applyBorder="1"/>
    <xf numFmtId="0" fontId="26" fillId="0" borderId="13" xfId="0" applyFont="1" applyBorder="1"/>
    <xf numFmtId="0" fontId="26" fillId="0" borderId="0" xfId="0" applyFont="1"/>
    <xf numFmtId="0" fontId="26" fillId="0" borderId="2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2" fillId="0" borderId="2" xfId="0" applyNumberFormat="1" applyFont="1" applyBorder="1" applyAlignment="1">
      <alignment horizontal="right"/>
    </xf>
    <xf numFmtId="0" fontId="22" fillId="0" borderId="0" xfId="0" applyFont="1"/>
    <xf numFmtId="0" fontId="22" fillId="0" borderId="25" xfId="0" applyFont="1" applyBorder="1"/>
    <xf numFmtId="0" fontId="22" fillId="0" borderId="28" xfId="0" applyFont="1" applyBorder="1"/>
    <xf numFmtId="4" fontId="22" fillId="0" borderId="12" xfId="0" applyNumberFormat="1" applyFont="1" applyBorder="1"/>
    <xf numFmtId="39" fontId="3" fillId="0" borderId="52" xfId="5" applyFont="1" applyBorder="1" applyAlignment="1">
      <alignment horizontal="right"/>
    </xf>
    <xf numFmtId="39" fontId="3" fillId="0" borderId="53" xfId="5" applyFont="1" applyBorder="1" applyAlignment="1">
      <alignment horizontal="right"/>
    </xf>
    <xf numFmtId="39" fontId="3" fillId="0" borderId="54" xfId="5" applyFont="1" applyBorder="1" applyAlignment="1">
      <alignment horizontal="right"/>
    </xf>
    <xf numFmtId="39" fontId="3" fillId="0" borderId="55" xfId="5" applyFont="1" applyBorder="1" applyAlignment="1">
      <alignment horizontal="right"/>
    </xf>
    <xf numFmtId="39" fontId="3" fillId="0" borderId="43" xfId="5" applyFont="1" applyBorder="1" applyAlignment="1">
      <alignment horizontal="right"/>
    </xf>
    <xf numFmtId="0" fontId="3" fillId="3" borderId="36" xfId="0" applyFont="1" applyFill="1" applyBorder="1"/>
    <xf numFmtId="0" fontId="3" fillId="3" borderId="45" xfId="0" applyFont="1" applyFill="1" applyBorder="1"/>
    <xf numFmtId="188" fontId="27" fillId="0" borderId="2" xfId="5" applyNumberFormat="1" applyFont="1" applyBorder="1"/>
    <xf numFmtId="0" fontId="27" fillId="0" borderId="2" xfId="0" applyFont="1" applyBorder="1"/>
    <xf numFmtId="2" fontId="27" fillId="0" borderId="2" xfId="5" applyNumberFormat="1" applyFont="1" applyBorder="1"/>
    <xf numFmtId="0" fontId="27" fillId="0" borderId="2" xfId="0" applyFont="1" applyBorder="1" applyAlignment="1">
      <alignment horizontal="center"/>
    </xf>
    <xf numFmtId="2" fontId="27" fillId="0" borderId="2" xfId="0" applyNumberFormat="1" applyFont="1" applyBorder="1"/>
    <xf numFmtId="39" fontId="3" fillId="3" borderId="56" xfId="5" applyFont="1" applyFill="1" applyBorder="1" applyAlignment="1">
      <alignment horizontal="right"/>
    </xf>
    <xf numFmtId="39" fontId="3" fillId="3" borderId="57" xfId="5" applyFont="1" applyFill="1" applyBorder="1" applyAlignment="1">
      <alignment horizontal="right"/>
    </xf>
    <xf numFmtId="41" fontId="13" fillId="16" borderId="2" xfId="0" applyNumberFormat="1" applyFont="1" applyFill="1" applyBorder="1"/>
    <xf numFmtId="190" fontId="13" fillId="17" borderId="0" xfId="0" applyNumberFormat="1" applyFont="1" applyFill="1" applyAlignment="1">
      <alignment horizontal="center"/>
    </xf>
    <xf numFmtId="202" fontId="13" fillId="16" borderId="2" xfId="0" applyNumberFormat="1" applyFont="1" applyFill="1" applyBorder="1"/>
    <xf numFmtId="2" fontId="4" fillId="0" borderId="2" xfId="5" applyNumberFormat="1" applyFont="1" applyBorder="1" applyAlignment="1">
      <alignment horizontal="center"/>
    </xf>
    <xf numFmtId="39" fontId="3" fillId="0" borderId="18" xfId="5" applyFont="1" applyBorder="1" applyAlignment="1">
      <alignment horizontal="center"/>
    </xf>
    <xf numFmtId="39" fontId="3" fillId="0" borderId="22" xfId="5" applyFont="1" applyBorder="1" applyAlignment="1">
      <alignment horizontal="center"/>
    </xf>
    <xf numFmtId="39" fontId="3" fillId="18" borderId="16" xfId="5" applyFont="1" applyFill="1" applyBorder="1" applyAlignment="1">
      <alignment horizontal="center"/>
    </xf>
    <xf numFmtId="39" fontId="3" fillId="18" borderId="17" xfId="5" applyFont="1" applyFill="1" applyBorder="1" applyAlignment="1">
      <alignment horizontal="center"/>
    </xf>
    <xf numFmtId="196" fontId="13" fillId="0" borderId="13" xfId="0" applyNumberFormat="1" applyFont="1" applyBorder="1"/>
    <xf numFmtId="39" fontId="13" fillId="0" borderId="0" xfId="0" applyNumberFormat="1" applyFont="1"/>
    <xf numFmtId="190" fontId="13" fillId="16" borderId="0" xfId="0" applyNumberFormat="1" applyFont="1" applyFill="1" applyAlignment="1">
      <alignment horizontal="center"/>
    </xf>
    <xf numFmtId="203" fontId="13" fillId="16" borderId="2" xfId="0" applyNumberFormat="1" applyFont="1" applyFill="1" applyBorder="1"/>
    <xf numFmtId="2" fontId="13" fillId="16" borderId="0" xfId="0" applyNumberFormat="1" applyFont="1" applyFill="1" applyAlignment="1">
      <alignment horizontal="center"/>
    </xf>
    <xf numFmtId="204" fontId="13" fillId="16" borderId="0" xfId="0" applyNumberFormat="1" applyFont="1" applyFill="1" applyAlignment="1">
      <alignment horizontal="center"/>
    </xf>
    <xf numFmtId="4" fontId="13" fillId="0" borderId="0" xfId="8" applyFont="1" applyAlignment="1">
      <alignment horizontal="left" indent="1"/>
    </xf>
    <xf numFmtId="4" fontId="13" fillId="0" borderId="0" xfId="8" applyFont="1" applyAlignment="1">
      <alignment horizontal="left" indent="2"/>
    </xf>
    <xf numFmtId="0" fontId="13" fillId="0" borderId="0" xfId="0" applyFont="1" applyAlignment="1" applyProtection="1">
      <alignment horizontal="left" indent="7"/>
      <protection locked="0"/>
    </xf>
    <xf numFmtId="4" fontId="13" fillId="0" borderId="0" xfId="8" applyFont="1" applyAlignment="1" applyProtection="1">
      <alignment horizontal="left" indent="6"/>
      <protection locked="0"/>
    </xf>
    <xf numFmtId="0" fontId="13" fillId="0" borderId="0" xfId="0" applyFont="1" applyAlignment="1">
      <alignment horizontal="left" indent="7"/>
    </xf>
    <xf numFmtId="0" fontId="13" fillId="0" borderId="0" xfId="0" applyFont="1" applyAlignment="1">
      <alignment horizontal="left" indent="5"/>
    </xf>
    <xf numFmtId="190" fontId="13" fillId="0" borderId="0" xfId="0" applyNumberFormat="1" applyFont="1" applyAlignment="1">
      <alignment horizontal="left"/>
    </xf>
    <xf numFmtId="43" fontId="13" fillId="0" borderId="26" xfId="0" applyNumberFormat="1" applyFont="1" applyBorder="1"/>
    <xf numFmtId="4" fontId="22" fillId="0" borderId="27" xfId="0" applyNumberFormat="1" applyFont="1" applyBorder="1"/>
    <xf numFmtId="4" fontId="22" fillId="0" borderId="26" xfId="0" applyNumberFormat="1" applyFont="1" applyBorder="1" applyAlignment="1">
      <alignment horizontal="right"/>
    </xf>
    <xf numFmtId="4" fontId="8" fillId="0" borderId="27" xfId="0" applyNumberFormat="1" applyFont="1" applyBorder="1"/>
    <xf numFmtId="0" fontId="13" fillId="0" borderId="12" xfId="0" applyFont="1" applyBorder="1" applyAlignment="1">
      <alignment horizontal="center" vertical="center"/>
    </xf>
    <xf numFmtId="205" fontId="13" fillId="0" borderId="26" xfId="0" applyNumberFormat="1" applyFont="1" applyBorder="1"/>
    <xf numFmtId="0" fontId="13" fillId="19" borderId="58" xfId="0" applyFont="1" applyFill="1" applyBorder="1" applyAlignment="1">
      <alignment horizontal="center"/>
    </xf>
    <xf numFmtId="191" fontId="8" fillId="19" borderId="57" xfId="5" applyNumberFormat="1" applyFont="1" applyFill="1" applyBorder="1" applyAlignment="1">
      <alignment horizontal="center"/>
    </xf>
    <xf numFmtId="3" fontId="13" fillId="0" borderId="28" xfId="0" applyNumberFormat="1" applyFont="1" applyBorder="1" applyAlignment="1">
      <alignment horizontal="center"/>
    </xf>
    <xf numFmtId="0" fontId="8" fillId="0" borderId="28" xfId="0" applyFont="1" applyBorder="1"/>
    <xf numFmtId="4" fontId="90" fillId="0" borderId="0" xfId="0" applyNumberFormat="1" applyFont="1"/>
    <xf numFmtId="39" fontId="3" fillId="20" borderId="36" xfId="5" applyFont="1" applyFill="1" applyBorder="1"/>
    <xf numFmtId="39" fontId="3" fillId="20" borderId="45" xfId="5" applyFont="1" applyFill="1" applyBorder="1"/>
    <xf numFmtId="39" fontId="3" fillId="20" borderId="42" xfId="5" applyFont="1" applyFill="1" applyBorder="1"/>
    <xf numFmtId="39" fontId="3" fillId="20" borderId="35" xfId="5" applyFont="1" applyFill="1" applyBorder="1"/>
    <xf numFmtId="39" fontId="3" fillId="20" borderId="33" xfId="5" applyFont="1" applyFill="1" applyBorder="1"/>
    <xf numFmtId="39" fontId="3" fillId="20" borderId="33" xfId="5" applyFont="1" applyFill="1" applyBorder="1" applyAlignment="1">
      <alignment horizontal="right"/>
    </xf>
    <xf numFmtId="39" fontId="3" fillId="20" borderId="59" xfId="5" applyFont="1" applyFill="1" applyBorder="1" applyAlignment="1">
      <alignment horizontal="right"/>
    </xf>
    <xf numFmtId="39" fontId="3" fillId="20" borderId="52" xfId="5" applyFont="1" applyFill="1" applyBorder="1" applyAlignment="1">
      <alignment horizontal="right"/>
    </xf>
    <xf numFmtId="39" fontId="3" fillId="20" borderId="32" xfId="5" applyFont="1" applyFill="1" applyBorder="1"/>
    <xf numFmtId="39" fontId="3" fillId="20" borderId="32" xfId="5" applyFont="1" applyFill="1" applyBorder="1" applyAlignment="1">
      <alignment horizontal="right"/>
    </xf>
    <xf numFmtId="39" fontId="3" fillId="20" borderId="60" xfId="5" applyFont="1" applyFill="1" applyBorder="1" applyAlignment="1">
      <alignment horizontal="right"/>
    </xf>
    <xf numFmtId="39" fontId="3" fillId="20" borderId="53" xfId="5" applyFont="1" applyFill="1" applyBorder="1" applyAlignment="1">
      <alignment horizontal="right"/>
    </xf>
    <xf numFmtId="39" fontId="3" fillId="20" borderId="54" xfId="5" applyFont="1" applyFill="1" applyBorder="1" applyAlignment="1">
      <alignment horizontal="right"/>
    </xf>
    <xf numFmtId="39" fontId="3" fillId="20" borderId="55" xfId="5" applyFont="1" applyFill="1" applyBorder="1" applyAlignment="1">
      <alignment horizontal="right"/>
    </xf>
    <xf numFmtId="39" fontId="3" fillId="20" borderId="41" xfId="5" applyFont="1" applyFill="1" applyBorder="1"/>
    <xf numFmtId="39" fontId="3" fillId="20" borderId="41" xfId="5" applyFont="1" applyFill="1" applyBorder="1" applyAlignment="1">
      <alignment horizontal="right"/>
    </xf>
    <xf numFmtId="39" fontId="3" fillId="20" borderId="61" xfId="5" applyFont="1" applyFill="1" applyBorder="1" applyAlignment="1">
      <alignment horizontal="right"/>
    </xf>
    <xf numFmtId="39" fontId="3" fillId="20" borderId="2" xfId="5" applyFont="1" applyFill="1" applyBorder="1"/>
    <xf numFmtId="39" fontId="3" fillId="20" borderId="2" xfId="5" applyFont="1" applyFill="1" applyBorder="1" applyAlignment="1">
      <alignment horizontal="right"/>
    </xf>
    <xf numFmtId="39" fontId="3" fillId="20" borderId="23" xfId="5" applyFont="1" applyFill="1" applyBorder="1" applyAlignment="1">
      <alignment horizontal="right"/>
    </xf>
    <xf numFmtId="39" fontId="3" fillId="20" borderId="34" xfId="5" applyFont="1" applyFill="1" applyBorder="1"/>
    <xf numFmtId="39" fontId="3" fillId="20" borderId="34" xfId="5" applyFont="1" applyFill="1" applyBorder="1" applyAlignment="1">
      <alignment horizontal="right"/>
    </xf>
    <xf numFmtId="39" fontId="3" fillId="20" borderId="62" xfId="5" applyFont="1" applyFill="1" applyBorder="1" applyAlignment="1">
      <alignment horizontal="right"/>
    </xf>
    <xf numFmtId="39" fontId="3" fillId="20" borderId="43" xfId="5" applyFont="1" applyFill="1" applyBorder="1" applyAlignment="1">
      <alignment horizontal="right"/>
    </xf>
    <xf numFmtId="39" fontId="3" fillId="20" borderId="36" xfId="5" applyFont="1" applyFill="1" applyBorder="1" applyAlignment="1">
      <alignment horizontal="right"/>
    </xf>
    <xf numFmtId="39" fontId="3" fillId="20" borderId="63" xfId="5" applyFont="1" applyFill="1" applyBorder="1" applyAlignment="1">
      <alignment horizontal="right"/>
    </xf>
    <xf numFmtId="39" fontId="3" fillId="20" borderId="51" xfId="5" applyFont="1" applyFill="1" applyBorder="1"/>
    <xf numFmtId="39" fontId="3" fillId="20" borderId="51" xfId="5" applyFont="1" applyFill="1" applyBorder="1" applyAlignment="1">
      <alignment horizontal="right"/>
    </xf>
    <xf numFmtId="2" fontId="3" fillId="20" borderId="49" xfId="0" applyNumberFormat="1" applyFont="1" applyFill="1" applyBorder="1"/>
    <xf numFmtId="39" fontId="3" fillId="20" borderId="64" xfId="5" applyFont="1" applyFill="1" applyBorder="1" applyAlignment="1">
      <alignment horizontal="right"/>
    </xf>
    <xf numFmtId="2" fontId="3" fillId="20" borderId="0" xfId="0" applyNumberFormat="1" applyFont="1" applyFill="1"/>
    <xf numFmtId="2" fontId="3" fillId="20" borderId="17" xfId="0" applyNumberFormat="1" applyFont="1" applyFill="1" applyBorder="1"/>
    <xf numFmtId="2" fontId="3" fillId="20" borderId="36" xfId="0" applyNumberFormat="1" applyFont="1" applyFill="1" applyBorder="1"/>
    <xf numFmtId="0" fontId="3" fillId="20" borderId="36" xfId="0" applyFont="1" applyFill="1" applyBorder="1"/>
    <xf numFmtId="0" fontId="34" fillId="0" borderId="0" xfId="14" applyFont="1"/>
    <xf numFmtId="0" fontId="35" fillId="0" borderId="0" xfId="15" applyFont="1"/>
    <xf numFmtId="2" fontId="35" fillId="0" borderId="0" xfId="15" applyNumberFormat="1" applyFont="1"/>
    <xf numFmtId="0" fontId="31" fillId="0" borderId="0" xfId="15"/>
    <xf numFmtId="0" fontId="29" fillId="0" borderId="0" xfId="0" applyFont="1"/>
    <xf numFmtId="4" fontId="40" fillId="0" borderId="0" xfId="8" applyFont="1" applyAlignment="1">
      <alignment horizontal="centerContinuous"/>
    </xf>
    <xf numFmtId="4" fontId="29" fillId="0" borderId="0" xfId="8" applyFont="1"/>
    <xf numFmtId="0" fontId="29" fillId="0" borderId="0" xfId="0" applyFont="1" applyAlignment="1">
      <alignment horizontal="center"/>
    </xf>
    <xf numFmtId="0" fontId="40" fillId="0" borderId="0" xfId="0" applyFont="1"/>
    <xf numFmtId="0" fontId="29" fillId="0" borderId="0" xfId="0" applyFont="1" applyProtection="1">
      <protection locked="0"/>
    </xf>
    <xf numFmtId="0" fontId="29" fillId="17" borderId="0" xfId="0" applyFont="1" applyFill="1" applyAlignment="1">
      <alignment horizontal="center"/>
    </xf>
    <xf numFmtId="0" fontId="29" fillId="17" borderId="0" xfId="0" applyFont="1" applyFill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3" borderId="0" xfId="0" applyFont="1" applyFill="1" applyProtection="1">
      <protection locked="0"/>
    </xf>
    <xf numFmtId="43" fontId="29" fillId="3" borderId="0" xfId="2" applyFont="1" applyFill="1" applyAlignment="1">
      <alignment horizontal="center"/>
    </xf>
    <xf numFmtId="0" fontId="29" fillId="0" borderId="0" xfId="0" applyFont="1" applyAlignment="1">
      <alignment horizontal="left"/>
    </xf>
    <xf numFmtId="0" fontId="29" fillId="3" borderId="0" xfId="0" applyFont="1" applyFill="1" applyProtection="1">
      <protection locked="0"/>
    </xf>
    <xf numFmtId="39" fontId="41" fillId="0" borderId="0" xfId="0" applyNumberFormat="1" applyFont="1"/>
    <xf numFmtId="4" fontId="42" fillId="0" borderId="0" xfId="0" quotePrefix="1" applyNumberFormat="1" applyFont="1" applyAlignment="1">
      <alignment horizontal="right"/>
    </xf>
    <xf numFmtId="43" fontId="29" fillId="3" borderId="0" xfId="0" applyNumberFormat="1" applyFont="1" applyFill="1" applyProtection="1">
      <protection locked="0"/>
    </xf>
    <xf numFmtId="43" fontId="29" fillId="3" borderId="0" xfId="0" applyNumberFormat="1" applyFont="1" applyFill="1" applyAlignment="1" applyProtection="1">
      <alignment horizontal="right"/>
      <protection locked="0"/>
    </xf>
    <xf numFmtId="37" fontId="45" fillId="0" borderId="0" xfId="0" applyNumberFormat="1" applyFont="1" applyAlignment="1">
      <alignment horizontal="left"/>
    </xf>
    <xf numFmtId="39" fontId="40" fillId="0" borderId="0" xfId="0" applyNumberFormat="1" applyFont="1" applyAlignment="1">
      <alignment horizontal="left"/>
    </xf>
    <xf numFmtId="39" fontId="41" fillId="0" borderId="0" xfId="0" applyNumberFormat="1" applyFont="1" applyAlignment="1">
      <alignment horizontal="left"/>
    </xf>
    <xf numFmtId="4" fontId="42" fillId="0" borderId="0" xfId="0" applyNumberFormat="1" applyFont="1"/>
    <xf numFmtId="0" fontId="29" fillId="3" borderId="0" xfId="0" applyFont="1" applyFill="1" applyAlignment="1">
      <alignment horizontal="center"/>
    </xf>
    <xf numFmtId="2" fontId="29" fillId="0" borderId="0" xfId="0" quotePrefix="1" applyNumberFormat="1" applyFont="1"/>
    <xf numFmtId="0" fontId="91" fillId="0" borderId="0" xfId="0" applyFont="1"/>
    <xf numFmtId="0" fontId="45" fillId="0" borderId="0" xfId="0" applyFont="1"/>
    <xf numFmtId="2" fontId="42" fillId="0" borderId="0" xfId="0" quotePrefix="1" applyNumberFormat="1" applyFont="1"/>
    <xf numFmtId="37" fontId="29" fillId="0" borderId="0" xfId="0" applyNumberFormat="1" applyFont="1"/>
    <xf numFmtId="37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right"/>
    </xf>
    <xf numFmtId="2" fontId="29" fillId="3" borderId="0" xfId="0" applyNumberFormat="1" applyFont="1" applyFill="1" applyAlignment="1" applyProtection="1">
      <alignment horizontal="center"/>
      <protection locked="0"/>
    </xf>
    <xf numFmtId="4" fontId="29" fillId="0" borderId="0" xfId="0" applyNumberFormat="1" applyFont="1"/>
    <xf numFmtId="2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>
      <alignment horizontal="center"/>
    </xf>
    <xf numFmtId="0" fontId="48" fillId="0" borderId="0" xfId="0" applyFont="1"/>
    <xf numFmtId="0" fontId="41" fillId="0" borderId="0" xfId="0" applyFont="1" applyAlignment="1">
      <alignment horizontal="center"/>
    </xf>
    <xf numFmtId="37" fontId="29" fillId="0" borderId="0" xfId="0" applyNumberFormat="1" applyFont="1" applyAlignment="1">
      <alignment horizontal="left"/>
    </xf>
    <xf numFmtId="2" fontId="29" fillId="0" borderId="0" xfId="0" applyNumberFormat="1" applyFont="1"/>
    <xf numFmtId="3" fontId="29" fillId="0" borderId="0" xfId="0" applyNumberFormat="1" applyFont="1"/>
    <xf numFmtId="198" fontId="41" fillId="0" borderId="0" xfId="0" applyNumberFormat="1" applyFont="1"/>
    <xf numFmtId="39" fontId="29" fillId="0" borderId="0" xfId="0" applyNumberFormat="1" applyFont="1" applyAlignment="1">
      <alignment horizontal="left"/>
    </xf>
    <xf numFmtId="4" fontId="42" fillId="0" borderId="0" xfId="0" quotePrefix="1" applyNumberFormat="1" applyFont="1"/>
    <xf numFmtId="0" fontId="50" fillId="0" borderId="0" xfId="0" applyFont="1"/>
    <xf numFmtId="0" fontId="51" fillId="0" borderId="0" xfId="0" applyFont="1" applyProtection="1">
      <protection hidden="1"/>
    </xf>
    <xf numFmtId="43" fontId="29" fillId="0" borderId="0" xfId="0" applyNumberFormat="1" applyFont="1"/>
    <xf numFmtId="39" fontId="29" fillId="0" borderId="0" xfId="0" applyNumberFormat="1" applyFont="1"/>
    <xf numFmtId="2" fontId="40" fillId="0" borderId="0" xfId="0" applyNumberFormat="1" applyFont="1"/>
    <xf numFmtId="0" fontId="52" fillId="0" borderId="0" xfId="0" applyFont="1"/>
    <xf numFmtId="0" fontId="53" fillId="0" borderId="0" xfId="14" applyFont="1" applyProtection="1">
      <protection hidden="1"/>
    </xf>
    <xf numFmtId="0" fontId="54" fillId="0" borderId="0" xfId="14" applyFont="1" applyProtection="1">
      <protection hidden="1"/>
    </xf>
    <xf numFmtId="0" fontId="54" fillId="0" borderId="0" xfId="14" quotePrefix="1" applyFont="1" applyAlignment="1" applyProtection="1">
      <alignment horizontal="left"/>
      <protection hidden="1"/>
    </xf>
    <xf numFmtId="0" fontId="55" fillId="0" borderId="0" xfId="14" applyFont="1"/>
    <xf numFmtId="0" fontId="52" fillId="0" borderId="0" xfId="14" applyFont="1"/>
    <xf numFmtId="39" fontId="52" fillId="0" borderId="0" xfId="14" applyNumberFormat="1" applyFont="1" applyAlignment="1">
      <alignment horizontal="left"/>
    </xf>
    <xf numFmtId="0" fontId="56" fillId="0" borderId="0" xfId="0" applyFont="1" applyProtection="1">
      <protection hidden="1"/>
    </xf>
    <xf numFmtId="0" fontId="52" fillId="0" borderId="0" xfId="0" applyFont="1" applyProtection="1">
      <protection hidden="1"/>
    </xf>
    <xf numFmtId="0" fontId="52" fillId="0" borderId="0" xfId="0" applyFont="1" applyAlignment="1" applyProtection="1">
      <alignment horizontal="right"/>
      <protection hidden="1"/>
    </xf>
    <xf numFmtId="39" fontId="52" fillId="0" borderId="0" xfId="14" applyNumberFormat="1" applyFont="1"/>
    <xf numFmtId="0" fontId="52" fillId="0" borderId="0" xfId="0" quotePrefix="1" applyFont="1" applyAlignment="1" applyProtection="1">
      <alignment horizontal="left"/>
      <protection hidden="1"/>
    </xf>
    <xf numFmtId="43" fontId="52" fillId="0" borderId="0" xfId="10" applyFont="1" applyProtection="1">
      <protection hidden="1"/>
    </xf>
    <xf numFmtId="0" fontId="56" fillId="0" borderId="0" xfId="0" applyFont="1"/>
    <xf numFmtId="37" fontId="52" fillId="0" borderId="0" xfId="0" applyNumberFormat="1" applyFont="1" applyAlignment="1">
      <alignment horizontal="center"/>
    </xf>
    <xf numFmtId="0" fontId="52" fillId="0" borderId="0" xfId="0" applyFont="1" applyAlignment="1">
      <alignment horizontal="center"/>
    </xf>
    <xf numFmtId="39" fontId="52" fillId="0" borderId="0" xfId="0" applyNumberFormat="1" applyFont="1" applyAlignment="1">
      <alignment horizontal="left"/>
    </xf>
    <xf numFmtId="39" fontId="52" fillId="0" borderId="0" xfId="0" applyNumberFormat="1" applyFont="1"/>
    <xf numFmtId="0" fontId="52" fillId="0" borderId="0" xfId="0" applyFont="1" applyAlignment="1" applyProtection="1">
      <alignment horizontal="left"/>
      <protection hidden="1"/>
    </xf>
    <xf numFmtId="43" fontId="52" fillId="0" borderId="0" xfId="10" applyFont="1" applyAlignment="1" applyProtection="1">
      <alignment horizontal="left"/>
      <protection hidden="1"/>
    </xf>
    <xf numFmtId="0" fontId="49" fillId="0" borderId="0" xfId="0" applyFont="1"/>
    <xf numFmtId="189" fontId="29" fillId="0" borderId="0" xfId="0" applyNumberFormat="1" applyFont="1"/>
    <xf numFmtId="0" fontId="92" fillId="0" borderId="0" xfId="0" applyFont="1"/>
    <xf numFmtId="1" fontId="92" fillId="0" borderId="0" xfId="0" applyNumberFormat="1" applyFont="1"/>
    <xf numFmtId="0" fontId="40" fillId="3" borderId="0" xfId="0" applyFont="1" applyFill="1" applyAlignment="1" applyProtection="1">
      <alignment horizontal="center"/>
      <protection locked="0"/>
    </xf>
    <xf numFmtId="0" fontId="43" fillId="0" borderId="0" xfId="0" applyFont="1" applyAlignment="1">
      <alignment horizontal="center"/>
    </xf>
    <xf numFmtId="0" fontId="38" fillId="0" borderId="47" xfId="16" applyFont="1" applyBorder="1" applyAlignment="1">
      <alignment vertical="center"/>
    </xf>
    <xf numFmtId="0" fontId="38" fillId="0" borderId="49" xfId="16" applyFont="1" applyBorder="1" applyAlignment="1">
      <alignment vertical="center"/>
    </xf>
    <xf numFmtId="0" fontId="38" fillId="0" borderId="4" xfId="16" applyFont="1" applyBorder="1" applyAlignment="1">
      <alignment vertical="center"/>
    </xf>
    <xf numFmtId="0" fontId="38" fillId="0" borderId="0" xfId="16" applyFont="1" applyAlignment="1">
      <alignment vertical="center"/>
    </xf>
    <xf numFmtId="0" fontId="38" fillId="0" borderId="72" xfId="16" applyFont="1" applyBorder="1" applyAlignment="1">
      <alignment vertical="center"/>
    </xf>
    <xf numFmtId="0" fontId="38" fillId="0" borderId="55" xfId="16" applyFont="1" applyBorder="1" applyAlignment="1">
      <alignment vertical="center"/>
    </xf>
    <xf numFmtId="0" fontId="58" fillId="0" borderId="0" xfId="16" applyFont="1" applyAlignment="1">
      <alignment horizontal="centerContinuous" vertical="center"/>
    </xf>
    <xf numFmtId="0" fontId="58" fillId="0" borderId="55" xfId="16" applyFont="1" applyBorder="1" applyAlignment="1">
      <alignment horizontal="centerContinuous" vertical="center"/>
    </xf>
    <xf numFmtId="0" fontId="59" fillId="0" borderId="72" xfId="16" applyFont="1" applyBorder="1" applyAlignment="1">
      <alignment horizontal="centerContinuous" vertical="center"/>
    </xf>
    <xf numFmtId="0" fontId="60" fillId="0" borderId="72" xfId="16" applyFont="1" applyBorder="1" applyAlignment="1">
      <alignment vertical="center"/>
    </xf>
    <xf numFmtId="0" fontId="60" fillId="0" borderId="0" xfId="16" applyFont="1" applyAlignment="1">
      <alignment vertical="center"/>
    </xf>
    <xf numFmtId="0" fontId="60" fillId="0" borderId="55" xfId="16" applyFont="1" applyBorder="1" applyAlignment="1">
      <alignment vertical="center"/>
    </xf>
    <xf numFmtId="0" fontId="38" fillId="0" borderId="48" xfId="16" applyFont="1" applyBorder="1" applyAlignment="1">
      <alignment vertical="center"/>
    </xf>
    <xf numFmtId="0" fontId="38" fillId="0" borderId="44" xfId="16" applyFont="1" applyBorder="1" applyAlignment="1">
      <alignment vertical="center"/>
    </xf>
    <xf numFmtId="0" fontId="38" fillId="0" borderId="43" xfId="16" applyFont="1" applyBorder="1" applyAlignment="1">
      <alignment vertical="center"/>
    </xf>
    <xf numFmtId="0" fontId="62" fillId="0" borderId="49" xfId="16" applyFont="1" applyBorder="1" applyAlignment="1">
      <alignment horizontal="left" vertical="center"/>
    </xf>
    <xf numFmtId="0" fontId="62" fillId="0" borderId="49" xfId="16" applyFont="1" applyBorder="1" applyAlignment="1">
      <alignment vertical="center"/>
    </xf>
    <xf numFmtId="0" fontId="63" fillId="0" borderId="49" xfId="16" applyFont="1" applyBorder="1" applyAlignment="1">
      <alignment vertical="center"/>
    </xf>
    <xf numFmtId="190" fontId="64" fillId="0" borderId="49" xfId="16" applyNumberFormat="1" applyFont="1" applyBorder="1" applyAlignment="1">
      <alignment horizontal="center" vertical="center"/>
    </xf>
    <xf numFmtId="2" fontId="64" fillId="0" borderId="49" xfId="16" applyNumberFormat="1" applyFont="1" applyBorder="1" applyAlignment="1">
      <alignment vertical="center"/>
    </xf>
    <xf numFmtId="0" fontId="37" fillId="0" borderId="0" xfId="16" applyFont="1" applyAlignment="1">
      <alignment vertical="center"/>
    </xf>
    <xf numFmtId="0" fontId="37" fillId="0" borderId="55" xfId="16" applyFont="1" applyBorder="1" applyAlignment="1">
      <alignment vertical="center"/>
    </xf>
    <xf numFmtId="0" fontId="65" fillId="0" borderId="72" xfId="16" applyFont="1" applyBorder="1" applyAlignment="1">
      <alignment vertical="center"/>
    </xf>
    <xf numFmtId="0" fontId="62" fillId="0" borderId="0" xfId="16" applyFont="1" applyAlignment="1">
      <alignment horizontal="center" vertical="center"/>
    </xf>
    <xf numFmtId="0" fontId="37" fillId="0" borderId="0" xfId="16" applyFont="1" applyAlignment="1">
      <alignment horizontal="left" vertical="center"/>
    </xf>
    <xf numFmtId="212" fontId="37" fillId="0" borderId="0" xfId="16" applyNumberFormat="1" applyFont="1" applyProtection="1">
      <protection locked="0"/>
    </xf>
    <xf numFmtId="190" fontId="37" fillId="0" borderId="0" xfId="16" applyNumberFormat="1" applyFont="1" applyAlignment="1">
      <alignment vertical="center"/>
    </xf>
    <xf numFmtId="0" fontId="62" fillId="0" borderId="72" xfId="16" applyFont="1" applyBorder="1" applyAlignment="1">
      <alignment horizontal="centerContinuous" vertical="center"/>
    </xf>
    <xf numFmtId="0" fontId="62" fillId="0" borderId="0" xfId="16" applyFont="1" applyAlignment="1">
      <alignment horizontal="centerContinuous" vertical="center"/>
    </xf>
    <xf numFmtId="0" fontId="62" fillId="0" borderId="0" xfId="16" applyFont="1" applyAlignment="1">
      <alignment horizontal="left" vertical="center"/>
    </xf>
    <xf numFmtId="0" fontId="62" fillId="0" borderId="0" xfId="16" applyFont="1" applyAlignment="1">
      <alignment horizontal="right" vertical="center"/>
    </xf>
    <xf numFmtId="0" fontId="38" fillId="0" borderId="0" xfId="16" applyFont="1"/>
    <xf numFmtId="0" fontId="39" fillId="0" borderId="0" xfId="16" applyFont="1" applyAlignment="1">
      <alignment horizontal="right"/>
    </xf>
    <xf numFmtId="0" fontId="36" fillId="0" borderId="27" xfId="16" applyFont="1" applyBorder="1" applyAlignment="1">
      <alignment horizontal="centerContinuous" vertical="center"/>
    </xf>
    <xf numFmtId="0" fontId="36" fillId="0" borderId="9" xfId="16" applyFont="1" applyBorder="1" applyAlignment="1">
      <alignment horizontal="centerContinuous" vertical="center"/>
    </xf>
    <xf numFmtId="0" fontId="36" fillId="0" borderId="73" xfId="16" applyFont="1" applyBorder="1" applyAlignment="1">
      <alignment horizontal="centerContinuous" vertical="center"/>
    </xf>
    <xf numFmtId="0" fontId="36" fillId="0" borderId="6" xfId="16" applyFont="1" applyBorder="1" applyAlignment="1">
      <alignment horizontal="center" vertical="center"/>
    </xf>
    <xf numFmtId="0" fontId="36" fillId="0" borderId="24" xfId="16" applyFont="1" applyBorder="1" applyAlignment="1">
      <alignment horizontal="centerContinuous" vertical="center"/>
    </xf>
    <xf numFmtId="0" fontId="36" fillId="0" borderId="29" xfId="16" applyFont="1" applyBorder="1" applyAlignment="1">
      <alignment horizontal="centerContinuous" vertical="center"/>
    </xf>
    <xf numFmtId="0" fontId="36" fillId="0" borderId="7" xfId="16" applyFont="1" applyBorder="1" applyAlignment="1">
      <alignment horizontal="centerContinuous" vertical="center"/>
    </xf>
    <xf numFmtId="0" fontId="36" fillId="0" borderId="24" xfId="16" applyFont="1" applyBorder="1" applyAlignment="1">
      <alignment horizontal="center" vertical="center"/>
    </xf>
    <xf numFmtId="0" fontId="36" fillId="0" borderId="74" xfId="16" applyFont="1" applyBorder="1" applyAlignment="1">
      <alignment horizontal="center" vertical="center"/>
    </xf>
    <xf numFmtId="0" fontId="39" fillId="0" borderId="0" xfId="16" applyFont="1" applyAlignment="1">
      <alignment horizontal="center"/>
    </xf>
    <xf numFmtId="41" fontId="66" fillId="0" borderId="6" xfId="16" applyNumberFormat="1" applyFont="1" applyBorder="1" applyAlignment="1">
      <alignment horizontal="center" vertical="center"/>
    </xf>
    <xf numFmtId="202" fontId="66" fillId="0" borderId="24" xfId="16" applyNumberFormat="1" applyFont="1" applyBorder="1" applyAlignment="1">
      <alignment horizontal="left" vertical="center"/>
    </xf>
    <xf numFmtId="202" fontId="53" fillId="0" borderId="29" xfId="16" applyNumberFormat="1" applyFont="1" applyBorder="1" applyAlignment="1">
      <alignment vertical="center"/>
    </xf>
    <xf numFmtId="202" fontId="66" fillId="0" borderId="29" xfId="16" applyNumberFormat="1" applyFont="1" applyBorder="1" applyAlignment="1">
      <alignment horizontal="center" vertical="center"/>
    </xf>
    <xf numFmtId="202" fontId="66" fillId="0" borderId="7" xfId="16" applyNumberFormat="1" applyFont="1" applyBorder="1" applyAlignment="1">
      <alignment horizontal="center" vertical="center"/>
    </xf>
    <xf numFmtId="202" fontId="38" fillId="0" borderId="29" xfId="16" applyNumberFormat="1" applyFont="1" applyBorder="1" applyAlignment="1">
      <alignment horizontal="center" vertical="center"/>
    </xf>
    <xf numFmtId="202" fontId="38" fillId="0" borderId="74" xfId="16" applyNumberFormat="1" applyFont="1" applyBorder="1" applyAlignment="1">
      <alignment horizontal="center" vertical="center"/>
    </xf>
    <xf numFmtId="41" fontId="66" fillId="0" borderId="2" xfId="16" applyNumberFormat="1" applyFont="1" applyBorder="1" applyAlignment="1">
      <alignment horizontal="center" vertical="center"/>
    </xf>
    <xf numFmtId="202" fontId="66" fillId="0" borderId="26" xfId="16" applyNumberFormat="1" applyFont="1" applyBorder="1" applyAlignment="1">
      <alignment horizontal="left" vertical="center"/>
    </xf>
    <xf numFmtId="202" fontId="53" fillId="0" borderId="0" xfId="16" applyNumberFormat="1" applyFont="1" applyAlignment="1">
      <alignment vertical="center"/>
    </xf>
    <xf numFmtId="202" fontId="66" fillId="0" borderId="0" xfId="16" applyNumberFormat="1" applyFont="1" applyAlignment="1">
      <alignment horizontal="center" vertical="center"/>
    </xf>
    <xf numFmtId="202" fontId="66" fillId="0" borderId="13" xfId="16" applyNumberFormat="1" applyFont="1" applyBorder="1" applyAlignment="1">
      <alignment horizontal="center" vertical="center"/>
    </xf>
    <xf numFmtId="202" fontId="38" fillId="0" borderId="0" xfId="16" applyNumberFormat="1" applyFont="1" applyAlignment="1">
      <alignment horizontal="center" vertical="center"/>
    </xf>
    <xf numFmtId="202" fontId="38" fillId="0" borderId="55" xfId="16" applyNumberFormat="1" applyFont="1" applyBorder="1" applyAlignment="1">
      <alignment horizontal="center" vertical="center"/>
    </xf>
    <xf numFmtId="0" fontId="38" fillId="0" borderId="72" xfId="16" applyFont="1" applyBorder="1" applyAlignment="1">
      <alignment horizontal="left" vertical="center"/>
    </xf>
    <xf numFmtId="202" fontId="54" fillId="0" borderId="0" xfId="16" applyNumberFormat="1" applyFont="1" applyAlignment="1">
      <alignment vertical="center"/>
    </xf>
    <xf numFmtId="202" fontId="66" fillId="0" borderId="0" xfId="16" applyNumberFormat="1" applyFont="1" applyAlignment="1">
      <alignment horizontal="left" vertical="center"/>
    </xf>
    <xf numFmtId="0" fontId="39" fillId="0" borderId="0" xfId="16" applyFont="1"/>
    <xf numFmtId="202" fontId="66" fillId="0" borderId="25" xfId="16" applyNumberFormat="1" applyFont="1" applyBorder="1" applyAlignment="1">
      <alignment horizontal="left" vertical="center"/>
    </xf>
    <xf numFmtId="202" fontId="38" fillId="0" borderId="28" xfId="16" applyNumberFormat="1" applyFont="1" applyBorder="1" applyAlignment="1">
      <alignment vertical="center"/>
    </xf>
    <xf numFmtId="202" fontId="54" fillId="0" borderId="28" xfId="16" applyNumberFormat="1" applyFont="1" applyBorder="1" applyAlignment="1">
      <alignment vertical="center"/>
    </xf>
    <xf numFmtId="202" fontId="66" fillId="0" borderId="28" xfId="16" applyNumberFormat="1" applyFont="1" applyBorder="1" applyAlignment="1">
      <alignment horizontal="center" vertical="center"/>
    </xf>
    <xf numFmtId="202" fontId="66" fillId="0" borderId="10" xfId="16" applyNumberFormat="1" applyFont="1" applyBorder="1" applyAlignment="1">
      <alignment horizontal="center" vertical="center"/>
    </xf>
    <xf numFmtId="41" fontId="66" fillId="0" borderId="29" xfId="16" applyNumberFormat="1" applyFont="1" applyBorder="1" applyAlignment="1">
      <alignment horizontal="center" vertical="center"/>
    </xf>
    <xf numFmtId="202" fontId="66" fillId="0" borderId="29" xfId="16" applyNumberFormat="1" applyFont="1" applyBorder="1" applyAlignment="1">
      <alignment horizontal="left" vertical="center"/>
    </xf>
    <xf numFmtId="202" fontId="38" fillId="0" borderId="29" xfId="16" applyNumberFormat="1" applyFont="1" applyBorder="1" applyAlignment="1">
      <alignment vertical="center"/>
    </xf>
    <xf numFmtId="0" fontId="38" fillId="0" borderId="0" xfId="16" applyFont="1" applyAlignment="1">
      <alignment horizontal="right"/>
    </xf>
    <xf numFmtId="41" fontId="66" fillId="0" borderId="0" xfId="16" applyNumberFormat="1" applyFont="1" applyAlignment="1">
      <alignment horizontal="center" vertical="center"/>
    </xf>
    <xf numFmtId="202" fontId="37" fillId="0" borderId="0" xfId="16" applyNumberFormat="1" applyFont="1" applyAlignment="1">
      <alignment horizontal="left" vertical="center"/>
    </xf>
    <xf numFmtId="202" fontId="38" fillId="0" borderId="0" xfId="16" applyNumberFormat="1" applyFont="1" applyAlignment="1">
      <alignment vertical="center"/>
    </xf>
    <xf numFmtId="202" fontId="32" fillId="0" borderId="0" xfId="16" applyNumberFormat="1" applyFont="1" applyAlignment="1">
      <alignment horizontal="left" vertical="center"/>
    </xf>
    <xf numFmtId="0" fontId="38" fillId="0" borderId="72" xfId="16" applyFont="1" applyBorder="1" applyAlignment="1">
      <alignment horizontal="right" vertical="center"/>
    </xf>
    <xf numFmtId="0" fontId="37" fillId="0" borderId="75" xfId="16" applyFont="1" applyBorder="1" applyAlignment="1">
      <alignment vertical="center"/>
    </xf>
    <xf numFmtId="0" fontId="68" fillId="0" borderId="0" xfId="16" applyFont="1" applyAlignment="1">
      <alignment horizontal="centerContinuous" vertical="center"/>
    </xf>
    <xf numFmtId="0" fontId="39" fillId="0" borderId="25" xfId="16" applyFont="1" applyBorder="1" applyAlignment="1">
      <alignment vertical="center"/>
    </xf>
    <xf numFmtId="0" fontId="39" fillId="0" borderId="10" xfId="16" applyFont="1" applyBorder="1" applyAlignment="1">
      <alignment horizontal="right" vertical="center"/>
    </xf>
    <xf numFmtId="0" fontId="39" fillId="0" borderId="0" xfId="16" applyFont="1" applyAlignment="1">
      <alignment vertical="center"/>
    </xf>
    <xf numFmtId="0" fontId="37" fillId="0" borderId="75" xfId="16" applyFont="1" applyBorder="1" applyAlignment="1">
      <alignment horizontal="center" vertical="center"/>
    </xf>
    <xf numFmtId="0" fontId="39" fillId="0" borderId="28" xfId="16" applyFont="1" applyBorder="1" applyAlignment="1">
      <alignment horizontal="center" vertical="center"/>
    </xf>
    <xf numFmtId="0" fontId="38" fillId="0" borderId="0" xfId="16" applyFont="1" applyAlignment="1">
      <alignment horizontal="center" vertical="center"/>
    </xf>
    <xf numFmtId="0" fontId="39" fillId="0" borderId="76" xfId="16" applyFont="1" applyBorder="1" applyAlignment="1">
      <alignment horizontal="center" vertical="top"/>
    </xf>
    <xf numFmtId="0" fontId="39" fillId="0" borderId="0" xfId="16" applyFont="1" applyAlignment="1">
      <alignment horizontal="center" vertical="top"/>
    </xf>
    <xf numFmtId="0" fontId="39" fillId="0" borderId="27" xfId="16" applyFont="1" applyBorder="1" applyAlignment="1">
      <alignment vertical="center"/>
    </xf>
    <xf numFmtId="0" fontId="39" fillId="0" borderId="9" xfId="16" applyFont="1" applyBorder="1" applyAlignment="1">
      <alignment vertical="center"/>
    </xf>
    <xf numFmtId="0" fontId="39" fillId="0" borderId="74" xfId="16" applyFont="1" applyBorder="1" applyAlignment="1">
      <alignment vertical="center"/>
    </xf>
    <xf numFmtId="0" fontId="69" fillId="0" borderId="76" xfId="16" applyFont="1" applyBorder="1" applyAlignment="1">
      <alignment horizontal="centerContinuous" vertical="center"/>
    </xf>
    <xf numFmtId="0" fontId="69" fillId="0" borderId="0" xfId="16" applyFont="1" applyAlignment="1">
      <alignment horizontal="centerContinuous" vertical="center"/>
    </xf>
    <xf numFmtId="0" fontId="39" fillId="0" borderId="25" xfId="16" applyFont="1" applyBorder="1" applyAlignment="1">
      <alignment horizontal="center" vertical="center"/>
    </xf>
    <xf numFmtId="0" fontId="39" fillId="0" borderId="77" xfId="16" applyFont="1" applyBorder="1" applyAlignment="1">
      <alignment vertical="center"/>
    </xf>
    <xf numFmtId="0" fontId="62" fillId="0" borderId="47" xfId="16" applyFont="1" applyBorder="1" applyAlignment="1">
      <alignment horizontal="centerContinuous" vertical="center"/>
    </xf>
    <xf numFmtId="0" fontId="38" fillId="0" borderId="49" xfId="16" applyFont="1" applyBorder="1" applyAlignment="1">
      <alignment horizontal="centerContinuous" vertical="center"/>
    </xf>
    <xf numFmtId="0" fontId="62" fillId="0" borderId="49" xfId="16" applyFont="1" applyBorder="1" applyAlignment="1">
      <alignment horizontal="centerContinuous" vertical="center"/>
    </xf>
    <xf numFmtId="0" fontId="38" fillId="0" borderId="4" xfId="16" applyFont="1" applyBorder="1" applyAlignment="1">
      <alignment horizontal="centerContinuous" vertical="center"/>
    </xf>
    <xf numFmtId="0" fontId="38" fillId="0" borderId="72" xfId="16" applyFont="1" applyBorder="1"/>
    <xf numFmtId="0" fontId="62" fillId="0" borderId="0" xfId="16" applyFont="1" applyAlignment="1">
      <alignment horizontal="center"/>
    </xf>
    <xf numFmtId="0" fontId="38" fillId="0" borderId="55" xfId="16" applyFont="1" applyBorder="1"/>
    <xf numFmtId="202" fontId="39" fillId="0" borderId="0" xfId="16" applyNumberFormat="1" applyFont="1" applyAlignment="1">
      <alignment horizontal="center" vertical="center"/>
    </xf>
    <xf numFmtId="0" fontId="39" fillId="0" borderId="0" xfId="16" applyFont="1" applyAlignment="1">
      <alignment horizontal="center" vertical="center"/>
    </xf>
    <xf numFmtId="0" fontId="64" fillId="0" borderId="0" xfId="16" applyFont="1" applyAlignment="1">
      <alignment horizontal="left"/>
    </xf>
    <xf numFmtId="0" fontId="72" fillId="0" borderId="0" xfId="16" applyFont="1"/>
    <xf numFmtId="0" fontId="36" fillId="0" borderId="0" xfId="16" applyFont="1" applyAlignment="1">
      <alignment horizontal="center"/>
    </xf>
    <xf numFmtId="0" fontId="37" fillId="0" borderId="0" xfId="16" applyFont="1"/>
    <xf numFmtId="0" fontId="37" fillId="0" borderId="55" xfId="16" applyFont="1" applyBorder="1"/>
    <xf numFmtId="0" fontId="37" fillId="0" borderId="0" xfId="16" applyFont="1" applyAlignment="1">
      <alignment horizontal="center" vertical="center"/>
    </xf>
    <xf numFmtId="0" fontId="39" fillId="0" borderId="78" xfId="16" applyFont="1" applyBorder="1" applyAlignment="1">
      <alignment horizontal="right" vertical="center"/>
    </xf>
    <xf numFmtId="0" fontId="39" fillId="0" borderId="79" xfId="16" applyFont="1" applyBorder="1" applyAlignment="1">
      <alignment vertical="center"/>
    </xf>
    <xf numFmtId="0" fontId="39" fillId="0" borderId="24" xfId="16" applyFont="1" applyBorder="1" applyAlignment="1">
      <alignment vertical="center"/>
    </xf>
    <xf numFmtId="0" fontId="39" fillId="0" borderId="7" xfId="16" applyFont="1" applyBorder="1" applyAlignment="1">
      <alignment horizontal="right" vertical="center"/>
    </xf>
    <xf numFmtId="0" fontId="39" fillId="0" borderId="24" xfId="16" applyFont="1" applyBorder="1" applyAlignment="1">
      <alignment horizontal="center" vertical="center"/>
    </xf>
    <xf numFmtId="0" fontId="39" fillId="0" borderId="29" xfId="16" applyFont="1" applyBorder="1" applyAlignment="1">
      <alignment horizontal="center" vertical="center"/>
    </xf>
    <xf numFmtId="0" fontId="39" fillId="0" borderId="29" xfId="16" applyFont="1" applyBorder="1" applyAlignment="1">
      <alignment vertical="center"/>
    </xf>
    <xf numFmtId="0" fontId="39" fillId="0" borderId="26" xfId="16" applyFont="1" applyBorder="1" applyAlignment="1">
      <alignment horizontal="center" vertical="center"/>
    </xf>
    <xf numFmtId="0" fontId="37" fillId="0" borderId="44" xfId="16" applyFont="1" applyBorder="1" applyAlignment="1">
      <alignment vertical="center"/>
    </xf>
    <xf numFmtId="0" fontId="39" fillId="0" borderId="74" xfId="16" applyFont="1" applyBorder="1" applyAlignment="1">
      <alignment horizontal="center" vertical="center"/>
    </xf>
    <xf numFmtId="0" fontId="39" fillId="0" borderId="71" xfId="16" applyFont="1" applyBorder="1" applyAlignment="1">
      <alignment vertical="center"/>
    </xf>
    <xf numFmtId="213" fontId="39" fillId="0" borderId="71" xfId="16" applyNumberFormat="1" applyFont="1" applyBorder="1" applyAlignment="1">
      <alignment horizontal="centerContinuous" vertical="center"/>
    </xf>
    <xf numFmtId="0" fontId="39" fillId="0" borderId="80" xfId="16" applyFont="1" applyBorder="1" applyAlignment="1">
      <alignment horizontal="right" vertical="center"/>
    </xf>
    <xf numFmtId="211" fontId="37" fillId="0" borderId="0" xfId="16" applyNumberFormat="1" applyFont="1" applyAlignment="1">
      <alignment vertical="center"/>
    </xf>
    <xf numFmtId="43" fontId="37" fillId="0" borderId="0" xfId="2" applyFont="1" applyFill="1" applyBorder="1" applyAlignment="1">
      <alignment vertical="center"/>
    </xf>
    <xf numFmtId="43" fontId="37" fillId="0" borderId="0" xfId="2" applyFont="1" applyFill="1" applyBorder="1" applyAlignment="1">
      <alignment horizontal="left" vertical="center"/>
    </xf>
    <xf numFmtId="0" fontId="36" fillId="0" borderId="72" xfId="0" applyFont="1" applyBorder="1" applyAlignment="1">
      <alignment horizontal="center"/>
    </xf>
    <xf numFmtId="0" fontId="38" fillId="0" borderId="0" xfId="0" applyFont="1"/>
    <xf numFmtId="0" fontId="38" fillId="0" borderId="0" xfId="0" applyFont="1" applyAlignment="1">
      <alignment vertical="center"/>
    </xf>
    <xf numFmtId="0" fontId="38" fillId="0" borderId="55" xfId="0" applyFont="1" applyBorder="1"/>
    <xf numFmtId="0" fontId="38" fillId="0" borderId="72" xfId="0" applyFont="1" applyBorder="1"/>
    <xf numFmtId="0" fontId="36" fillId="0" borderId="0" xfId="0" applyFont="1" applyAlignment="1">
      <alignment horizontal="center" vertical="top"/>
    </xf>
    <xf numFmtId="0" fontId="38" fillId="0" borderId="0" xfId="0" applyFont="1" applyAlignment="1">
      <alignment vertical="top"/>
    </xf>
    <xf numFmtId="0" fontId="38" fillId="0" borderId="72" xfId="0" applyFont="1" applyBorder="1" applyAlignment="1">
      <alignment horizontal="left" vertical="top"/>
    </xf>
    <xf numFmtId="0" fontId="38" fillId="0" borderId="0" xfId="0" applyFont="1" applyAlignment="1">
      <alignment horizontal="left" vertical="center" textRotation="30"/>
    </xf>
    <xf numFmtId="2" fontId="66" fillId="0" borderId="0" xfId="0" applyNumberFormat="1" applyFont="1" applyAlignment="1">
      <alignment horizontal="center" vertical="top"/>
    </xf>
    <xf numFmtId="0" fontId="38" fillId="0" borderId="72" xfId="0" applyFont="1" applyBorder="1" applyAlignment="1">
      <alignment horizontal="right" vertical="center" textRotation="30"/>
    </xf>
    <xf numFmtId="9" fontId="70" fillId="0" borderId="0" xfId="9" applyFont="1" applyFill="1" applyBorder="1" applyAlignment="1">
      <alignment horizontal="left"/>
    </xf>
    <xf numFmtId="9" fontId="70" fillId="0" borderId="0" xfId="9" applyFont="1" applyFill="1" applyBorder="1" applyAlignment="1">
      <alignment horizontal="right"/>
    </xf>
    <xf numFmtId="0" fontId="38" fillId="0" borderId="0" xfId="0" applyFont="1" applyAlignment="1">
      <alignment horizontal="center"/>
    </xf>
    <xf numFmtId="9" fontId="71" fillId="0" borderId="0" xfId="9" applyFont="1" applyFill="1" applyBorder="1" applyAlignment="1">
      <alignment horizontal="left"/>
    </xf>
    <xf numFmtId="196" fontId="70" fillId="0" borderId="0" xfId="9" applyNumberFormat="1" applyFont="1" applyFill="1" applyBorder="1" applyAlignment="1">
      <alignment horizontal="left"/>
    </xf>
    <xf numFmtId="0" fontId="38" fillId="0" borderId="0" xfId="0" applyFont="1" applyAlignment="1">
      <alignment horizontal="left"/>
    </xf>
    <xf numFmtId="0" fontId="38" fillId="0" borderId="0" xfId="0" applyFont="1" applyAlignment="1">
      <alignment horizontal="right" vertical="center" textRotation="124"/>
    </xf>
    <xf numFmtId="0" fontId="38" fillId="0" borderId="0" xfId="0" applyFont="1" applyAlignment="1">
      <alignment horizontal="center" textRotation="120"/>
    </xf>
    <xf numFmtId="0" fontId="38" fillId="0" borderId="0" xfId="0" applyFont="1" applyAlignment="1">
      <alignment horizontal="left" vertical="center" textRotation="127"/>
    </xf>
    <xf numFmtId="0" fontId="38" fillId="0" borderId="0" xfId="0" applyFont="1" applyAlignment="1">
      <alignment horizontal="right" vertical="center" textRotation="30"/>
    </xf>
    <xf numFmtId="0" fontId="38" fillId="0" borderId="0" xfId="0" applyFont="1" applyAlignment="1">
      <alignment horizontal="left" textRotation="134"/>
    </xf>
    <xf numFmtId="0" fontId="36" fillId="0" borderId="72" xfId="0" applyFont="1" applyBorder="1" applyAlignment="1">
      <alignment horizontal="left"/>
    </xf>
    <xf numFmtId="0" fontId="36" fillId="0" borderId="0" xfId="0" applyFont="1" applyAlignment="1">
      <alignment horizontal="center"/>
    </xf>
    <xf numFmtId="0" fontId="38" fillId="0" borderId="55" xfId="0" applyFont="1" applyBorder="1" applyAlignment="1">
      <alignment vertical="center"/>
    </xf>
    <xf numFmtId="0" fontId="38" fillId="0" borderId="72" xfId="0" applyFont="1" applyBorder="1" applyAlignment="1">
      <alignment vertical="center"/>
    </xf>
    <xf numFmtId="0" fontId="64" fillId="0" borderId="0" xfId="0" applyFont="1" applyAlignment="1">
      <alignment horizontal="center"/>
    </xf>
    <xf numFmtId="20" fontId="36" fillId="0" borderId="0" xfId="0" applyNumberFormat="1" applyFont="1" applyAlignment="1">
      <alignment horizontal="center"/>
    </xf>
    <xf numFmtId="0" fontId="69" fillId="0" borderId="0" xfId="0" applyFont="1"/>
    <xf numFmtId="0" fontId="37" fillId="0" borderId="72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1" fontId="38" fillId="0" borderId="72" xfId="0" applyNumberFormat="1" applyFont="1" applyBorder="1" applyAlignment="1">
      <alignment horizontal="center" vertical="center"/>
    </xf>
    <xf numFmtId="202" fontId="38" fillId="0" borderId="0" xfId="0" applyNumberFormat="1" applyFont="1" applyAlignment="1">
      <alignment vertical="center"/>
    </xf>
    <xf numFmtId="0" fontId="38" fillId="0" borderId="0" xfId="0" applyFont="1" applyAlignment="1">
      <alignment horizontal="centerContinuous" vertical="center"/>
    </xf>
    <xf numFmtId="202" fontId="38" fillId="0" borderId="0" xfId="0" applyNumberFormat="1" applyFont="1" applyAlignment="1">
      <alignment horizontal="centerContinuous" vertical="center"/>
    </xf>
    <xf numFmtId="3" fontId="37" fillId="0" borderId="0" xfId="2" applyNumberFormat="1" applyFont="1" applyFill="1" applyBorder="1" applyAlignment="1">
      <alignment horizontal="centerContinuous" vertical="center"/>
    </xf>
    <xf numFmtId="202" fontId="39" fillId="0" borderId="0" xfId="0" applyNumberFormat="1" applyFont="1" applyAlignment="1">
      <alignment horizontal="center" vertical="center"/>
    </xf>
    <xf numFmtId="0" fontId="39" fillId="0" borderId="0" xfId="0" applyFont="1"/>
    <xf numFmtId="41" fontId="66" fillId="0" borderId="0" xfId="0" applyNumberFormat="1" applyFont="1" applyAlignment="1">
      <alignment horizontal="center"/>
    </xf>
    <xf numFmtId="0" fontId="38" fillId="0" borderId="55" xfId="16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38" fillId="0" borderId="72" xfId="0" applyFont="1" applyBorder="1" applyAlignment="1">
      <alignment horizontal="left" vertical="center"/>
    </xf>
    <xf numFmtId="0" fontId="38" fillId="0" borderId="0" xfId="0" applyFont="1" applyAlignment="1">
      <alignment horizontal="right"/>
    </xf>
    <xf numFmtId="0" fontId="38" fillId="0" borderId="72" xfId="0" applyFont="1" applyBorder="1" applyAlignment="1">
      <alignment horizontal="right" vertical="center"/>
    </xf>
    <xf numFmtId="0" fontId="68" fillId="0" borderId="0" xfId="0" applyFont="1" applyAlignment="1">
      <alignment horizontal="centerContinuous" vertical="center"/>
    </xf>
    <xf numFmtId="0" fontId="62" fillId="0" borderId="24" xfId="16" applyFont="1" applyBorder="1" applyAlignment="1">
      <alignment horizontal="centerContinuous" vertical="center"/>
    </xf>
    <xf numFmtId="0" fontId="38" fillId="0" borderId="29" xfId="16" applyFont="1" applyBorder="1" applyAlignment="1">
      <alignment vertical="center"/>
    </xf>
    <xf numFmtId="0" fontId="62" fillId="0" borderId="29" xfId="16" applyFont="1" applyBorder="1" applyAlignment="1">
      <alignment horizontal="left" vertical="center"/>
    </xf>
    <xf numFmtId="0" fontId="62" fillId="0" borderId="29" xfId="16" applyFont="1" applyBorder="1" applyAlignment="1">
      <alignment horizontal="right" vertical="center"/>
    </xf>
    <xf numFmtId="190" fontId="62" fillId="0" borderId="29" xfId="16" applyNumberFormat="1" applyFont="1" applyBorder="1" applyAlignment="1">
      <alignment horizontal="centerContinuous" vertical="center"/>
    </xf>
    <xf numFmtId="0" fontId="62" fillId="0" borderId="29" xfId="16" applyFont="1" applyBorder="1" applyAlignment="1">
      <alignment horizontal="centerContinuous" vertical="center"/>
    </xf>
    <xf numFmtId="0" fontId="38" fillId="0" borderId="7" xfId="16" applyFont="1" applyBorder="1" applyAlignment="1">
      <alignment vertical="center"/>
    </xf>
    <xf numFmtId="0" fontId="38" fillId="0" borderId="26" xfId="16" applyFont="1" applyBorder="1"/>
    <xf numFmtId="0" fontId="38" fillId="0" borderId="13" xfId="16" applyFont="1" applyBorder="1"/>
    <xf numFmtId="0" fontId="38" fillId="0" borderId="25" xfId="16" applyFont="1" applyBorder="1" applyAlignment="1">
      <alignment vertical="center"/>
    </xf>
    <xf numFmtId="0" fontId="38" fillId="0" borderId="28" xfId="16" applyFont="1" applyBorder="1" applyAlignment="1">
      <alignment vertical="center"/>
    </xf>
    <xf numFmtId="0" fontId="38" fillId="0" borderId="10" xfId="16" applyFont="1" applyBorder="1" applyAlignment="1">
      <alignment vertical="center"/>
    </xf>
    <xf numFmtId="0" fontId="77" fillId="0" borderId="0" xfId="16" applyFont="1"/>
    <xf numFmtId="0" fontId="93" fillId="0" borderId="13" xfId="16" applyFont="1" applyBorder="1"/>
    <xf numFmtId="0" fontId="62" fillId="0" borderId="72" xfId="16" applyFont="1" applyBorder="1" applyAlignment="1">
      <alignment horizontal="center" vertical="center"/>
    </xf>
    <xf numFmtId="0" fontId="77" fillId="0" borderId="0" xfId="16" applyFont="1" applyAlignment="1">
      <alignment horizontal="right"/>
    </xf>
    <xf numFmtId="2" fontId="36" fillId="0" borderId="0" xfId="0" applyNumberFormat="1" applyFont="1" applyAlignment="1">
      <alignment horizontal="center" vertical="top"/>
    </xf>
    <xf numFmtId="0" fontId="38" fillId="0" borderId="0" xfId="0" applyFont="1" applyAlignment="1">
      <alignment horizontal="right" vertical="center"/>
    </xf>
    <xf numFmtId="0" fontId="38" fillId="0" borderId="0" xfId="0" applyFont="1" applyAlignment="1">
      <alignment horizontal="center" vertical="center" textRotation="120"/>
    </xf>
    <xf numFmtId="190" fontId="38" fillId="0" borderId="0" xfId="16" applyNumberFormat="1" applyFont="1" applyAlignment="1">
      <alignment horizontal="left" vertical="center"/>
    </xf>
    <xf numFmtId="0" fontId="94" fillId="0" borderId="0" xfId="0" applyFont="1"/>
    <xf numFmtId="4" fontId="91" fillId="0" borderId="0" xfId="8" applyFont="1"/>
    <xf numFmtId="0" fontId="95" fillId="0" borderId="0" xfId="0" applyFont="1"/>
    <xf numFmtId="190" fontId="91" fillId="0" borderId="0" xfId="5" applyNumberFormat="1" applyFont="1" applyAlignment="1">
      <alignment horizontal="center"/>
    </xf>
    <xf numFmtId="0" fontId="96" fillId="0" borderId="0" xfId="0" applyFont="1"/>
    <xf numFmtId="39" fontId="95" fillId="0" borderId="0" xfId="0" applyNumberFormat="1" applyFont="1" applyAlignment="1">
      <alignment horizontal="left"/>
    </xf>
    <xf numFmtId="2" fontId="95" fillId="0" borderId="0" xfId="0" applyNumberFormat="1" applyFont="1" applyAlignment="1">
      <alignment horizontal="left"/>
    </xf>
    <xf numFmtId="1" fontId="91" fillId="0" borderId="0" xfId="0" applyNumberFormat="1" applyFont="1"/>
    <xf numFmtId="0" fontId="91" fillId="0" borderId="0" xfId="0" applyFont="1" applyAlignment="1">
      <alignment horizontal="center"/>
    </xf>
    <xf numFmtId="4" fontId="97" fillId="0" borderId="0" xfId="0" applyNumberFormat="1" applyFont="1"/>
    <xf numFmtId="3" fontId="97" fillId="0" borderId="0" xfId="0" applyNumberFormat="1" applyFont="1"/>
    <xf numFmtId="0" fontId="91" fillId="3" borderId="0" xfId="0" applyFont="1" applyFill="1" applyAlignment="1" applyProtection="1">
      <alignment horizontal="center"/>
      <protection locked="0"/>
    </xf>
    <xf numFmtId="39" fontId="91" fillId="8" borderId="0" xfId="0" applyNumberFormat="1" applyFont="1" applyFill="1" applyAlignment="1" applyProtection="1">
      <alignment horizontal="center"/>
      <protection locked="0"/>
    </xf>
    <xf numFmtId="37" fontId="95" fillId="0" borderId="0" xfId="0" applyNumberFormat="1" applyFont="1" applyAlignment="1">
      <alignment horizontal="center"/>
    </xf>
    <xf numFmtId="0" fontId="91" fillId="0" borderId="0" xfId="0" applyFont="1" applyAlignment="1">
      <alignment horizontal="left"/>
    </xf>
    <xf numFmtId="39" fontId="95" fillId="0" borderId="0" xfId="0" applyNumberFormat="1" applyFont="1"/>
    <xf numFmtId="37" fontId="95" fillId="8" borderId="0" xfId="0" applyNumberFormat="1" applyFont="1" applyFill="1" applyAlignment="1" applyProtection="1">
      <alignment horizontal="center"/>
      <protection locked="0"/>
    </xf>
    <xf numFmtId="37" fontId="95" fillId="10" borderId="0" xfId="0" applyNumberFormat="1" applyFont="1" applyFill="1" applyAlignment="1">
      <alignment horizontal="center"/>
    </xf>
    <xf numFmtId="39" fontId="95" fillId="0" borderId="0" xfId="0" applyNumberFormat="1" applyFont="1" applyAlignment="1">
      <alignment horizontal="center"/>
    </xf>
    <xf numFmtId="0" fontId="95" fillId="0" borderId="0" xfId="0" applyFont="1" applyAlignment="1">
      <alignment horizontal="center"/>
    </xf>
    <xf numFmtId="0" fontId="95" fillId="0" borderId="0" xfId="0" applyFont="1" applyAlignment="1">
      <alignment horizontal="left"/>
    </xf>
    <xf numFmtId="37" fontId="95" fillId="0" borderId="0" xfId="0" applyNumberFormat="1" applyFont="1" applyAlignment="1" applyProtection="1">
      <alignment horizontal="center"/>
      <protection locked="0"/>
    </xf>
    <xf numFmtId="0" fontId="98" fillId="0" borderId="0" xfId="0" applyFont="1"/>
    <xf numFmtId="200" fontId="99" fillId="0" borderId="0" xfId="2" applyNumberFormat="1" applyFont="1" applyProtection="1"/>
    <xf numFmtId="37" fontId="91" fillId="0" borderId="0" xfId="0" applyNumberFormat="1" applyFont="1" applyAlignment="1">
      <alignment horizontal="center"/>
    </xf>
    <xf numFmtId="4" fontId="91" fillId="0" borderId="0" xfId="0" applyNumberFormat="1" applyFont="1"/>
    <xf numFmtId="0" fontId="94" fillId="11" borderId="0" xfId="0" applyFont="1" applyFill="1"/>
    <xf numFmtId="0" fontId="94" fillId="12" borderId="0" xfId="0" applyFont="1" applyFill="1" applyAlignment="1">
      <alignment horizontal="center"/>
    </xf>
    <xf numFmtId="0" fontId="94" fillId="13" borderId="0" xfId="0" applyFont="1" applyFill="1"/>
    <xf numFmtId="0" fontId="94" fillId="13" borderId="0" xfId="0" applyFont="1" applyFill="1" applyAlignment="1">
      <alignment horizontal="center"/>
    </xf>
    <xf numFmtId="0" fontId="91" fillId="22" borderId="0" xfId="0" applyFont="1" applyFill="1"/>
    <xf numFmtId="39" fontId="91" fillId="0" borderId="0" xfId="5" applyFont="1" applyAlignment="1">
      <alignment horizontal="left"/>
    </xf>
    <xf numFmtId="190" fontId="91" fillId="0" borderId="0" xfId="0" applyNumberFormat="1" applyFont="1" applyAlignment="1" applyProtection="1">
      <alignment horizontal="center"/>
      <protection locked="0"/>
    </xf>
    <xf numFmtId="190" fontId="91" fillId="0" borderId="0" xfId="5" applyNumberFormat="1" applyFont="1" applyAlignment="1">
      <alignment horizontal="left"/>
    </xf>
    <xf numFmtId="3" fontId="91" fillId="0" borderId="0" xfId="0" applyNumberFormat="1" applyFont="1"/>
    <xf numFmtId="0" fontId="100" fillId="0" borderId="0" xfId="0" applyFont="1"/>
    <xf numFmtId="0" fontId="91" fillId="0" borderId="0" xfId="0" applyFont="1" applyAlignment="1">
      <alignment horizontal="right"/>
    </xf>
    <xf numFmtId="4" fontId="100" fillId="0" borderId="0" xfId="0" applyNumberFormat="1" applyFont="1"/>
    <xf numFmtId="2" fontId="101" fillId="0" borderId="0" xfId="0" applyNumberFormat="1" applyFont="1" applyAlignment="1">
      <alignment horizontal="center"/>
    </xf>
    <xf numFmtId="0" fontId="101" fillId="0" borderId="0" xfId="0" applyFont="1" applyAlignment="1">
      <alignment horizontal="center"/>
    </xf>
    <xf numFmtId="0" fontId="102" fillId="0" borderId="0" xfId="0" applyFont="1" applyProtection="1">
      <protection hidden="1"/>
    </xf>
    <xf numFmtId="0" fontId="103" fillId="5" borderId="0" xfId="0" applyFont="1" applyFill="1"/>
    <xf numFmtId="0" fontId="103" fillId="0" borderId="0" xfId="0" applyFont="1"/>
    <xf numFmtId="0" fontId="101" fillId="0" borderId="0" xfId="0" applyFont="1"/>
    <xf numFmtId="0" fontId="103" fillId="0" borderId="0" xfId="0" applyFont="1" applyProtection="1">
      <protection hidden="1"/>
    </xf>
    <xf numFmtId="41" fontId="91" fillId="0" borderId="0" xfId="0" applyNumberFormat="1" applyFont="1"/>
    <xf numFmtId="39" fontId="91" fillId="0" borderId="0" xfId="0" applyNumberFormat="1" applyFont="1" applyAlignment="1">
      <alignment horizontal="left"/>
    </xf>
    <xf numFmtId="0" fontId="38" fillId="0" borderId="12" xfId="16" applyFont="1" applyBorder="1" applyAlignment="1">
      <alignment horizontal="center"/>
    </xf>
    <xf numFmtId="0" fontId="38" fillId="0" borderId="9" xfId="16" applyFont="1" applyBorder="1"/>
    <xf numFmtId="0" fontId="38" fillId="0" borderId="8" xfId="16" applyFont="1" applyBorder="1"/>
    <xf numFmtId="0" fontId="38" fillId="0" borderId="81" xfId="16" applyFont="1" applyBorder="1" applyAlignment="1">
      <alignment horizontal="center" vertical="center"/>
    </xf>
    <xf numFmtId="0" fontId="38" fillId="0" borderId="81" xfId="16" applyFont="1" applyBorder="1" applyAlignment="1">
      <alignment horizontal="right" vertical="center"/>
    </xf>
    <xf numFmtId="0" fontId="38" fillId="0" borderId="48" xfId="16" applyFont="1" applyBorder="1"/>
    <xf numFmtId="49" fontId="39" fillId="0" borderId="44" xfId="16" applyNumberFormat="1" applyFont="1" applyBorder="1" applyAlignment="1">
      <alignment horizontal="center" vertical="center"/>
    </xf>
    <xf numFmtId="0" fontId="39" fillId="0" borderId="44" xfId="16" applyFont="1" applyBorder="1" applyAlignment="1">
      <alignment horizontal="left" vertical="center"/>
    </xf>
    <xf numFmtId="202" fontId="39" fillId="0" borderId="44" xfId="16" applyNumberFormat="1" applyFont="1" applyBorder="1" applyAlignment="1">
      <alignment horizontal="center" vertical="center"/>
    </xf>
    <xf numFmtId="0" fontId="38" fillId="0" borderId="25" xfId="16" applyFont="1" applyBorder="1"/>
    <xf numFmtId="0" fontId="38" fillId="0" borderId="29" xfId="16" applyFont="1" applyBorder="1"/>
    <xf numFmtId="0" fontId="38" fillId="0" borderId="24" xfId="16" applyFont="1" applyBorder="1"/>
    <xf numFmtId="0" fontId="38" fillId="0" borderId="7" xfId="16" applyFont="1" applyBorder="1"/>
    <xf numFmtId="43" fontId="38" fillId="0" borderId="12" xfId="16" applyNumberFormat="1" applyFont="1" applyBorder="1" applyAlignment="1">
      <alignment horizontal="center" vertical="center"/>
    </xf>
    <xf numFmtId="43" fontId="39" fillId="0" borderId="12" xfId="16" applyNumberFormat="1" applyFont="1" applyBorder="1" applyAlignment="1">
      <alignment horizontal="center" vertical="center"/>
    </xf>
    <xf numFmtId="0" fontId="37" fillId="19" borderId="0" xfId="16" applyFont="1" applyFill="1" applyAlignment="1">
      <alignment vertical="center"/>
    </xf>
    <xf numFmtId="41" fontId="37" fillId="0" borderId="0" xfId="16" applyNumberFormat="1" applyFont="1" applyAlignment="1">
      <alignment horizontal="left" vertical="center"/>
    </xf>
    <xf numFmtId="0" fontId="59" fillId="0" borderId="72" xfId="16" applyFont="1" applyBorder="1" applyAlignment="1">
      <alignment horizontal="centerContinuous" vertical="center" shrinkToFit="1"/>
    </xf>
    <xf numFmtId="43" fontId="0" fillId="0" borderId="0" xfId="2" applyFont="1" applyAlignment="1"/>
    <xf numFmtId="43" fontId="0" fillId="0" borderId="0" xfId="2" applyFont="1"/>
    <xf numFmtId="200" fontId="0" fillId="0" borderId="12" xfId="2" applyNumberFormat="1" applyFont="1" applyBorder="1" applyAlignment="1">
      <alignment horizontal="center"/>
    </xf>
    <xf numFmtId="43" fontId="0" fillId="0" borderId="12" xfId="2" applyFont="1" applyBorder="1" applyAlignment="1">
      <alignment horizontal="center"/>
    </xf>
    <xf numFmtId="43" fontId="0" fillId="0" borderId="12" xfId="2" applyFont="1" applyBorder="1" applyAlignment="1"/>
    <xf numFmtId="43" fontId="1" fillId="0" borderId="68" xfId="2" applyFont="1" applyBorder="1" applyAlignment="1">
      <alignment horizontal="right"/>
    </xf>
    <xf numFmtId="43" fontId="0" fillId="0" borderId="68" xfId="2" applyFont="1" applyBorder="1"/>
    <xf numFmtId="200" fontId="0" fillId="0" borderId="0" xfId="2" applyNumberFormat="1" applyFont="1" applyAlignment="1">
      <alignment horizontal="right"/>
    </xf>
    <xf numFmtId="43" fontId="0" fillId="0" borderId="68" xfId="2" applyFont="1" applyBorder="1" applyAlignment="1"/>
    <xf numFmtId="17" fontId="29" fillId="0" borderId="0" xfId="2" applyNumberFormat="1" applyFont="1" applyFill="1" applyAlignment="1">
      <alignment horizontal="left"/>
    </xf>
    <xf numFmtId="43" fontId="0" fillId="0" borderId="12" xfId="2" applyFont="1" applyBorder="1" applyAlignment="1">
      <alignment horizontal="right"/>
    </xf>
    <xf numFmtId="43" fontId="0" fillId="0" borderId="0" xfId="2" applyFont="1" applyAlignment="1">
      <alignment horizontal="right"/>
    </xf>
    <xf numFmtId="200" fontId="0" fillId="0" borderId="68" xfId="2" applyNumberFormat="1" applyFont="1" applyBorder="1" applyAlignment="1">
      <alignment horizontal="center"/>
    </xf>
    <xf numFmtId="43" fontId="0" fillId="0" borderId="68" xfId="2" applyFont="1" applyBorder="1" applyAlignment="1">
      <alignment horizontal="center"/>
    </xf>
    <xf numFmtId="43" fontId="1" fillId="0" borderId="12" xfId="2" applyFont="1" applyBorder="1"/>
    <xf numFmtId="0" fontId="34" fillId="0" borderId="0" xfId="0" applyFont="1"/>
    <xf numFmtId="0" fontId="82" fillId="0" borderId="0" xfId="0" applyFont="1"/>
    <xf numFmtId="0" fontId="34" fillId="0" borderId="0" xfId="6" applyFont="1"/>
    <xf numFmtId="0" fontId="34" fillId="0" borderId="0" xfId="14" applyFont="1" applyAlignment="1">
      <alignment horizontal="right"/>
    </xf>
    <xf numFmtId="206" fontId="34" fillId="0" borderId="0" xfId="10" applyNumberFormat="1" applyFont="1"/>
    <xf numFmtId="0" fontId="34" fillId="0" borderId="0" xfId="14" applyFont="1" applyAlignment="1">
      <alignment horizontal="center"/>
    </xf>
    <xf numFmtId="43" fontId="34" fillId="0" borderId="0" xfId="10" applyFont="1"/>
    <xf numFmtId="0" fontId="34" fillId="0" borderId="26" xfId="14" applyFont="1" applyBorder="1"/>
    <xf numFmtId="208" fontId="34" fillId="0" borderId="26" xfId="10" applyNumberFormat="1" applyFont="1" applyBorder="1"/>
    <xf numFmtId="43" fontId="34" fillId="0" borderId="26" xfId="10" applyFont="1" applyBorder="1"/>
    <xf numFmtId="0" fontId="34" fillId="0" borderId="26" xfId="14" applyFont="1" applyBorder="1" applyAlignment="1">
      <alignment horizontal="centerContinuous"/>
    </xf>
    <xf numFmtId="0" fontId="34" fillId="0" borderId="13" xfId="14" applyFont="1" applyBorder="1" applyAlignment="1">
      <alignment horizontal="centerContinuous"/>
    </xf>
    <xf numFmtId="0" fontId="83" fillId="0" borderId="26" xfId="14" applyFont="1" applyBorder="1" applyAlignment="1">
      <alignment horizontal="left"/>
    </xf>
    <xf numFmtId="0" fontId="83" fillId="0" borderId="0" xfId="14" applyFont="1" applyAlignment="1">
      <alignment horizontal="left"/>
    </xf>
    <xf numFmtId="208" fontId="83" fillId="0" borderId="26" xfId="10" applyNumberFormat="1" applyFont="1" applyBorder="1"/>
    <xf numFmtId="43" fontId="83" fillId="0" borderId="26" xfId="10" applyFont="1" applyBorder="1"/>
    <xf numFmtId="9" fontId="34" fillId="0" borderId="13" xfId="14" applyNumberFormat="1" applyFont="1" applyBorder="1" applyAlignment="1">
      <alignment horizontal="center"/>
    </xf>
    <xf numFmtId="0" fontId="83" fillId="0" borderId="0" xfId="14" applyFont="1"/>
    <xf numFmtId="208" fontId="83" fillId="0" borderId="26" xfId="10" quotePrefix="1" applyNumberFormat="1" applyFont="1" applyBorder="1" applyAlignment="1">
      <alignment horizontal="center"/>
    </xf>
    <xf numFmtId="0" fontId="34" fillId="0" borderId="26" xfId="14" quotePrefix="1" applyFont="1" applyBorder="1" applyAlignment="1">
      <alignment horizontal="left"/>
    </xf>
    <xf numFmtId="0" fontId="34" fillId="0" borderId="25" xfId="14" applyFont="1" applyBorder="1"/>
    <xf numFmtId="0" fontId="34" fillId="0" borderId="28" xfId="14" applyFont="1" applyBorder="1"/>
    <xf numFmtId="43" fontId="34" fillId="0" borderId="25" xfId="10" quotePrefix="1" applyFont="1" applyBorder="1" applyAlignment="1">
      <alignment horizontal="center"/>
    </xf>
    <xf numFmtId="0" fontId="34" fillId="0" borderId="13" xfId="14" quotePrefix="1" applyFont="1" applyBorder="1" applyAlignment="1">
      <alignment horizontal="center"/>
    </xf>
    <xf numFmtId="0" fontId="82" fillId="0" borderId="26" xfId="14" applyFont="1" applyBorder="1" applyAlignment="1">
      <alignment horizontal="center"/>
    </xf>
    <xf numFmtId="0" fontId="82" fillId="0" borderId="0" xfId="14" applyFont="1" applyAlignment="1">
      <alignment horizontal="center"/>
    </xf>
    <xf numFmtId="43" fontId="34" fillId="0" borderId="0" xfId="10" applyFont="1" applyBorder="1"/>
    <xf numFmtId="43" fontId="34" fillId="0" borderId="25" xfId="10" applyFont="1" applyBorder="1"/>
    <xf numFmtId="0" fontId="34" fillId="0" borderId="10" xfId="14" applyFont="1" applyBorder="1"/>
    <xf numFmtId="43" fontId="82" fillId="0" borderId="82" xfId="10" applyFont="1" applyBorder="1"/>
    <xf numFmtId="0" fontId="34" fillId="0" borderId="13" xfId="14" applyFont="1" applyBorder="1"/>
    <xf numFmtId="210" fontId="34" fillId="0" borderId="28" xfId="14" applyNumberFormat="1" applyFont="1" applyBorder="1"/>
    <xf numFmtId="43" fontId="34" fillId="0" borderId="0" xfId="10" applyFont="1" applyBorder="1" applyAlignment="1"/>
    <xf numFmtId="43" fontId="34" fillId="0" borderId="0" xfId="10" applyFont="1" applyBorder="1" applyAlignment="1">
      <alignment horizontal="right"/>
    </xf>
    <xf numFmtId="4" fontId="34" fillId="0" borderId="0" xfId="14" applyNumberFormat="1" applyFont="1"/>
    <xf numFmtId="2" fontId="9" fillId="19" borderId="10" xfId="5" applyNumberFormat="1" applyFont="1" applyFill="1" applyBorder="1" applyAlignment="1">
      <alignment horizontal="center"/>
    </xf>
    <xf numFmtId="0" fontId="6" fillId="19" borderId="6" xfId="0" applyFont="1" applyFill="1" applyBorder="1"/>
    <xf numFmtId="188" fontId="6" fillId="19" borderId="2" xfId="5" applyNumberFormat="1" applyFont="1" applyFill="1" applyBorder="1"/>
    <xf numFmtId="0" fontId="6" fillId="19" borderId="2" xfId="0" applyFont="1" applyFill="1" applyBorder="1"/>
    <xf numFmtId="2" fontId="6" fillId="19" borderId="2" xfId="5" applyNumberFormat="1" applyFont="1" applyFill="1" applyBorder="1"/>
    <xf numFmtId="0" fontId="6" fillId="19" borderId="2" xfId="0" applyFont="1" applyFill="1" applyBorder="1" applyAlignment="1">
      <alignment horizontal="center"/>
    </xf>
    <xf numFmtId="2" fontId="6" fillId="19" borderId="2" xfId="0" applyNumberFormat="1" applyFont="1" applyFill="1" applyBorder="1"/>
    <xf numFmtId="39" fontId="3" fillId="18" borderId="36" xfId="5" applyFont="1" applyFill="1" applyBorder="1"/>
    <xf numFmtId="39" fontId="3" fillId="18" borderId="45" xfId="5" applyFont="1" applyFill="1" applyBorder="1"/>
    <xf numFmtId="39" fontId="3" fillId="18" borderId="42" xfId="5" applyFont="1" applyFill="1" applyBorder="1"/>
    <xf numFmtId="39" fontId="3" fillId="18" borderId="35" xfId="5" applyFont="1" applyFill="1" applyBorder="1"/>
    <xf numFmtId="39" fontId="3" fillId="3" borderId="63" xfId="5" applyFont="1" applyFill="1" applyBorder="1" applyAlignment="1">
      <alignment horizontal="right"/>
    </xf>
    <xf numFmtId="2" fontId="3" fillId="3" borderId="36" xfId="0" applyNumberFormat="1" applyFont="1" applyFill="1" applyBorder="1"/>
    <xf numFmtId="1" fontId="4" fillId="0" borderId="72" xfId="5" applyNumberFormat="1" applyFont="1" applyBorder="1" applyAlignment="1">
      <alignment horizontal="center"/>
    </xf>
    <xf numFmtId="194" fontId="6" fillId="0" borderId="4" xfId="0" applyNumberFormat="1" applyFont="1" applyBorder="1" applyAlignment="1">
      <alignment horizontal="center"/>
    </xf>
    <xf numFmtId="194" fontId="6" fillId="0" borderId="55" xfId="0" applyNumberFormat="1" applyFont="1" applyBorder="1" applyAlignment="1">
      <alignment horizontal="center"/>
    </xf>
    <xf numFmtId="1" fontId="6" fillId="0" borderId="48" xfId="5" applyNumberFormat="1" applyFont="1" applyBorder="1" applyAlignment="1">
      <alignment horizontal="center"/>
    </xf>
    <xf numFmtId="1" fontId="6" fillId="0" borderId="47" xfId="5" applyNumberFormat="1" applyFont="1" applyBorder="1" applyAlignment="1">
      <alignment horizontal="center"/>
    </xf>
    <xf numFmtId="39" fontId="6" fillId="0" borderId="19" xfId="5" applyFont="1" applyBorder="1" applyAlignment="1">
      <alignment horizontal="center"/>
    </xf>
    <xf numFmtId="39" fontId="6" fillId="0" borderId="21" xfId="5" quotePrefix="1" applyFont="1" applyBorder="1" applyAlignment="1">
      <alignment horizontal="center"/>
    </xf>
    <xf numFmtId="39" fontId="3" fillId="0" borderId="21" xfId="5" applyFont="1" applyBorder="1" applyAlignment="1">
      <alignment horizontal="center"/>
    </xf>
    <xf numFmtId="1" fontId="69" fillId="0" borderId="0" xfId="7" applyNumberFormat="1" applyFont="1" applyAlignment="1">
      <alignment horizontal="right"/>
    </xf>
    <xf numFmtId="0" fontId="33" fillId="0" borderId="0" xfId="7"/>
    <xf numFmtId="49" fontId="69" fillId="0" borderId="12" xfId="7" applyNumberFormat="1" applyFont="1" applyBorder="1"/>
    <xf numFmtId="0" fontId="69" fillId="0" borderId="12" xfId="7" applyFont="1" applyBorder="1"/>
    <xf numFmtId="2" fontId="33" fillId="0" borderId="0" xfId="7" applyNumberFormat="1" applyAlignment="1">
      <alignment horizontal="right"/>
    </xf>
    <xf numFmtId="0" fontId="1" fillId="0" borderId="0" xfId="19"/>
    <xf numFmtId="49" fontId="33" fillId="0" borderId="0" xfId="7" applyNumberFormat="1"/>
    <xf numFmtId="49" fontId="69" fillId="0" borderId="12" xfId="7" applyNumberFormat="1" applyFont="1" applyBorder="1" applyAlignment="1">
      <alignment horizontal="center"/>
    </xf>
    <xf numFmtId="1" fontId="69" fillId="0" borderId="12" xfId="7" applyNumberFormat="1" applyFont="1" applyBorder="1" applyAlignment="1">
      <alignment horizontal="right"/>
    </xf>
    <xf numFmtId="39" fontId="3" fillId="19" borderId="50" xfId="5" applyFont="1" applyFill="1" applyBorder="1"/>
    <xf numFmtId="39" fontId="3" fillId="19" borderId="38" xfId="5" applyFont="1" applyFill="1" applyBorder="1"/>
    <xf numFmtId="39" fontId="3" fillId="19" borderId="40" xfId="5" applyFont="1" applyFill="1" applyBorder="1"/>
    <xf numFmtId="39" fontId="3" fillId="19" borderId="1" xfId="5" applyFont="1" applyFill="1" applyBorder="1"/>
    <xf numFmtId="39" fontId="3" fillId="19" borderId="37" xfId="5" applyFont="1" applyFill="1" applyBorder="1"/>
    <xf numFmtId="39" fontId="3" fillId="19" borderId="46" xfId="5" applyFont="1" applyFill="1" applyBorder="1"/>
    <xf numFmtId="208" fontId="34" fillId="0" borderId="26" xfId="10" applyNumberFormat="1" applyFont="1" applyBorder="1" applyAlignment="1">
      <alignment horizontal="center"/>
    </xf>
    <xf numFmtId="188" fontId="23" fillId="0" borderId="2" xfId="5" applyNumberFormat="1" applyFont="1" applyBorder="1"/>
    <xf numFmtId="0" fontId="23" fillId="0" borderId="2" xfId="0" applyFont="1" applyBorder="1"/>
    <xf numFmtId="2" fontId="23" fillId="0" borderId="2" xfId="5" applyNumberFormat="1" applyFont="1" applyBorder="1"/>
    <xf numFmtId="0" fontId="23" fillId="0" borderId="2" xfId="0" applyFont="1" applyBorder="1" applyAlignment="1">
      <alignment horizontal="center"/>
    </xf>
    <xf numFmtId="2" fontId="23" fillId="0" borderId="2" xfId="0" applyNumberFormat="1" applyFont="1" applyBorder="1"/>
    <xf numFmtId="39" fontId="3" fillId="19" borderId="32" xfId="5" applyFont="1" applyFill="1" applyBorder="1" applyAlignment="1">
      <alignment horizontal="right"/>
    </xf>
    <xf numFmtId="39" fontId="3" fillId="19" borderId="51" xfId="5" applyFont="1" applyFill="1" applyBorder="1" applyAlignment="1">
      <alignment horizontal="right"/>
    </xf>
    <xf numFmtId="39" fontId="3" fillId="19" borderId="41" xfId="5" applyFont="1" applyFill="1" applyBorder="1" applyAlignment="1">
      <alignment horizontal="right"/>
    </xf>
    <xf numFmtId="39" fontId="3" fillId="19" borderId="2" xfId="5" applyFont="1" applyFill="1" applyBorder="1" applyAlignment="1">
      <alignment horizontal="right"/>
    </xf>
    <xf numFmtId="39" fontId="3" fillId="19" borderId="33" xfId="5" applyFont="1" applyFill="1" applyBorder="1" applyAlignment="1">
      <alignment horizontal="right"/>
    </xf>
    <xf numFmtId="39" fontId="3" fillId="19" borderId="34" xfId="5" applyFont="1" applyFill="1" applyBorder="1" applyAlignment="1">
      <alignment horizontal="right"/>
    </xf>
    <xf numFmtId="39" fontId="3" fillId="19" borderId="32" xfId="5" applyFont="1" applyFill="1" applyBorder="1"/>
    <xf numFmtId="39" fontId="3" fillId="19" borderId="41" xfId="5" applyFont="1" applyFill="1" applyBorder="1"/>
    <xf numFmtId="39" fontId="3" fillId="19" borderId="2" xfId="5" applyFont="1" applyFill="1" applyBorder="1"/>
    <xf numFmtId="39" fontId="3" fillId="19" borderId="33" xfId="5" applyFont="1" applyFill="1" applyBorder="1"/>
    <xf numFmtId="39" fontId="3" fillId="19" borderId="34" xfId="5" applyFont="1" applyFill="1" applyBorder="1"/>
    <xf numFmtId="39" fontId="3" fillId="19" borderId="42" xfId="5" applyFont="1" applyFill="1" applyBorder="1"/>
    <xf numFmtId="39" fontId="3" fillId="19" borderId="36" xfId="5" applyFont="1" applyFill="1" applyBorder="1"/>
    <xf numFmtId="188" fontId="6" fillId="19" borderId="102" xfId="5" applyNumberFormat="1" applyFont="1" applyFill="1" applyBorder="1"/>
    <xf numFmtId="39" fontId="3" fillId="24" borderId="35" xfId="5" applyFont="1" applyFill="1" applyBorder="1"/>
    <xf numFmtId="39" fontId="3" fillId="24" borderId="52" xfId="5" applyFont="1" applyFill="1" applyBorder="1" applyAlignment="1">
      <alignment horizontal="right"/>
    </xf>
    <xf numFmtId="39" fontId="3" fillId="24" borderId="53" xfId="5" applyFont="1" applyFill="1" applyBorder="1" applyAlignment="1">
      <alignment horizontal="right"/>
    </xf>
    <xf numFmtId="39" fontId="3" fillId="24" borderId="54" xfId="5" applyFont="1" applyFill="1" applyBorder="1" applyAlignment="1">
      <alignment horizontal="right"/>
    </xf>
    <xf numFmtId="39" fontId="3" fillId="24" borderId="55" xfId="5" applyFont="1" applyFill="1" applyBorder="1" applyAlignment="1">
      <alignment horizontal="right"/>
    </xf>
    <xf numFmtId="39" fontId="3" fillId="19" borderId="52" xfId="5" applyFont="1" applyFill="1" applyBorder="1" applyAlignment="1">
      <alignment horizontal="right"/>
    </xf>
    <xf numFmtId="39" fontId="3" fillId="19" borderId="53" xfId="5" applyFont="1" applyFill="1" applyBorder="1" applyAlignment="1">
      <alignment horizontal="right"/>
    </xf>
    <xf numFmtId="39" fontId="3" fillId="19" borderId="54" xfId="5" applyFont="1" applyFill="1" applyBorder="1" applyAlignment="1">
      <alignment horizontal="right"/>
    </xf>
    <xf numFmtId="39" fontId="3" fillId="19" borderId="55" xfId="5" applyFont="1" applyFill="1" applyBorder="1" applyAlignment="1">
      <alignment horizontal="right"/>
    </xf>
    <xf numFmtId="39" fontId="3" fillId="19" borderId="57" xfId="5" applyFont="1" applyFill="1" applyBorder="1" applyAlignment="1">
      <alignment horizontal="right"/>
    </xf>
    <xf numFmtId="0" fontId="6" fillId="19" borderId="103" xfId="0" applyFont="1" applyFill="1" applyBorder="1"/>
    <xf numFmtId="2" fontId="9" fillId="19" borderId="6" xfId="5" applyNumberFormat="1" applyFont="1" applyFill="1" applyBorder="1" applyAlignment="1">
      <alignment horizontal="center"/>
    </xf>
    <xf numFmtId="2" fontId="9" fillId="19" borderId="11" xfId="5" applyNumberFormat="1" applyFont="1" applyFill="1" applyBorder="1" applyAlignment="1">
      <alignment horizontal="center"/>
    </xf>
    <xf numFmtId="2" fontId="9" fillId="19" borderId="2" xfId="5" applyNumberFormat="1" applyFont="1" applyFill="1" applyBorder="1" applyAlignment="1">
      <alignment horizontal="center"/>
    </xf>
    <xf numFmtId="188" fontId="9" fillId="19" borderId="2" xfId="5" applyNumberFormat="1" applyFont="1" applyFill="1" applyBorder="1" applyAlignment="1">
      <alignment horizontal="center"/>
    </xf>
    <xf numFmtId="39" fontId="3" fillId="19" borderId="56" xfId="5" applyFont="1" applyFill="1" applyBorder="1" applyAlignment="1">
      <alignment horizontal="right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Continuous"/>
    </xf>
    <xf numFmtId="43" fontId="34" fillId="0" borderId="0" xfId="0" applyNumberFormat="1" applyFont="1" applyAlignment="1">
      <alignment horizontal="center" vertical="top"/>
    </xf>
    <xf numFmtId="0" fontId="34" fillId="0" borderId="0" xfId="0" quotePrefix="1" applyFont="1" applyAlignment="1">
      <alignment horizontal="left"/>
    </xf>
    <xf numFmtId="194" fontId="6" fillId="0" borderId="0" xfId="0" applyNumberFormat="1" applyFont="1" applyAlignment="1">
      <alignment horizontal="center"/>
    </xf>
    <xf numFmtId="0" fontId="10" fillId="0" borderId="2" xfId="0" applyFont="1" applyBorder="1"/>
    <xf numFmtId="0" fontId="1" fillId="0" borderId="0" xfId="14" applyFont="1"/>
    <xf numFmtId="2" fontId="104" fillId="0" borderId="0" xfId="0" applyNumberFormat="1" applyFont="1"/>
    <xf numFmtId="0" fontId="104" fillId="0" borderId="0" xfId="0" applyFont="1"/>
    <xf numFmtId="0" fontId="34" fillId="0" borderId="0" xfId="6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4" fillId="0" borderId="0" xfId="0" applyFont="1" applyAlignment="1">
      <alignment vertical="top"/>
    </xf>
    <xf numFmtId="39" fontId="41" fillId="0" borderId="12" xfId="0" applyNumberFormat="1" applyFont="1" applyBorder="1"/>
    <xf numFmtId="39" fontId="41" fillId="19" borderId="12" xfId="0" applyNumberFormat="1" applyFont="1" applyFill="1" applyBorder="1"/>
    <xf numFmtId="2" fontId="3" fillId="19" borderId="0" xfId="0" applyNumberFormat="1" applyFont="1" applyFill="1"/>
    <xf numFmtId="2" fontId="3" fillId="19" borderId="17" xfId="0" applyNumberFormat="1" applyFont="1" applyFill="1" applyBorder="1"/>
    <xf numFmtId="39" fontId="3" fillId="19" borderId="60" xfId="5" applyFont="1" applyFill="1" applyBorder="1" applyAlignment="1">
      <alignment horizontal="right"/>
    </xf>
    <xf numFmtId="39" fontId="3" fillId="19" borderId="61" xfId="5" applyFont="1" applyFill="1" applyBorder="1" applyAlignment="1">
      <alignment horizontal="right"/>
    </xf>
    <xf numFmtId="39" fontId="3" fillId="19" borderId="23" xfId="5" applyFont="1" applyFill="1" applyBorder="1" applyAlignment="1">
      <alignment horizontal="right"/>
    </xf>
    <xf numFmtId="39" fontId="3" fillId="19" borderId="59" xfId="5" applyFont="1" applyFill="1" applyBorder="1" applyAlignment="1">
      <alignment horizontal="right"/>
    </xf>
    <xf numFmtId="39" fontId="3" fillId="19" borderId="62" xfId="5" applyFont="1" applyFill="1" applyBorder="1" applyAlignment="1">
      <alignment horizontal="right"/>
    </xf>
    <xf numFmtId="39" fontId="3" fillId="19" borderId="63" xfId="5" applyFont="1" applyFill="1" applyBorder="1" applyAlignment="1">
      <alignment horizontal="right"/>
    </xf>
    <xf numFmtId="194" fontId="6" fillId="0" borderId="85" xfId="0" applyNumberFormat="1" applyFont="1" applyBorder="1" applyAlignment="1">
      <alignment horizont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/>
    </xf>
    <xf numFmtId="43" fontId="34" fillId="0" borderId="0" xfId="2" applyFont="1" applyAlignment="1" applyProtection="1">
      <alignment horizontal="left"/>
      <protection locked="0"/>
    </xf>
    <xf numFmtId="0" fontId="86" fillId="0" borderId="0" xfId="0" applyFont="1"/>
    <xf numFmtId="0" fontId="86" fillId="0" borderId="0" xfId="0" applyFont="1" applyAlignment="1">
      <alignment horizontal="center"/>
    </xf>
    <xf numFmtId="0" fontId="86" fillId="0" borderId="12" xfId="0" applyFont="1" applyBorder="1"/>
    <xf numFmtId="0" fontId="87" fillId="0" borderId="12" xfId="0" applyFont="1" applyBorder="1" applyAlignment="1">
      <alignment horizontal="center"/>
    </xf>
    <xf numFmtId="0" fontId="86" fillId="0" borderId="12" xfId="0" applyFont="1" applyBorder="1" applyAlignment="1">
      <alignment horizontal="center"/>
    </xf>
    <xf numFmtId="189" fontId="86" fillId="0" borderId="12" xfId="0" applyNumberFormat="1" applyFont="1" applyBorder="1" applyAlignment="1">
      <alignment horizontal="center"/>
    </xf>
    <xf numFmtId="0" fontId="88" fillId="0" borderId="12" xfId="0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/>
    </xf>
    <xf numFmtId="215" fontId="127" fillId="14" borderId="101" xfId="1" applyNumberFormat="1"/>
    <xf numFmtId="0" fontId="109" fillId="0" borderId="0" xfId="0" applyFont="1" applyAlignment="1">
      <alignment horizontal="center"/>
    </xf>
    <xf numFmtId="188" fontId="89" fillId="0" borderId="12" xfId="4" applyNumberFormat="1" applyFont="1" applyFill="1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110" fillId="19" borderId="12" xfId="0" applyFont="1" applyFill="1" applyBorder="1" applyAlignment="1">
      <alignment horizontal="center"/>
    </xf>
    <xf numFmtId="43" fontId="111" fillId="15" borderId="104" xfId="2" applyFont="1" applyFill="1" applyBorder="1"/>
    <xf numFmtId="0" fontId="112" fillId="19" borderId="0" xfId="0" applyFont="1" applyFill="1"/>
    <xf numFmtId="0" fontId="1" fillId="0" borderId="0" xfId="0" applyFont="1"/>
    <xf numFmtId="189" fontId="127" fillId="14" borderId="101" xfId="1" applyNumberFormat="1"/>
    <xf numFmtId="3" fontId="127" fillId="14" borderId="12" xfId="1" applyNumberFormat="1" applyBorder="1" applyAlignment="1">
      <alignment horizontal="center"/>
    </xf>
    <xf numFmtId="208" fontId="127" fillId="14" borderId="12" xfId="1" applyNumberFormat="1" applyBorder="1"/>
    <xf numFmtId="9" fontId="113" fillId="0" borderId="0" xfId="0" applyNumberFormat="1" applyFont="1" applyAlignment="1">
      <alignment horizontal="center" vertical="center"/>
    </xf>
    <xf numFmtId="0" fontId="34" fillId="0" borderId="0" xfId="14" applyFont="1" applyAlignment="1">
      <alignment horizontal="left"/>
    </xf>
    <xf numFmtId="0" fontId="83" fillId="0" borderId="13" xfId="14" applyFont="1" applyBorder="1"/>
    <xf numFmtId="0" fontId="34" fillId="0" borderId="0" xfId="14" applyFont="1" applyAlignment="1">
      <alignment horizontal="left" vertical="center"/>
    </xf>
    <xf numFmtId="0" fontId="83" fillId="0" borderId="2" xfId="14" applyFont="1" applyBorder="1" applyAlignment="1">
      <alignment horizontal="center"/>
    </xf>
    <xf numFmtId="0" fontId="83" fillId="0" borderId="2" xfId="14" applyFont="1" applyBorder="1"/>
    <xf numFmtId="0" fontId="34" fillId="0" borderId="2" xfId="14" applyFont="1" applyBorder="1"/>
    <xf numFmtId="0" fontId="34" fillId="0" borderId="11" xfId="14" applyFont="1" applyBorder="1"/>
    <xf numFmtId="0" fontId="83" fillId="0" borderId="13" xfId="14" applyFont="1" applyBorder="1" applyAlignment="1">
      <alignment horizontal="left"/>
    </xf>
    <xf numFmtId="0" fontId="34" fillId="0" borderId="26" xfId="14" applyFont="1" applyBorder="1" applyAlignment="1">
      <alignment horizontal="left"/>
    </xf>
    <xf numFmtId="0" fontId="34" fillId="0" borderId="25" xfId="14" applyFont="1" applyBorder="1" applyAlignment="1">
      <alignment horizontal="left"/>
    </xf>
    <xf numFmtId="0" fontId="86" fillId="9" borderId="0" xfId="14" applyFont="1" applyFill="1"/>
    <xf numFmtId="0" fontId="86" fillId="0" borderId="0" xfId="14" applyFont="1" applyAlignment="1">
      <alignment horizontal="center"/>
    </xf>
    <xf numFmtId="0" fontId="86" fillId="0" borderId="0" xfId="14" applyFont="1" applyAlignment="1">
      <alignment horizontal="center" vertical="center"/>
    </xf>
    <xf numFmtId="0" fontId="86" fillId="0" borderId="0" xfId="14" applyFont="1"/>
    <xf numFmtId="0" fontId="86" fillId="9" borderId="0" xfId="14" applyFont="1" applyFill="1" applyAlignment="1">
      <alignment horizontal="center"/>
    </xf>
    <xf numFmtId="2" fontId="86" fillId="0" borderId="6" xfId="14" applyNumberFormat="1" applyFont="1" applyBorder="1" applyAlignment="1">
      <alignment horizontal="center"/>
    </xf>
    <xf numFmtId="0" fontId="86" fillId="0" borderId="27" xfId="14" applyFont="1" applyBorder="1"/>
    <xf numFmtId="0" fontId="86" fillId="0" borderId="9" xfId="14" applyFont="1" applyBorder="1"/>
    <xf numFmtId="0" fontId="86" fillId="0" borderId="8" xfId="14" applyFont="1" applyBorder="1"/>
    <xf numFmtId="0" fontId="86" fillId="0" borderId="0" xfId="14" applyFont="1" applyAlignment="1">
      <alignment horizontal="left" vertical="center"/>
    </xf>
    <xf numFmtId="0" fontId="86" fillId="0" borderId="0" xfId="14" applyFont="1" applyAlignment="1">
      <alignment horizontal="left"/>
    </xf>
    <xf numFmtId="0" fontId="86" fillId="23" borderId="12" xfId="14" applyFont="1" applyFill="1" applyBorder="1" applyAlignment="1">
      <alignment horizontal="center"/>
    </xf>
    <xf numFmtId="0" fontId="86" fillId="0" borderId="12" xfId="14" applyFont="1" applyBorder="1" applyAlignment="1">
      <alignment horizontal="center"/>
    </xf>
    <xf numFmtId="0" fontId="86" fillId="19" borderId="12" xfId="14" applyFont="1" applyFill="1" applyBorder="1" applyAlignment="1">
      <alignment horizontal="center"/>
    </xf>
    <xf numFmtId="0" fontId="88" fillId="0" borderId="12" xfId="14" applyFont="1" applyBorder="1" applyAlignment="1">
      <alignment horizontal="center"/>
    </xf>
    <xf numFmtId="0" fontId="86" fillId="0" borderId="12" xfId="14" applyFont="1" applyBorder="1"/>
    <xf numFmtId="0" fontId="88" fillId="0" borderId="12" xfId="14" applyFont="1" applyBorder="1" applyAlignment="1">
      <alignment horizontal="center" vertical="center"/>
    </xf>
    <xf numFmtId="213" fontId="86" fillId="0" borderId="12" xfId="14" applyNumberFormat="1" applyFont="1" applyBorder="1" applyAlignment="1">
      <alignment horizontal="center"/>
    </xf>
    <xf numFmtId="0" fontId="119" fillId="0" borderId="27" xfId="14" applyFont="1" applyBorder="1" applyAlignment="1">
      <alignment vertical="center"/>
    </xf>
    <xf numFmtId="0" fontId="86" fillId="25" borderId="12" xfId="14" applyFont="1" applyFill="1" applyBorder="1" applyAlignment="1">
      <alignment vertical="center"/>
    </xf>
    <xf numFmtId="0" fontId="86" fillId="9" borderId="12" xfId="14" applyFont="1" applyFill="1" applyBorder="1" applyAlignment="1">
      <alignment horizontal="center"/>
    </xf>
    <xf numFmtId="0" fontId="86" fillId="9" borderId="0" xfId="14" applyFont="1" applyFill="1" applyAlignment="1">
      <alignment horizontal="left"/>
    </xf>
    <xf numFmtId="9" fontId="86" fillId="9" borderId="12" xfId="14" applyNumberFormat="1" applyFont="1" applyFill="1" applyBorder="1" applyAlignment="1">
      <alignment horizontal="center" vertical="center"/>
    </xf>
    <xf numFmtId="0" fontId="86" fillId="9" borderId="12" xfId="14" applyFont="1" applyFill="1" applyBorder="1" applyAlignment="1">
      <alignment horizontal="center" vertical="center"/>
    </xf>
    <xf numFmtId="0" fontId="86" fillId="9" borderId="24" xfId="14" applyFont="1" applyFill="1" applyBorder="1"/>
    <xf numFmtId="0" fontId="86" fillId="9" borderId="29" xfId="14" applyFont="1" applyFill="1" applyBorder="1"/>
    <xf numFmtId="0" fontId="86" fillId="9" borderId="26" xfId="14" applyFont="1" applyFill="1" applyBorder="1"/>
    <xf numFmtId="0" fontId="86" fillId="9" borderId="13" xfId="14" applyFont="1" applyFill="1" applyBorder="1"/>
    <xf numFmtId="0" fontId="86" fillId="9" borderId="25" xfId="14" applyFont="1" applyFill="1" applyBorder="1"/>
    <xf numFmtId="0" fontId="86" fillId="9" borderId="28" xfId="14" applyFont="1" applyFill="1" applyBorder="1"/>
    <xf numFmtId="0" fontId="86" fillId="9" borderId="10" xfId="14" applyFont="1" applyFill="1" applyBorder="1"/>
    <xf numFmtId="0" fontId="121" fillId="9" borderId="0" xfId="14" applyFont="1" applyFill="1" applyAlignment="1">
      <alignment horizontal="center"/>
    </xf>
    <xf numFmtId="0" fontId="88" fillId="0" borderId="6" xfId="14" applyFont="1" applyBorder="1" applyAlignment="1">
      <alignment horizontal="center"/>
    </xf>
    <xf numFmtId="0" fontId="114" fillId="0" borderId="0" xfId="17" applyFont="1" applyAlignment="1">
      <alignment horizontal="left" vertical="center"/>
    </xf>
    <xf numFmtId="0" fontId="115" fillId="0" borderId="0" xfId="17" applyFont="1" applyAlignment="1">
      <alignment horizontal="centerContinuous" vertical="center"/>
    </xf>
    <xf numFmtId="0" fontId="115" fillId="0" borderId="0" xfId="17" applyFont="1" applyAlignment="1">
      <alignment horizontal="center"/>
    </xf>
    <xf numFmtId="0" fontId="115" fillId="0" borderId="0" xfId="17" applyFont="1"/>
    <xf numFmtId="0" fontId="114" fillId="0" borderId="0" xfId="17" applyFont="1"/>
    <xf numFmtId="0" fontId="115" fillId="0" borderId="6" xfId="17" applyFont="1" applyBorder="1" applyAlignment="1">
      <alignment horizontal="center" wrapText="1"/>
    </xf>
    <xf numFmtId="0" fontId="123" fillId="0" borderId="6" xfId="17" applyFont="1" applyBorder="1" applyAlignment="1">
      <alignment horizontal="center" wrapText="1"/>
    </xf>
    <xf numFmtId="0" fontId="115" fillId="0" borderId="6" xfId="17" applyFont="1" applyBorder="1" applyAlignment="1">
      <alignment horizontal="center"/>
    </xf>
    <xf numFmtId="0" fontId="124" fillId="0" borderId="6" xfId="17" applyFont="1" applyBorder="1" applyAlignment="1">
      <alignment horizontal="center" wrapText="1"/>
    </xf>
    <xf numFmtId="0" fontId="115" fillId="0" borderId="6" xfId="17" applyFont="1" applyBorder="1"/>
    <xf numFmtId="0" fontId="114" fillId="0" borderId="0" xfId="17" applyFont="1" applyAlignment="1">
      <alignment horizontal="center"/>
    </xf>
    <xf numFmtId="0" fontId="115" fillId="0" borderId="11" xfId="17" applyFont="1" applyBorder="1" applyAlignment="1">
      <alignment horizontal="center" wrapText="1"/>
    </xf>
    <xf numFmtId="0" fontId="123" fillId="0" borderId="11" xfId="17" applyFont="1" applyBorder="1" applyAlignment="1">
      <alignment horizontal="center" wrapText="1"/>
    </xf>
    <xf numFmtId="0" fontId="114" fillId="0" borderId="11" xfId="17" applyFont="1" applyBorder="1" applyAlignment="1">
      <alignment horizontal="center" wrapText="1"/>
    </xf>
    <xf numFmtId="0" fontId="115" fillId="0" borderId="11" xfId="17" applyFont="1" applyBorder="1"/>
    <xf numFmtId="0" fontId="115" fillId="0" borderId="0" xfId="17" quotePrefix="1" applyFont="1"/>
    <xf numFmtId="188" fontId="115" fillId="0" borderId="12" xfId="17" applyNumberFormat="1" applyFont="1" applyBorder="1" applyAlignment="1">
      <alignment horizontal="center"/>
    </xf>
    <xf numFmtId="188" fontId="123" fillId="0" borderId="12" xfId="17" applyNumberFormat="1" applyFont="1" applyBorder="1" applyAlignment="1">
      <alignment horizontal="center"/>
    </xf>
    <xf numFmtId="188" fontId="114" fillId="0" borderId="12" xfId="17" applyNumberFormat="1" applyFont="1" applyBorder="1" applyAlignment="1">
      <alignment horizontal="center"/>
    </xf>
    <xf numFmtId="43" fontId="115" fillId="0" borderId="12" xfId="10" applyFont="1" applyBorder="1"/>
    <xf numFmtId="2" fontId="115" fillId="0" borderId="29" xfId="17" applyNumberFormat="1" applyFont="1" applyBorder="1" applyAlignment="1">
      <alignment horizontal="center"/>
    </xf>
    <xf numFmtId="2" fontId="115" fillId="0" borderId="0" xfId="17" applyNumberFormat="1" applyFont="1" applyAlignment="1">
      <alignment horizontal="center"/>
    </xf>
    <xf numFmtId="2" fontId="115" fillId="0" borderId="0" xfId="17" applyNumberFormat="1" applyFont="1" applyAlignment="1">
      <alignment horizontal="left"/>
    </xf>
    <xf numFmtId="188" fontId="124" fillId="0" borderId="12" xfId="17" applyNumberFormat="1" applyFont="1" applyBorder="1" applyAlignment="1">
      <alignment horizontal="center"/>
    </xf>
    <xf numFmtId="3" fontId="115" fillId="0" borderId="12" xfId="17" applyNumberFormat="1" applyFont="1" applyBorder="1" applyAlignment="1">
      <alignment horizontal="center"/>
    </xf>
    <xf numFmtId="0" fontId="115" fillId="0" borderId="12" xfId="17" applyFont="1" applyBorder="1" applyAlignment="1">
      <alignment horizontal="center"/>
    </xf>
    <xf numFmtId="0" fontId="115" fillId="0" borderId="12" xfId="17" applyFont="1" applyBorder="1" applyAlignment="1">
      <alignment horizontal="left" vertical="center"/>
    </xf>
    <xf numFmtId="0" fontId="115" fillId="0" borderId="0" xfId="17" applyFont="1" applyAlignment="1">
      <alignment horizontal="left"/>
    </xf>
    <xf numFmtId="188" fontId="124" fillId="0" borderId="0" xfId="17" applyNumberFormat="1" applyFont="1" applyAlignment="1">
      <alignment horizontal="center"/>
    </xf>
    <xf numFmtId="188" fontId="115" fillId="0" borderId="0" xfId="17" applyNumberFormat="1" applyFont="1"/>
    <xf numFmtId="0" fontId="115" fillId="0" borderId="0" xfId="17" applyFont="1" applyAlignment="1">
      <alignment horizontal="right"/>
    </xf>
    <xf numFmtId="3" fontId="115" fillId="0" borderId="12" xfId="17" applyNumberFormat="1" applyFont="1" applyBorder="1" applyAlignment="1">
      <alignment horizontal="left" vertical="center"/>
    </xf>
    <xf numFmtId="2" fontId="115" fillId="0" borderId="0" xfId="17" applyNumberFormat="1" applyFont="1"/>
    <xf numFmtId="2" fontId="115" fillId="0" borderId="6" xfId="17" applyNumberFormat="1" applyFont="1" applyBorder="1"/>
    <xf numFmtId="2" fontId="115" fillId="0" borderId="2" xfId="17" applyNumberFormat="1" applyFont="1" applyBorder="1"/>
    <xf numFmtId="39" fontId="115" fillId="0" borderId="2" xfId="17" applyNumberFormat="1" applyFont="1" applyBorder="1"/>
    <xf numFmtId="2" fontId="115" fillId="0" borderId="11" xfId="17" applyNumberFormat="1" applyFont="1" applyBorder="1"/>
    <xf numFmtId="39" fontId="115" fillId="0" borderId="11" xfId="17" applyNumberFormat="1" applyFont="1" applyBorder="1"/>
    <xf numFmtId="1" fontId="115" fillId="6" borderId="0" xfId="17" applyNumberFormat="1" applyFont="1" applyFill="1"/>
    <xf numFmtId="0" fontId="115" fillId="6" borderId="0" xfId="17" applyFont="1" applyFill="1"/>
    <xf numFmtId="2" fontId="115" fillId="0" borderId="65" xfId="6" applyNumberFormat="1" applyFont="1" applyBorder="1" applyAlignment="1">
      <alignment horizontal="left"/>
    </xf>
    <xf numFmtId="2" fontId="115" fillId="0" borderId="0" xfId="17" quotePrefix="1" applyNumberFormat="1" applyFont="1"/>
    <xf numFmtId="1" fontId="115" fillId="0" borderId="0" xfId="17" applyNumberFormat="1" applyFont="1"/>
    <xf numFmtId="187" fontId="115" fillId="6" borderId="0" xfId="17" applyNumberFormat="1" applyFont="1" applyFill="1" applyAlignment="1">
      <alignment horizontal="right"/>
    </xf>
    <xf numFmtId="0" fontId="115" fillId="0" borderId="12" xfId="17" applyFont="1" applyBorder="1" applyAlignment="1">
      <alignment horizontal="left"/>
    </xf>
    <xf numFmtId="0" fontId="114" fillId="0" borderId="12" xfId="17" applyFont="1" applyBorder="1" applyAlignment="1">
      <alignment horizontal="center"/>
    </xf>
    <xf numFmtId="0" fontId="117" fillId="0" borderId="12" xfId="17" applyFont="1" applyBorder="1" applyAlignment="1">
      <alignment horizontal="center"/>
    </xf>
    <xf numFmtId="0" fontId="117" fillId="0" borderId="0" xfId="17" applyFont="1"/>
    <xf numFmtId="0" fontId="117" fillId="0" borderId="0" xfId="17" applyFont="1" applyAlignment="1">
      <alignment horizontal="left"/>
    </xf>
    <xf numFmtId="0" fontId="86" fillId="9" borderId="0" xfId="14" applyFont="1" applyFill="1" applyAlignment="1">
      <alignment horizontal="right"/>
    </xf>
    <xf numFmtId="0" fontId="115" fillId="0" borderId="12" xfId="17" applyFont="1" applyBorder="1"/>
    <xf numFmtId="0" fontId="115" fillId="0" borderId="27" xfId="17" applyFont="1" applyBorder="1" applyAlignment="1">
      <alignment horizontal="left"/>
    </xf>
    <xf numFmtId="2" fontId="115" fillId="0" borderId="27" xfId="17" applyNumberFormat="1" applyFont="1" applyBorder="1" applyAlignment="1">
      <alignment horizontal="left"/>
    </xf>
    <xf numFmtId="2" fontId="115" fillId="0" borderId="12" xfId="17" applyNumberFormat="1" applyFont="1" applyBorder="1" applyAlignment="1">
      <alignment horizontal="center"/>
    </xf>
    <xf numFmtId="2" fontId="116" fillId="0" borderId="12" xfId="17" applyNumberFormat="1" applyFont="1" applyBorder="1" applyAlignment="1">
      <alignment horizontal="center"/>
    </xf>
    <xf numFmtId="0" fontId="88" fillId="0" borderId="0" xfId="14" applyFont="1" applyAlignment="1">
      <alignment horizontal="center"/>
    </xf>
    <xf numFmtId="0" fontId="88" fillId="0" borderId="0" xfId="14" applyFont="1" applyAlignment="1">
      <alignment horizontal="center" vertical="center"/>
    </xf>
    <xf numFmtId="0" fontId="88" fillId="0" borderId="11" xfId="14" applyFont="1" applyBorder="1" applyAlignment="1">
      <alignment horizontal="center"/>
    </xf>
    <xf numFmtId="2" fontId="117" fillId="0" borderId="12" xfId="17" applyNumberFormat="1" applyFont="1" applyBorder="1" applyAlignment="1">
      <alignment horizontal="center"/>
    </xf>
    <xf numFmtId="0" fontId="115" fillId="0" borderId="0" xfId="17" applyFont="1" applyAlignment="1">
      <alignment horizontal="center" wrapText="1"/>
    </xf>
    <xf numFmtId="188" fontId="115" fillId="0" borderId="0" xfId="17" applyNumberFormat="1" applyFont="1" applyAlignment="1">
      <alignment horizontal="center"/>
    </xf>
    <xf numFmtId="188" fontId="114" fillId="0" borderId="0" xfId="17" applyNumberFormat="1" applyFont="1" applyAlignment="1">
      <alignment horizontal="center"/>
    </xf>
    <xf numFmtId="200" fontId="115" fillId="0" borderId="12" xfId="2" applyNumberFormat="1" applyFont="1" applyBorder="1" applyAlignment="1">
      <alignment horizontal="center" wrapText="1"/>
    </xf>
    <xf numFmtId="0" fontId="115" fillId="0" borderId="12" xfId="17" applyFont="1" applyBorder="1" applyAlignment="1">
      <alignment horizontal="left" wrapText="1"/>
    </xf>
    <xf numFmtId="188" fontId="115" fillId="0" borderId="12" xfId="17" applyNumberFormat="1" applyFont="1" applyBorder="1" applyAlignment="1">
      <alignment horizontal="left"/>
    </xf>
    <xf numFmtId="0" fontId="114" fillId="0" borderId="12" xfId="17" applyFont="1" applyBorder="1" applyAlignment="1">
      <alignment horizontal="center" wrapText="1"/>
    </xf>
    <xf numFmtId="188" fontId="118" fillId="0" borderId="12" xfId="17" applyNumberFormat="1" applyFont="1" applyBorder="1" applyAlignment="1">
      <alignment horizontal="center"/>
    </xf>
    <xf numFmtId="0" fontId="125" fillId="0" borderId="0" xfId="17" applyFont="1" applyAlignment="1">
      <alignment horizontal="center" wrapText="1"/>
    </xf>
    <xf numFmtId="43" fontId="116" fillId="0" borderId="0" xfId="2" applyFont="1" applyBorder="1"/>
    <xf numFmtId="200" fontId="115" fillId="0" borderId="12" xfId="2" applyNumberFormat="1" applyFont="1" applyBorder="1" applyAlignment="1">
      <alignment horizontal="center"/>
    </xf>
    <xf numFmtId="200" fontId="118" fillId="0" borderId="12" xfId="17" applyNumberFormat="1" applyFont="1" applyBorder="1" applyAlignment="1">
      <alignment horizontal="center" wrapText="1"/>
    </xf>
    <xf numFmtId="0" fontId="115" fillId="0" borderId="12" xfId="17" applyFont="1" applyBorder="1" applyAlignment="1">
      <alignment horizontal="left" vertical="center" wrapText="1"/>
    </xf>
    <xf numFmtId="188" fontId="115" fillId="0" borderId="12" xfId="17" applyNumberFormat="1" applyFont="1" applyBorder="1" applyAlignment="1">
      <alignment horizontal="left" vertical="center"/>
    </xf>
    <xf numFmtId="0" fontId="121" fillId="0" borderId="0" xfId="14" applyFont="1" applyAlignment="1">
      <alignment horizontal="left" vertical="center"/>
    </xf>
    <xf numFmtId="2" fontId="86" fillId="0" borderId="0" xfId="14" applyNumberFormat="1" applyFont="1" applyAlignment="1">
      <alignment horizontal="left" vertical="center"/>
    </xf>
    <xf numFmtId="37" fontId="121" fillId="21" borderId="56" xfId="10" applyNumberFormat="1" applyFont="1" applyFill="1" applyBorder="1" applyAlignment="1">
      <alignment vertical="center"/>
    </xf>
    <xf numFmtId="3" fontId="121" fillId="21" borderId="56" xfId="2" applyNumberFormat="1" applyFont="1" applyFill="1" applyBorder="1" applyAlignment="1">
      <alignment vertical="center"/>
    </xf>
    <xf numFmtId="0" fontId="86" fillId="0" borderId="29" xfId="14" applyFont="1" applyBorder="1"/>
    <xf numFmtId="0" fontId="86" fillId="0" borderId="7" xfId="14" applyFont="1" applyBorder="1"/>
    <xf numFmtId="1" fontId="4" fillId="0" borderId="105" xfId="5" applyNumberFormat="1" applyFont="1" applyBorder="1"/>
    <xf numFmtId="194" fontId="6" fillId="0" borderId="106" xfId="0" applyNumberFormat="1" applyFont="1" applyBorder="1" applyAlignment="1">
      <alignment horizontal="center"/>
    </xf>
    <xf numFmtId="194" fontId="6" fillId="0" borderId="80" xfId="0" applyNumberFormat="1" applyFont="1" applyBorder="1" applyAlignment="1">
      <alignment horizontal="center"/>
    </xf>
    <xf numFmtId="0" fontId="86" fillId="0" borderId="6" xfId="14" applyFont="1" applyBorder="1" applyAlignment="1">
      <alignment horizontal="center"/>
    </xf>
    <xf numFmtId="0" fontId="86" fillId="9" borderId="12" xfId="14" applyFont="1" applyFill="1" applyBorder="1" applyAlignment="1">
      <alignment horizontal="left"/>
    </xf>
    <xf numFmtId="200" fontId="121" fillId="21" borderId="56" xfId="14" applyNumberFormat="1" applyFont="1" applyFill="1" applyBorder="1" applyAlignment="1">
      <alignment horizontal="center" vertical="center"/>
    </xf>
    <xf numFmtId="0" fontId="121" fillId="9" borderId="0" xfId="14" applyFont="1" applyFill="1"/>
    <xf numFmtId="0" fontId="119" fillId="0" borderId="8" xfId="14" applyFont="1" applyBorder="1" applyAlignment="1">
      <alignment vertical="center"/>
    </xf>
    <xf numFmtId="0" fontId="86" fillId="9" borderId="12" xfId="14" applyFont="1" applyFill="1" applyBorder="1"/>
    <xf numFmtId="0" fontId="86" fillId="25" borderId="12" xfId="14" applyFont="1" applyFill="1" applyBorder="1"/>
    <xf numFmtId="188" fontId="123" fillId="0" borderId="0" xfId="17" applyNumberFormat="1" applyFont="1" applyAlignment="1">
      <alignment horizontal="center"/>
    </xf>
    <xf numFmtId="0" fontId="86" fillId="0" borderId="0" xfId="18" applyFont="1"/>
    <xf numFmtId="0" fontId="86" fillId="9" borderId="0" xfId="0" applyFont="1" applyFill="1"/>
    <xf numFmtId="0" fontId="121" fillId="9" borderId="6" xfId="14" applyFont="1" applyFill="1" applyBorder="1" applyAlignment="1">
      <alignment horizontal="center"/>
    </xf>
    <xf numFmtId="2" fontId="86" fillId="0" borderId="109" xfId="14" applyNumberFormat="1" applyFont="1" applyBorder="1" applyAlignment="1">
      <alignment horizontal="center" vertical="center"/>
    </xf>
    <xf numFmtId="1" fontId="86" fillId="0" borderId="110" xfId="10" applyNumberFormat="1" applyFont="1" applyFill="1" applyBorder="1" applyAlignment="1">
      <alignment horizontal="center" vertical="center"/>
    </xf>
    <xf numFmtId="0" fontId="86" fillId="0" borderId="110" xfId="14" applyFont="1" applyBorder="1" applyAlignment="1">
      <alignment horizontal="center" vertical="center"/>
    </xf>
    <xf numFmtId="2" fontId="86" fillId="0" borderId="110" xfId="14" applyNumberFormat="1" applyFont="1" applyBorder="1" applyAlignment="1">
      <alignment horizontal="center" vertical="center"/>
    </xf>
    <xf numFmtId="0" fontId="86" fillId="0" borderId="110" xfId="14" applyFont="1" applyBorder="1" applyAlignment="1">
      <alignment horizontal="center"/>
    </xf>
    <xf numFmtId="0" fontId="86" fillId="0" borderId="85" xfId="14" applyFont="1" applyBorder="1" applyAlignment="1">
      <alignment horizontal="center" vertical="center"/>
    </xf>
    <xf numFmtId="0" fontId="121" fillId="9" borderId="2" xfId="14" applyFont="1" applyFill="1" applyBorder="1" applyAlignment="1">
      <alignment horizontal="center"/>
    </xf>
    <xf numFmtId="0" fontId="86" fillId="0" borderId="109" xfId="14" applyFont="1" applyBorder="1" applyAlignment="1">
      <alignment horizontal="center" vertical="center"/>
    </xf>
    <xf numFmtId="1" fontId="86" fillId="0" borderId="110" xfId="14" applyNumberFormat="1" applyFont="1" applyBorder="1" applyAlignment="1">
      <alignment horizontal="center" vertical="center"/>
    </xf>
    <xf numFmtId="0" fontId="86" fillId="0" borderId="110" xfId="14" applyFont="1" applyBorder="1"/>
    <xf numFmtId="0" fontId="86" fillId="26" borderId="12" xfId="14" applyFont="1" applyFill="1" applyBorder="1"/>
    <xf numFmtId="0" fontId="88" fillId="0" borderId="12" xfId="14" applyFont="1" applyBorder="1"/>
    <xf numFmtId="2" fontId="6" fillId="0" borderId="27" xfId="0" applyNumberFormat="1" applyFont="1" applyBorder="1"/>
    <xf numFmtId="2" fontId="6" fillId="0" borderId="8" xfId="0" applyNumberFormat="1" applyFont="1" applyBorder="1"/>
    <xf numFmtId="2" fontId="6" fillId="0" borderId="9" xfId="0" applyNumberFormat="1" applyFont="1" applyBorder="1"/>
    <xf numFmtId="214" fontId="6" fillId="0" borderId="27" xfId="0" applyNumberFormat="1" applyFont="1" applyBorder="1"/>
    <xf numFmtId="214" fontId="6" fillId="0" borderId="8" xfId="0" applyNumberFormat="1" applyFont="1" applyBorder="1"/>
    <xf numFmtId="0" fontId="6" fillId="0" borderId="27" xfId="0" applyFont="1" applyBorder="1"/>
    <xf numFmtId="0" fontId="6" fillId="0" borderId="8" xfId="0" applyFont="1" applyBorder="1"/>
    <xf numFmtId="0" fontId="6" fillId="0" borderId="9" xfId="0" applyFont="1" applyBorder="1"/>
    <xf numFmtId="37" fontId="56" fillId="0" borderId="0" xfId="0" applyNumberFormat="1" applyFont="1" applyAlignment="1" applyProtection="1">
      <alignment horizontal="center"/>
      <protection hidden="1"/>
    </xf>
    <xf numFmtId="0" fontId="56" fillId="0" borderId="0" xfId="0" applyFont="1" applyAlignment="1" applyProtection="1">
      <alignment horizontal="center"/>
      <protection hidden="1"/>
    </xf>
    <xf numFmtId="39" fontId="128" fillId="14" borderId="101" xfId="1" applyNumberFormat="1" applyFont="1" applyAlignment="1" applyProtection="1">
      <alignment horizontal="right"/>
    </xf>
    <xf numFmtId="0" fontId="34" fillId="0" borderId="2" xfId="14" applyFont="1" applyBorder="1" applyAlignment="1">
      <alignment horizontal="center"/>
    </xf>
    <xf numFmtId="0" fontId="82" fillId="0" borderId="113" xfId="14" applyFont="1" applyBorder="1" applyAlignment="1">
      <alignment horizontal="center" vertical="center"/>
    </xf>
    <xf numFmtId="0" fontId="82" fillId="0" borderId="122" xfId="14" applyFont="1" applyBorder="1" applyAlignment="1">
      <alignment horizontal="center" vertical="center"/>
    </xf>
    <xf numFmtId="0" fontId="82" fillId="0" borderId="122" xfId="14" applyFont="1" applyBorder="1" applyAlignment="1">
      <alignment horizontal="center" vertical="center" wrapText="1"/>
    </xf>
    <xf numFmtId="0" fontId="82" fillId="0" borderId="122" xfId="14" applyFont="1" applyBorder="1" applyAlignment="1">
      <alignment horizontal="centerContinuous" vertical="center"/>
    </xf>
    <xf numFmtId="0" fontId="82" fillId="0" borderId="124" xfId="14" applyFont="1" applyBorder="1" applyAlignment="1">
      <alignment horizontal="centerContinuous" vertical="center"/>
    </xf>
    <xf numFmtId="0" fontId="129" fillId="0" borderId="0" xfId="15" applyFont="1"/>
    <xf numFmtId="0" fontId="88" fillId="7" borderId="11" xfId="18" applyFont="1" applyFill="1" applyBorder="1" applyAlignment="1">
      <alignment horizontal="center" vertical="center"/>
    </xf>
    <xf numFmtId="0" fontId="88" fillId="7" borderId="11" xfId="18" applyFont="1" applyFill="1" applyBorder="1" applyAlignment="1">
      <alignment horizontal="center" vertical="center" wrapText="1"/>
    </xf>
    <xf numFmtId="0" fontId="88" fillId="7" borderId="107" xfId="18" applyFont="1" applyFill="1" applyBorder="1" applyAlignment="1">
      <alignment horizontal="center" vertical="center" wrapText="1"/>
    </xf>
    <xf numFmtId="0" fontId="88" fillId="7" borderId="66" xfId="18" applyFont="1" applyFill="1" applyBorder="1" applyAlignment="1">
      <alignment horizontal="center" vertical="center" wrapText="1"/>
    </xf>
    <xf numFmtId="43" fontId="86" fillId="0" borderId="91" xfId="10" applyFont="1" applyBorder="1" applyAlignment="1"/>
    <xf numFmtId="43" fontId="86" fillId="0" borderId="92" xfId="10" applyFont="1" applyBorder="1" applyAlignment="1"/>
    <xf numFmtId="0" fontId="86" fillId="0" borderId="67" xfId="18" applyFont="1" applyBorder="1" applyAlignment="1">
      <alignment horizontal="center"/>
    </xf>
    <xf numFmtId="0" fontId="86" fillId="0" borderId="13" xfId="18" applyFont="1" applyBorder="1"/>
    <xf numFmtId="0" fontId="86" fillId="0" borderId="87" xfId="18" applyFont="1" applyBorder="1" applyAlignment="1">
      <alignment horizontal="center" vertical="center"/>
    </xf>
    <xf numFmtId="0" fontId="86" fillId="0" borderId="87" xfId="18" applyFont="1" applyBorder="1" applyAlignment="1">
      <alignment horizontal="center"/>
    </xf>
    <xf numFmtId="43" fontId="86" fillId="0" borderId="91" xfId="18" applyNumberFormat="1" applyFont="1" applyBorder="1"/>
    <xf numFmtId="0" fontId="86" fillId="0" borderId="92" xfId="15" applyFont="1" applyBorder="1"/>
    <xf numFmtId="0" fontId="86" fillId="0" borderId="68" xfId="18" applyFont="1" applyBorder="1" applyAlignment="1">
      <alignment horizontal="center" vertical="center"/>
    </xf>
    <xf numFmtId="43" fontId="86" fillId="0" borderId="69" xfId="10" applyFont="1" applyBorder="1" applyAlignment="1"/>
    <xf numFmtId="43" fontId="86" fillId="0" borderId="70" xfId="10" applyFont="1" applyBorder="1" applyAlignment="1"/>
    <xf numFmtId="0" fontId="86" fillId="0" borderId="68" xfId="18" applyFont="1" applyBorder="1" applyAlignment="1">
      <alignment horizontal="center"/>
    </xf>
    <xf numFmtId="43" fontId="86" fillId="0" borderId="69" xfId="18" applyNumberFormat="1" applyFont="1" applyBorder="1"/>
    <xf numFmtId="0" fontId="86" fillId="0" borderId="70" xfId="18" applyFont="1" applyBorder="1"/>
    <xf numFmtId="0" fontId="86" fillId="0" borderId="70" xfId="15" applyFont="1" applyBorder="1"/>
    <xf numFmtId="43" fontId="86" fillId="0" borderId="69" xfId="10" quotePrefix="1" applyFont="1" applyBorder="1" applyAlignment="1"/>
    <xf numFmtId="213" fontId="130" fillId="19" borderId="87" xfId="18" applyNumberFormat="1" applyFont="1" applyFill="1" applyBorder="1" applyAlignment="1">
      <alignment horizontal="center" vertical="center"/>
    </xf>
    <xf numFmtId="43" fontId="86" fillId="0" borderId="108" xfId="10" applyFont="1" applyBorder="1" applyAlignment="1"/>
    <xf numFmtId="43" fontId="86" fillId="0" borderId="111" xfId="10" applyFont="1" applyBorder="1" applyAlignment="1"/>
    <xf numFmtId="0" fontId="86" fillId="0" borderId="84" xfId="18" applyFont="1" applyBorder="1" applyAlignment="1">
      <alignment horizontal="center" vertical="center"/>
    </xf>
    <xf numFmtId="43" fontId="86" fillId="0" borderId="88" xfId="10" applyFont="1" applyBorder="1" applyAlignment="1"/>
    <xf numFmtId="43" fontId="86" fillId="0" borderId="90" xfId="10" applyFont="1" applyBorder="1" applyAlignment="1"/>
    <xf numFmtId="0" fontId="86" fillId="0" borderId="84" xfId="18" applyFont="1" applyBorder="1" applyAlignment="1">
      <alignment horizontal="center"/>
    </xf>
    <xf numFmtId="0" fontId="86" fillId="0" borderId="88" xfId="18" applyFont="1" applyBorder="1"/>
    <xf numFmtId="0" fontId="86" fillId="0" borderId="90" xfId="18" applyFont="1" applyBorder="1"/>
    <xf numFmtId="43" fontId="86" fillId="5" borderId="67" xfId="10" applyFont="1" applyFill="1" applyBorder="1" applyProtection="1">
      <protection locked="0"/>
    </xf>
    <xf numFmtId="0" fontId="86" fillId="0" borderId="26" xfId="18" applyFont="1" applyBorder="1"/>
    <xf numFmtId="43" fontId="86" fillId="5" borderId="68" xfId="10" applyFont="1" applyFill="1" applyBorder="1" applyProtection="1"/>
    <xf numFmtId="43" fontId="86" fillId="5" borderId="68" xfId="10" applyFont="1" applyFill="1" applyBorder="1" applyProtection="1">
      <protection locked="0"/>
    </xf>
    <xf numFmtId="43" fontId="86" fillId="0" borderId="68" xfId="10" applyFont="1" applyFill="1" applyBorder="1" applyProtection="1">
      <protection locked="0"/>
    </xf>
    <xf numFmtId="0" fontId="86" fillId="0" borderId="70" xfId="18" applyFont="1" applyBorder="1" applyAlignment="1">
      <alignment horizontal="center"/>
    </xf>
    <xf numFmtId="43" fontId="86" fillId="0" borderId="25" xfId="10" quotePrefix="1" applyFont="1" applyBorder="1" applyAlignment="1"/>
    <xf numFmtId="43" fontId="86" fillId="0" borderId="10" xfId="10" applyFont="1" applyBorder="1" applyAlignment="1"/>
    <xf numFmtId="0" fontId="86" fillId="0" borderId="11" xfId="18" applyFont="1" applyBorder="1" applyAlignment="1">
      <alignment horizontal="center"/>
    </xf>
    <xf numFmtId="43" fontId="86" fillId="5" borderId="11" xfId="10" applyFont="1" applyFill="1" applyBorder="1" applyProtection="1">
      <protection locked="0"/>
    </xf>
    <xf numFmtId="0" fontId="86" fillId="0" borderId="25" xfId="18" applyFont="1" applyBorder="1"/>
    <xf numFmtId="0" fontId="86" fillId="0" borderId="28" xfId="18" applyFont="1" applyBorder="1"/>
    <xf numFmtId="0" fontId="86" fillId="0" borderId="10" xfId="18" applyFont="1" applyBorder="1"/>
    <xf numFmtId="0" fontId="86" fillId="0" borderId="0" xfId="18" applyFont="1" applyAlignment="1">
      <alignment horizontal="center"/>
    </xf>
    <xf numFmtId="43" fontId="86" fillId="0" borderId="0" xfId="10" applyFont="1"/>
    <xf numFmtId="0" fontId="86" fillId="0" borderId="0" xfId="15" applyFont="1"/>
    <xf numFmtId="43" fontId="86" fillId="0" borderId="88" xfId="2" applyFont="1" applyBorder="1" applyAlignment="1"/>
    <xf numFmtId="43" fontId="86" fillId="5" borderId="87" xfId="11" applyFont="1" applyFill="1" applyBorder="1" applyProtection="1">
      <protection locked="0"/>
    </xf>
    <xf numFmtId="0" fontId="86" fillId="0" borderId="91" xfId="18" applyFont="1" applyBorder="1"/>
    <xf numFmtId="0" fontId="86" fillId="0" borderId="125" xfId="18" applyFont="1" applyBorder="1"/>
    <xf numFmtId="0" fontId="86" fillId="0" borderId="92" xfId="18" applyFont="1" applyBorder="1"/>
    <xf numFmtId="43" fontId="86" fillId="5" borderId="84" xfId="11" applyFont="1" applyFill="1" applyBorder="1" applyProtection="1">
      <protection locked="0"/>
    </xf>
    <xf numFmtId="0" fontId="86" fillId="0" borderId="89" xfId="18" applyFont="1" applyBorder="1"/>
    <xf numFmtId="43" fontId="86" fillId="5" borderId="68" xfId="11" applyFont="1" applyFill="1" applyBorder="1" applyProtection="1">
      <protection locked="0"/>
    </xf>
    <xf numFmtId="43" fontId="86" fillId="0" borderId="88" xfId="10" quotePrefix="1" applyFont="1" applyBorder="1" applyAlignment="1"/>
    <xf numFmtId="43" fontId="86" fillId="0" borderId="88" xfId="18" applyNumberFormat="1" applyFont="1" applyBorder="1"/>
    <xf numFmtId="0" fontId="130" fillId="0" borderId="90" xfId="18" applyFont="1" applyBorder="1"/>
    <xf numFmtId="0" fontId="86" fillId="0" borderId="67" xfId="18" applyFont="1" applyBorder="1" applyAlignment="1">
      <alignment horizontal="center" vertical="center"/>
    </xf>
    <xf numFmtId="0" fontId="86" fillId="27" borderId="87" xfId="18" applyFont="1" applyFill="1" applyBorder="1" applyAlignment="1">
      <alignment horizontal="center" vertical="center"/>
    </xf>
    <xf numFmtId="43" fontId="86" fillId="27" borderId="91" xfId="10" applyFont="1" applyFill="1" applyBorder="1" applyAlignment="1"/>
    <xf numFmtId="43" fontId="86" fillId="27" borderId="92" xfId="10" applyFont="1" applyFill="1" applyBorder="1" applyAlignment="1"/>
    <xf numFmtId="0" fontId="86" fillId="27" borderId="87" xfId="18" applyFont="1" applyFill="1" applyBorder="1" applyAlignment="1">
      <alignment horizontal="center"/>
    </xf>
    <xf numFmtId="43" fontId="86" fillId="27" borderId="87" xfId="11" applyFont="1" applyFill="1" applyBorder="1" applyProtection="1">
      <protection locked="0"/>
    </xf>
    <xf numFmtId="0" fontId="86" fillId="27" borderId="91" xfId="18" applyFont="1" applyFill="1" applyBorder="1"/>
    <xf numFmtId="0" fontId="86" fillId="27" borderId="87" xfId="18" applyFont="1" applyFill="1" applyBorder="1" applyAlignment="1">
      <alignment vertical="center"/>
    </xf>
    <xf numFmtId="0" fontId="86" fillId="27" borderId="68" xfId="18" applyFont="1" applyFill="1" applyBorder="1" applyAlignment="1">
      <alignment horizontal="center" vertical="center"/>
    </xf>
    <xf numFmtId="43" fontId="86" fillId="27" borderId="69" xfId="10" applyFont="1" applyFill="1" applyBorder="1" applyAlignment="1"/>
    <xf numFmtId="43" fontId="86" fillId="27" borderId="70" xfId="10" applyFont="1" applyFill="1" applyBorder="1" applyAlignment="1"/>
    <xf numFmtId="0" fontId="86" fillId="27" borderId="68" xfId="18" applyFont="1" applyFill="1" applyBorder="1" applyAlignment="1">
      <alignment horizontal="center"/>
    </xf>
    <xf numFmtId="43" fontId="86" fillId="27" borderId="68" xfId="11" applyFont="1" applyFill="1" applyBorder="1" applyProtection="1">
      <protection locked="0"/>
    </xf>
    <xf numFmtId="0" fontId="86" fillId="27" borderId="69" xfId="18" applyFont="1" applyFill="1" applyBorder="1"/>
    <xf numFmtId="0" fontId="130" fillId="27" borderId="70" xfId="18" applyFont="1" applyFill="1" applyBorder="1" applyAlignment="1">
      <alignment vertical="center"/>
    </xf>
    <xf numFmtId="0" fontId="86" fillId="27" borderId="84" xfId="18" applyFont="1" applyFill="1" applyBorder="1" applyAlignment="1">
      <alignment horizontal="center" vertical="center"/>
    </xf>
    <xf numFmtId="43" fontId="86" fillId="27" borderId="88" xfId="10" applyFont="1" applyFill="1" applyBorder="1" applyAlignment="1"/>
    <xf numFmtId="43" fontId="86" fillId="27" borderId="90" xfId="10" applyFont="1" applyFill="1" applyBorder="1" applyAlignment="1"/>
    <xf numFmtId="0" fontId="86" fillId="27" borderId="84" xfId="18" applyFont="1" applyFill="1" applyBorder="1" applyAlignment="1">
      <alignment horizontal="center"/>
    </xf>
    <xf numFmtId="43" fontId="86" fillId="27" borderId="84" xfId="11" applyFont="1" applyFill="1" applyBorder="1" applyProtection="1">
      <protection locked="0"/>
    </xf>
    <xf numFmtId="0" fontId="86" fillId="27" borderId="88" xfId="18" applyFont="1" applyFill="1" applyBorder="1"/>
    <xf numFmtId="0" fontId="130" fillId="27" borderId="90" xfId="18" applyFont="1" applyFill="1" applyBorder="1" applyAlignment="1">
      <alignment vertical="center"/>
    </xf>
    <xf numFmtId="43" fontId="34" fillId="0" borderId="0" xfId="10" applyFont="1" applyAlignment="1" applyProtection="1">
      <alignment horizontal="center"/>
      <protection locked="0"/>
    </xf>
    <xf numFmtId="43" fontId="34" fillId="0" borderId="0" xfId="2" applyFont="1" applyAlignment="1" applyProtection="1">
      <alignment horizontal="center" vertical="center"/>
      <protection locked="0"/>
    </xf>
    <xf numFmtId="0" fontId="131" fillId="0" borderId="0" xfId="15" applyFont="1" applyAlignment="1">
      <alignment horizontal="center" vertical="center"/>
    </xf>
    <xf numFmtId="0" fontId="132" fillId="0" borderId="0" xfId="15" applyFont="1" applyAlignment="1">
      <alignment vertical="center"/>
    </xf>
    <xf numFmtId="0" fontId="131" fillId="0" borderId="6" xfId="15" applyFont="1" applyBorder="1" applyAlignment="1">
      <alignment horizontal="center" vertical="center"/>
    </xf>
    <xf numFmtId="0" fontId="131" fillId="0" borderId="119" xfId="15" applyFont="1" applyBorder="1" applyAlignment="1">
      <alignment horizontal="center" vertical="center"/>
    </xf>
    <xf numFmtId="0" fontId="131" fillId="0" borderId="126" xfId="15" applyFont="1" applyBorder="1" applyAlignment="1">
      <alignment horizontal="center" vertical="center"/>
    </xf>
    <xf numFmtId="0" fontId="131" fillId="0" borderId="126" xfId="15" applyFont="1" applyBorder="1" applyAlignment="1">
      <alignment vertical="center"/>
    </xf>
    <xf numFmtId="216" fontId="131" fillId="0" borderId="126" xfId="10" applyNumberFormat="1" applyFont="1" applyBorder="1" applyAlignment="1">
      <alignment horizontal="center" vertical="center"/>
    </xf>
    <xf numFmtId="0" fontId="131" fillId="0" borderId="68" xfId="15" applyFont="1" applyBorder="1" applyAlignment="1">
      <alignment horizontal="center" vertical="center"/>
    </xf>
    <xf numFmtId="0" fontId="131" fillId="0" borderId="68" xfId="15" applyFont="1" applyBorder="1" applyAlignment="1">
      <alignment vertical="center"/>
    </xf>
    <xf numFmtId="3" fontId="131" fillId="0" borderId="68" xfId="15" applyNumberFormat="1" applyFont="1" applyBorder="1" applyAlignment="1">
      <alignment vertical="center"/>
    </xf>
    <xf numFmtId="0" fontId="131" fillId="0" borderId="68" xfId="15" applyFont="1" applyBorder="1"/>
    <xf numFmtId="0" fontId="133" fillId="0" borderId="68" xfId="15" applyFont="1" applyBorder="1" applyAlignment="1">
      <alignment horizontal="center" vertical="center"/>
    </xf>
    <xf numFmtId="0" fontId="131" fillId="0" borderId="68" xfId="15" applyFont="1" applyBorder="1" applyAlignment="1">
      <alignment horizontal="center" vertical="top" wrapText="1"/>
    </xf>
    <xf numFmtId="0" fontId="131" fillId="0" borderId="68" xfId="15" applyFont="1" applyBorder="1" applyAlignment="1">
      <alignment horizontal="center" vertical="center" wrapText="1"/>
    </xf>
    <xf numFmtId="0" fontId="134" fillId="0" borderId="0" xfId="15" applyFont="1" applyAlignment="1">
      <alignment vertical="center"/>
    </xf>
    <xf numFmtId="0" fontId="134" fillId="0" borderId="0" xfId="15" applyFont="1" applyAlignment="1">
      <alignment horizontal="left" vertical="center"/>
    </xf>
    <xf numFmtId="43" fontId="134" fillId="0" borderId="0" xfId="15" applyNumberFormat="1" applyFont="1" applyAlignment="1">
      <alignment horizontal="center" vertical="center"/>
    </xf>
    <xf numFmtId="0" fontId="134" fillId="0" borderId="0" xfId="15" applyFont="1" applyAlignment="1">
      <alignment horizontal="center" vertical="center"/>
    </xf>
    <xf numFmtId="204" fontId="134" fillId="0" borderId="0" xfId="15" applyNumberFormat="1" applyFont="1" applyAlignment="1">
      <alignment horizontal="center" vertical="center"/>
    </xf>
    <xf numFmtId="217" fontId="134" fillId="0" borderId="0" xfId="10" applyNumberFormat="1" applyFont="1" applyFill="1" applyBorder="1" applyAlignment="1" applyProtection="1">
      <alignment horizontal="center" vertical="center"/>
    </xf>
    <xf numFmtId="197" fontId="134" fillId="0" borderId="0" xfId="15" applyNumberFormat="1" applyFont="1" applyAlignment="1">
      <alignment vertical="center"/>
    </xf>
    <xf numFmtId="3" fontId="134" fillId="0" borderId="0" xfId="15" applyNumberFormat="1" applyFont="1" applyAlignment="1">
      <alignment horizontal="left" vertical="center"/>
    </xf>
    <xf numFmtId="197" fontId="134" fillId="0" borderId="0" xfId="15" applyNumberFormat="1" applyFont="1" applyAlignment="1">
      <alignment horizontal="left" vertical="center"/>
    </xf>
    <xf numFmtId="2" fontId="134" fillId="0" borderId="0" xfId="15" applyNumberFormat="1" applyFont="1" applyAlignment="1">
      <alignment vertical="center"/>
    </xf>
    <xf numFmtId="0" fontId="131" fillId="0" borderId="0" xfId="15" applyFont="1" applyAlignment="1">
      <alignment vertical="center"/>
    </xf>
    <xf numFmtId="197" fontId="131" fillId="0" borderId="0" xfId="15" applyNumberFormat="1" applyFont="1" applyAlignment="1">
      <alignment vertical="center"/>
    </xf>
    <xf numFmtId="3" fontId="131" fillId="0" borderId="0" xfId="15" applyNumberFormat="1" applyFont="1" applyAlignment="1">
      <alignment horizontal="center" vertical="center"/>
    </xf>
    <xf numFmtId="0" fontId="131" fillId="0" borderId="2" xfId="15" applyFont="1" applyBorder="1"/>
    <xf numFmtId="0" fontId="131" fillId="0" borderId="84" xfId="15" applyFont="1" applyBorder="1" applyAlignment="1">
      <alignment horizontal="center" vertical="center"/>
    </xf>
    <xf numFmtId="0" fontId="131" fillId="0" borderId="84" xfId="15" applyFont="1" applyBorder="1"/>
    <xf numFmtId="0" fontId="131" fillId="0" borderId="84" xfId="15" applyFont="1" applyBorder="1" applyAlignment="1">
      <alignment vertical="center"/>
    </xf>
    <xf numFmtId="0" fontId="134" fillId="0" borderId="0" xfId="15" applyFont="1" applyAlignment="1">
      <alignment vertical="center" wrapText="1"/>
    </xf>
    <xf numFmtId="0" fontId="131" fillId="0" borderId="0" xfId="15" applyFont="1"/>
    <xf numFmtId="43" fontId="134" fillId="0" borderId="0" xfId="10" applyFont="1" applyFill="1" applyBorder="1" applyAlignment="1" applyProtection="1">
      <alignment horizontal="center" vertical="center"/>
    </xf>
    <xf numFmtId="218" fontId="135" fillId="0" borderId="127" xfId="0" applyNumberFormat="1" applyFont="1" applyBorder="1" applyAlignment="1">
      <alignment horizontal="center" vertical="center" wrapText="1"/>
    </xf>
    <xf numFmtId="218" fontId="135" fillId="0" borderId="128" xfId="0" applyNumberFormat="1" applyFont="1" applyBorder="1" applyAlignment="1">
      <alignment horizontal="center" vertical="center" wrapText="1"/>
    </xf>
    <xf numFmtId="218" fontId="135" fillId="0" borderId="129" xfId="0" applyNumberFormat="1" applyFont="1" applyBorder="1" applyAlignment="1">
      <alignment horizontal="center" vertical="center" wrapText="1"/>
    </xf>
    <xf numFmtId="218" fontId="135" fillId="0" borderId="130" xfId="0" applyNumberFormat="1" applyFont="1" applyBorder="1" applyAlignment="1">
      <alignment horizontal="center" vertical="center" wrapText="1"/>
    </xf>
    <xf numFmtId="218" fontId="135" fillId="0" borderId="131" xfId="0" applyNumberFormat="1" applyFont="1" applyBorder="1" applyAlignment="1">
      <alignment horizontal="center" vertical="center" wrapText="1"/>
    </xf>
    <xf numFmtId="218" fontId="135" fillId="0" borderId="132" xfId="0" applyNumberFormat="1" applyFont="1" applyBorder="1" applyAlignment="1">
      <alignment horizontal="center" vertical="center" wrapText="1"/>
    </xf>
    <xf numFmtId="0" fontId="135" fillId="0" borderId="12" xfId="0" applyFont="1" applyBorder="1" applyAlignment="1">
      <alignment horizontal="center" vertical="center"/>
    </xf>
    <xf numFmtId="218" fontId="136" fillId="0" borderId="127" xfId="0" applyNumberFormat="1" applyFont="1" applyBorder="1" applyAlignment="1">
      <alignment horizontal="center" vertical="center" wrapText="1"/>
    </xf>
    <xf numFmtId="218" fontId="136" fillId="0" borderId="128" xfId="0" applyNumberFormat="1" applyFont="1" applyBorder="1" applyAlignment="1">
      <alignment horizontal="center" vertical="center" wrapText="1"/>
    </xf>
    <xf numFmtId="218" fontId="136" fillId="0" borderId="129" xfId="0" applyNumberFormat="1" applyFont="1" applyBorder="1" applyAlignment="1">
      <alignment horizontal="center" vertical="center" wrapText="1"/>
    </xf>
    <xf numFmtId="218" fontId="136" fillId="0" borderId="130" xfId="0" applyNumberFormat="1" applyFont="1" applyBorder="1" applyAlignment="1">
      <alignment horizontal="center" vertical="center" wrapText="1"/>
    </xf>
    <xf numFmtId="218" fontId="136" fillId="0" borderId="131" xfId="0" applyNumberFormat="1" applyFont="1" applyBorder="1" applyAlignment="1">
      <alignment horizontal="center" vertical="center" wrapText="1"/>
    </xf>
    <xf numFmtId="218" fontId="136" fillId="0" borderId="132" xfId="0" applyNumberFormat="1" applyFont="1" applyBorder="1" applyAlignment="1">
      <alignment horizontal="center" vertical="center" wrapText="1"/>
    </xf>
    <xf numFmtId="0" fontId="6" fillId="20" borderId="0" xfId="0" applyFont="1" applyFill="1"/>
    <xf numFmtId="0" fontId="6" fillId="20" borderId="27" xfId="0" applyFont="1" applyFill="1" applyBorder="1"/>
    <xf numFmtId="2" fontId="9" fillId="20" borderId="10" xfId="5" applyNumberFormat="1" applyFont="1" applyFill="1" applyBorder="1" applyAlignment="1">
      <alignment horizontal="center"/>
    </xf>
    <xf numFmtId="0" fontId="6" fillId="20" borderId="6" xfId="0" applyFont="1" applyFill="1" applyBorder="1"/>
    <xf numFmtId="188" fontId="23" fillId="20" borderId="2" xfId="5" applyNumberFormat="1" applyFont="1" applyFill="1" applyBorder="1"/>
    <xf numFmtId="0" fontId="23" fillId="20" borderId="2" xfId="0" applyFont="1" applyFill="1" applyBorder="1"/>
    <xf numFmtId="2" fontId="23" fillId="20" borderId="2" xfId="5" applyNumberFormat="1" applyFont="1" applyFill="1" applyBorder="1"/>
    <xf numFmtId="0" fontId="23" fillId="20" borderId="2" xfId="0" applyFont="1" applyFill="1" applyBorder="1" applyAlignment="1">
      <alignment horizontal="center"/>
    </xf>
    <xf numFmtId="0" fontId="6" fillId="20" borderId="2" xfId="0" applyFont="1" applyFill="1" applyBorder="1"/>
    <xf numFmtId="0" fontId="6" fillId="20" borderId="11" xfId="0" applyFont="1" applyFill="1" applyBorder="1"/>
    <xf numFmtId="0" fontId="34" fillId="0" borderId="0" xfId="14" applyFont="1" applyAlignment="1" applyProtection="1">
      <alignment horizontal="left"/>
      <protection hidden="1"/>
    </xf>
    <xf numFmtId="0" fontId="34" fillId="0" borderId="0" xfId="14" applyFont="1" applyProtection="1">
      <protection hidden="1"/>
    </xf>
    <xf numFmtId="0" fontId="34" fillId="0" borderId="0" xfId="14" applyFont="1" applyAlignment="1" applyProtection="1">
      <alignment horizontal="center"/>
      <protection hidden="1"/>
    </xf>
    <xf numFmtId="0" fontId="82" fillId="0" borderId="0" xfId="14" applyFont="1" applyProtection="1">
      <protection hidden="1"/>
    </xf>
    <xf numFmtId="0" fontId="34" fillId="0" borderId="0" xfId="14" applyFont="1" applyAlignment="1" applyProtection="1">
      <alignment horizontal="right"/>
      <protection hidden="1"/>
    </xf>
    <xf numFmtId="190" fontId="34" fillId="0" borderId="0" xfId="10" applyNumberFormat="1" applyFont="1" applyProtection="1">
      <protection hidden="1"/>
    </xf>
    <xf numFmtId="43" fontId="34" fillId="0" borderId="0" xfId="10" applyFont="1" applyAlignment="1" applyProtection="1">
      <alignment horizontal="left"/>
      <protection hidden="1"/>
    </xf>
    <xf numFmtId="43" fontId="34" fillId="0" borderId="0" xfId="10" applyFont="1" applyProtection="1">
      <protection hidden="1"/>
    </xf>
    <xf numFmtId="2" fontId="137" fillId="0" borderId="0" xfId="10" applyNumberFormat="1" applyFont="1" applyFill="1" applyProtection="1">
      <protection hidden="1"/>
    </xf>
    <xf numFmtId="2" fontId="34" fillId="0" borderId="0" xfId="10" applyNumberFormat="1" applyFont="1" applyProtection="1">
      <protection hidden="1"/>
    </xf>
    <xf numFmtId="0" fontId="137" fillId="0" borderId="0" xfId="14" applyFont="1" applyAlignment="1" applyProtection="1">
      <alignment horizontal="center"/>
      <protection hidden="1"/>
    </xf>
    <xf numFmtId="190" fontId="34" fillId="0" borderId="0" xfId="14" applyNumberFormat="1" applyFont="1" applyProtection="1">
      <protection hidden="1"/>
    </xf>
    <xf numFmtId="190" fontId="137" fillId="19" borderId="0" xfId="10" applyNumberFormat="1" applyFont="1" applyFill="1" applyProtection="1">
      <protection hidden="1"/>
    </xf>
    <xf numFmtId="0" fontId="34" fillId="0" borderId="0" xfId="14" quotePrefix="1" applyFont="1" applyAlignment="1" applyProtection="1">
      <alignment horizontal="left"/>
      <protection hidden="1"/>
    </xf>
    <xf numFmtId="0" fontId="138" fillId="0" borderId="0" xfId="14" applyFont="1" applyProtection="1">
      <protection hidden="1"/>
    </xf>
    <xf numFmtId="0" fontId="34" fillId="0" borderId="12" xfId="14" applyFont="1" applyBorder="1" applyAlignment="1" applyProtection="1">
      <alignment horizontal="center"/>
      <protection hidden="1"/>
    </xf>
    <xf numFmtId="2" fontId="137" fillId="0" borderId="0" xfId="10" applyNumberFormat="1" applyFont="1" applyFill="1" applyBorder="1" applyProtection="1">
      <protection hidden="1"/>
    </xf>
    <xf numFmtId="2" fontId="34" fillId="0" borderId="0" xfId="10" applyNumberFormat="1" applyFont="1" applyFill="1" applyProtection="1">
      <protection hidden="1"/>
    </xf>
    <xf numFmtId="0" fontId="137" fillId="0" borderId="12" xfId="14" applyFont="1" applyBorder="1" applyAlignment="1" applyProtection="1">
      <alignment horizontal="center"/>
      <protection hidden="1"/>
    </xf>
    <xf numFmtId="0" fontId="83" fillId="0" borderId="0" xfId="14" applyFont="1" applyProtection="1">
      <protection hidden="1"/>
    </xf>
    <xf numFmtId="0" fontId="83" fillId="0" borderId="0" xfId="14" applyFont="1" applyAlignment="1" applyProtection="1">
      <alignment horizontal="center"/>
      <protection hidden="1"/>
    </xf>
    <xf numFmtId="0" fontId="83" fillId="0" borderId="0" xfId="14" applyFont="1" applyAlignment="1" applyProtection="1">
      <alignment horizontal="right"/>
      <protection hidden="1"/>
    </xf>
    <xf numFmtId="2" fontId="83" fillId="0" borderId="0" xfId="10" applyNumberFormat="1" applyFont="1" applyProtection="1">
      <protection hidden="1"/>
    </xf>
    <xf numFmtId="39" fontId="34" fillId="0" borderId="47" xfId="14" applyNumberFormat="1" applyFont="1" applyBorder="1" applyAlignment="1">
      <alignment horizontal="left"/>
    </xf>
    <xf numFmtId="2" fontId="137" fillId="0" borderId="4" xfId="14" applyNumberFormat="1" applyFont="1" applyBorder="1" applyAlignment="1" applyProtection="1">
      <alignment horizontal="center"/>
      <protection hidden="1"/>
    </xf>
    <xf numFmtId="0" fontId="34" fillId="0" borderId="49" xfId="14" applyFont="1" applyBorder="1" applyAlignment="1" applyProtection="1">
      <alignment horizontal="left"/>
      <protection hidden="1"/>
    </xf>
    <xf numFmtId="2" fontId="137" fillId="0" borderId="49" xfId="14" applyNumberFormat="1" applyFont="1" applyBorder="1" applyProtection="1">
      <protection hidden="1"/>
    </xf>
    <xf numFmtId="0" fontId="34" fillId="0" borderId="4" xfId="14" applyFont="1" applyBorder="1" applyProtection="1">
      <protection hidden="1"/>
    </xf>
    <xf numFmtId="206" fontId="34" fillId="0" borderId="0" xfId="10" applyNumberFormat="1" applyFont="1" applyAlignment="1" applyProtection="1">
      <alignment horizontal="right"/>
      <protection hidden="1"/>
    </xf>
    <xf numFmtId="188" fontId="34" fillId="0" borderId="0" xfId="10" applyNumberFormat="1" applyFont="1" applyAlignment="1" applyProtection="1">
      <alignment horizontal="left"/>
      <protection hidden="1"/>
    </xf>
    <xf numFmtId="39" fontId="34" fillId="0" borderId="72" xfId="14" applyNumberFormat="1" applyFont="1" applyBorder="1" applyAlignment="1">
      <alignment horizontal="left"/>
    </xf>
    <xf numFmtId="2" fontId="34" fillId="0" borderId="55" xfId="14" applyNumberFormat="1" applyFont="1" applyBorder="1" applyAlignment="1" applyProtection="1">
      <alignment horizontal="center"/>
      <protection hidden="1"/>
    </xf>
    <xf numFmtId="2" fontId="34" fillId="0" borderId="0" xfId="14" applyNumberFormat="1" applyFont="1" applyProtection="1">
      <protection hidden="1"/>
    </xf>
    <xf numFmtId="0" fontId="34" fillId="0" borderId="55" xfId="14" applyFont="1" applyBorder="1" applyProtection="1">
      <protection hidden="1"/>
    </xf>
    <xf numFmtId="39" fontId="82" fillId="0" borderId="0" xfId="14" applyNumberFormat="1" applyFont="1" applyAlignment="1">
      <alignment horizontal="left"/>
    </xf>
    <xf numFmtId="39" fontId="34" fillId="0" borderId="0" xfId="14" applyNumberFormat="1" applyFont="1" applyAlignment="1">
      <alignment horizontal="left"/>
    </xf>
    <xf numFmtId="37" fontId="82" fillId="0" borderId="0" xfId="14" applyNumberFormat="1" applyFont="1" applyAlignment="1">
      <alignment horizontal="center"/>
    </xf>
    <xf numFmtId="0" fontId="34" fillId="0" borderId="48" xfId="14" applyFont="1" applyBorder="1" applyAlignment="1">
      <alignment horizontal="center"/>
    </xf>
    <xf numFmtId="2" fontId="34" fillId="0" borderId="43" xfId="14" applyNumberFormat="1" applyFont="1" applyBorder="1" applyAlignment="1">
      <alignment horizontal="center"/>
    </xf>
    <xf numFmtId="43" fontId="83" fillId="0" borderId="48" xfId="10" applyFont="1" applyBorder="1" applyAlignment="1" applyProtection="1">
      <alignment horizontal="left"/>
      <protection hidden="1"/>
    </xf>
    <xf numFmtId="0" fontId="34" fillId="0" borderId="44" xfId="14" applyFont="1" applyBorder="1" applyAlignment="1" applyProtection="1">
      <alignment horizontal="left"/>
      <protection hidden="1"/>
    </xf>
    <xf numFmtId="2" fontId="34" fillId="0" borderId="44" xfId="14" applyNumberFormat="1" applyFont="1" applyBorder="1" applyProtection="1">
      <protection hidden="1"/>
    </xf>
    <xf numFmtId="0" fontId="34" fillId="0" borderId="43" xfId="14" applyFont="1" applyBorder="1" applyProtection="1">
      <protection hidden="1"/>
    </xf>
    <xf numFmtId="190" fontId="34" fillId="0" borderId="0" xfId="14" applyNumberFormat="1" applyFont="1" applyAlignment="1">
      <alignment horizontal="center"/>
    </xf>
    <xf numFmtId="43" fontId="83" fillId="0" borderId="0" xfId="10" applyFont="1" applyBorder="1" applyAlignment="1" applyProtection="1">
      <alignment horizontal="left"/>
      <protection hidden="1"/>
    </xf>
    <xf numFmtId="43" fontId="34" fillId="0" borderId="11" xfId="2" applyFont="1" applyBorder="1" applyProtection="1">
      <protection hidden="1"/>
    </xf>
    <xf numFmtId="37" fontId="137" fillId="0" borderId="12" xfId="14" applyNumberFormat="1" applyFont="1" applyBorder="1" applyAlignment="1">
      <alignment horizontal="center"/>
    </xf>
    <xf numFmtId="2" fontId="34" fillId="0" borderId="12" xfId="14" applyNumberFormat="1" applyFont="1" applyBorder="1" applyAlignment="1">
      <alignment horizontal="center"/>
    </xf>
    <xf numFmtId="2" fontId="34" fillId="0" borderId="0" xfId="2" applyNumberFormat="1" applyFont="1" applyBorder="1" applyAlignment="1" applyProtection="1">
      <alignment horizontal="left"/>
    </xf>
    <xf numFmtId="0" fontId="139" fillId="0" borderId="0" xfId="14" quotePrefix="1" applyFont="1" applyAlignment="1" applyProtection="1">
      <alignment horizontal="right"/>
      <protection hidden="1"/>
    </xf>
    <xf numFmtId="190" fontId="140" fillId="0" borderId="0" xfId="10" applyNumberFormat="1" applyFont="1" applyProtection="1">
      <protection hidden="1"/>
    </xf>
    <xf numFmtId="1" fontId="83" fillId="0" borderId="12" xfId="14" applyNumberFormat="1" applyFont="1" applyBorder="1" applyAlignment="1" applyProtection="1">
      <alignment horizontal="center"/>
      <protection hidden="1"/>
    </xf>
    <xf numFmtId="2" fontId="137" fillId="19" borderId="0" xfId="10" applyNumberFormat="1" applyFont="1" applyFill="1" applyProtection="1">
      <protection hidden="1"/>
    </xf>
    <xf numFmtId="190" fontId="83" fillId="0" borderId="0" xfId="14" applyNumberFormat="1" applyFont="1" applyProtection="1">
      <protection hidden="1"/>
    </xf>
    <xf numFmtId="0" fontId="82" fillId="0" borderId="0" xfId="14" applyFont="1"/>
    <xf numFmtId="2" fontId="34" fillId="0" borderId="0" xfId="14" applyNumberFormat="1" applyFont="1"/>
    <xf numFmtId="39" fontId="34" fillId="0" borderId="0" xfId="14" applyNumberFormat="1" applyFont="1"/>
    <xf numFmtId="39" fontId="137" fillId="0" borderId="0" xfId="14" applyNumberFormat="1" applyFont="1" applyAlignment="1">
      <alignment horizontal="center"/>
    </xf>
    <xf numFmtId="2" fontId="137" fillId="19" borderId="0" xfId="14" applyNumberFormat="1" applyFont="1" applyFill="1"/>
    <xf numFmtId="37" fontId="137" fillId="0" borderId="0" xfId="14" applyNumberFormat="1" applyFont="1" applyAlignment="1">
      <alignment horizontal="center"/>
    </xf>
    <xf numFmtId="37" fontId="34" fillId="0" borderId="0" xfId="14" applyNumberFormat="1" applyFont="1"/>
    <xf numFmtId="37" fontId="34" fillId="2" borderId="12" xfId="14" applyNumberFormat="1" applyFont="1" applyFill="1" applyBorder="1" applyAlignment="1">
      <alignment horizontal="center"/>
    </xf>
    <xf numFmtId="0" fontId="34" fillId="19" borderId="12" xfId="14" applyFont="1" applyFill="1" applyBorder="1" applyAlignment="1" applyProtection="1">
      <alignment horizontal="center"/>
      <protection hidden="1"/>
    </xf>
    <xf numFmtId="0" fontId="34" fillId="5" borderId="0" xfId="14" applyFont="1" applyFill="1"/>
    <xf numFmtId="0" fontId="84" fillId="0" borderId="0" xfId="14" applyFont="1"/>
    <xf numFmtId="0" fontId="82" fillId="0" borderId="0" xfId="0" applyFont="1" applyProtection="1">
      <protection hidden="1"/>
    </xf>
    <xf numFmtId="0" fontId="34" fillId="0" borderId="0" xfId="0" applyFont="1" applyProtection="1">
      <protection hidden="1"/>
    </xf>
    <xf numFmtId="0" fontId="34" fillId="0" borderId="0" xfId="0" applyFont="1" applyAlignment="1" applyProtection="1">
      <alignment horizontal="right"/>
      <protection hidden="1"/>
    </xf>
    <xf numFmtId="0" fontId="34" fillId="0" borderId="0" xfId="0" applyFont="1" applyAlignment="1" applyProtection="1">
      <alignment horizontal="left"/>
      <protection hidden="1"/>
    </xf>
    <xf numFmtId="0" fontId="34" fillId="0" borderId="0" xfId="0" quotePrefix="1" applyFont="1" applyAlignment="1" applyProtection="1">
      <alignment horizontal="left"/>
      <protection hidden="1"/>
    </xf>
    <xf numFmtId="190" fontId="34" fillId="0" borderId="0" xfId="0" applyNumberFormat="1" applyFont="1" applyProtection="1">
      <protection hidden="1"/>
    </xf>
    <xf numFmtId="2" fontId="34" fillId="0" borderId="0" xfId="0" applyNumberFormat="1" applyFont="1" applyProtection="1">
      <protection hidden="1"/>
    </xf>
    <xf numFmtId="37" fontId="137" fillId="0" borderId="0" xfId="0" applyNumberFormat="1" applyFont="1" applyAlignment="1" applyProtection="1">
      <alignment horizontal="center"/>
      <protection hidden="1"/>
    </xf>
    <xf numFmtId="0" fontId="142" fillId="0" borderId="0" xfId="0" applyFont="1"/>
    <xf numFmtId="0" fontId="142" fillId="0" borderId="0" xfId="0" applyFont="1" applyAlignment="1">
      <alignment horizontal="center"/>
    </xf>
    <xf numFmtId="39" fontId="34" fillId="0" borderId="0" xfId="0" applyNumberFormat="1" applyFont="1" applyProtection="1">
      <protection hidden="1"/>
    </xf>
    <xf numFmtId="43" fontId="34" fillId="0" borderId="0" xfId="14" applyNumberFormat="1" applyFont="1" applyProtection="1">
      <protection hidden="1"/>
    </xf>
    <xf numFmtId="190" fontId="34" fillId="0" borderId="0" xfId="14" applyNumberFormat="1" applyFont="1" applyAlignment="1" applyProtection="1">
      <alignment horizontal="right"/>
      <protection hidden="1"/>
    </xf>
    <xf numFmtId="0" fontId="34" fillId="0" borderId="0" xfId="6" applyFont="1" applyAlignment="1">
      <alignment horizontal="left"/>
    </xf>
    <xf numFmtId="2" fontId="82" fillId="0" borderId="12" xfId="0" applyNumberFormat="1" applyFont="1" applyBorder="1" applyProtection="1">
      <protection hidden="1"/>
    </xf>
    <xf numFmtId="2" fontId="82" fillId="0" borderId="12" xfId="10" applyNumberFormat="1" applyFont="1" applyBorder="1" applyProtection="1">
      <protection hidden="1"/>
    </xf>
    <xf numFmtId="2" fontId="82" fillId="0" borderId="12" xfId="14" applyNumberFormat="1" applyFont="1" applyBorder="1"/>
    <xf numFmtId="2" fontId="82" fillId="0" borderId="12" xfId="14" applyNumberFormat="1" applyFont="1" applyBorder="1" applyProtection="1">
      <protection hidden="1"/>
    </xf>
    <xf numFmtId="219" fontId="34" fillId="0" borderId="0" xfId="14" applyNumberFormat="1" applyFont="1" applyAlignment="1">
      <alignment horizontal="center"/>
    </xf>
    <xf numFmtId="0" fontId="34" fillId="0" borderId="0" xfId="0" applyFont="1" applyAlignment="1">
      <alignment horizontal="right"/>
    </xf>
    <xf numFmtId="43" fontId="34" fillId="0" borderId="26" xfId="10" applyFont="1" applyBorder="1" applyAlignment="1">
      <alignment horizontal="center"/>
    </xf>
    <xf numFmtId="0" fontId="35" fillId="0" borderId="0" xfId="14" applyFont="1"/>
    <xf numFmtId="0" fontId="35" fillId="0" borderId="0" xfId="0" applyFont="1"/>
    <xf numFmtId="0" fontId="143" fillId="0" borderId="0" xfId="14" applyFont="1"/>
    <xf numFmtId="0" fontId="143" fillId="19" borderId="0" xfId="14" applyFont="1" applyFill="1" applyAlignment="1">
      <alignment horizontal="center"/>
    </xf>
    <xf numFmtId="0" fontId="35" fillId="0" borderId="0" xfId="0" applyFont="1" applyAlignment="1">
      <alignment horizontal="left"/>
    </xf>
    <xf numFmtId="43" fontId="35" fillId="0" borderId="0" xfId="10" applyFont="1" applyAlignment="1"/>
    <xf numFmtId="207" fontId="35" fillId="0" borderId="0" xfId="14" applyNumberFormat="1" applyFont="1"/>
    <xf numFmtId="43" fontId="35" fillId="0" borderId="0" xfId="10" applyFont="1" applyAlignment="1">
      <alignment horizontal="center"/>
    </xf>
    <xf numFmtId="43" fontId="35" fillId="0" borderId="0" xfId="10" applyFont="1" applyAlignment="1">
      <alignment horizontal="centerContinuous"/>
    </xf>
    <xf numFmtId="0" fontId="144" fillId="0" borderId="0" xfId="14" applyFont="1" applyAlignment="1">
      <alignment horizontal="center"/>
    </xf>
    <xf numFmtId="0" fontId="35" fillId="0" borderId="0" xfId="14" applyFont="1" applyAlignment="1">
      <alignment horizontal="left" vertical="center"/>
    </xf>
    <xf numFmtId="0" fontId="35" fillId="0" borderId="0" xfId="14" applyFont="1" applyAlignment="1">
      <alignment horizontal="center"/>
    </xf>
    <xf numFmtId="43" fontId="35" fillId="0" borderId="0" xfId="10" applyFont="1"/>
    <xf numFmtId="0" fontId="35" fillId="0" borderId="0" xfId="14" applyFont="1" applyAlignment="1">
      <alignment vertical="center"/>
    </xf>
    <xf numFmtId="0" fontId="35" fillId="0" borderId="0" xfId="0" applyFont="1" applyAlignment="1">
      <alignment vertical="center"/>
    </xf>
    <xf numFmtId="43" fontId="35" fillId="0" borderId="0" xfId="10" applyFont="1" applyAlignment="1">
      <alignment horizontal="right" vertical="center"/>
    </xf>
    <xf numFmtId="43" fontId="143" fillId="0" borderId="0" xfId="10" applyFont="1" applyAlignment="1">
      <alignment horizontal="center" vertical="center"/>
    </xf>
    <xf numFmtId="188" fontId="35" fillId="0" borderId="0" xfId="3" applyNumberFormat="1" applyFont="1" applyFill="1" applyAlignment="1">
      <alignment horizontal="right"/>
    </xf>
    <xf numFmtId="43" fontId="145" fillId="15" borderId="101" xfId="2" applyFont="1" applyFill="1" applyBorder="1"/>
    <xf numFmtId="43" fontId="35" fillId="0" borderId="0" xfId="10" applyFont="1" applyAlignment="1">
      <alignment horizontal="left" indent="3"/>
    </xf>
    <xf numFmtId="43" fontId="35" fillId="0" borderId="0" xfId="10" applyFont="1" applyAlignment="1">
      <alignment horizontal="right"/>
    </xf>
    <xf numFmtId="2" fontId="35" fillId="0" borderId="0" xfId="14" applyNumberFormat="1" applyFont="1" applyAlignment="1">
      <alignment horizontal="center"/>
    </xf>
    <xf numFmtId="0" fontId="143" fillId="0" borderId="115" xfId="0" applyFont="1" applyBorder="1" applyAlignment="1">
      <alignment horizontal="center"/>
    </xf>
    <xf numFmtId="0" fontId="143" fillId="0" borderId="2" xfId="0" applyFont="1" applyBorder="1" applyAlignment="1">
      <alignment horizontal="center"/>
    </xf>
    <xf numFmtId="49" fontId="143" fillId="0" borderId="119" xfId="0" applyNumberFormat="1" applyFont="1" applyBorder="1" applyAlignment="1">
      <alignment horizontal="center" vertical="center"/>
    </xf>
    <xf numFmtId="0" fontId="35" fillId="0" borderId="12" xfId="14" applyFont="1" applyBorder="1" applyAlignment="1">
      <alignment horizontal="center"/>
    </xf>
    <xf numFmtId="0" fontId="143" fillId="0" borderId="67" xfId="0" applyFont="1" applyBorder="1" applyAlignment="1">
      <alignment horizontal="center" vertical="center"/>
    </xf>
    <xf numFmtId="0" fontId="143" fillId="0" borderId="108" xfId="0" applyFont="1" applyBorder="1" applyAlignment="1">
      <alignment horizontal="left" vertical="center"/>
    </xf>
    <xf numFmtId="0" fontId="143" fillId="0" borderId="114" xfId="0" applyFont="1" applyBorder="1" applyAlignment="1">
      <alignment horizontal="left" vertical="center"/>
    </xf>
    <xf numFmtId="0" fontId="143" fillId="0" borderId="114" xfId="0" applyFont="1" applyBorder="1" applyAlignment="1">
      <alignment horizontal="center" vertical="center"/>
    </xf>
    <xf numFmtId="0" fontId="143" fillId="0" borderId="111" xfId="0" applyFont="1" applyBorder="1" applyAlignment="1">
      <alignment horizontal="center" vertical="center"/>
    </xf>
    <xf numFmtId="49" fontId="147" fillId="0" borderId="67" xfId="0" applyNumberFormat="1" applyFont="1" applyBorder="1" applyAlignment="1">
      <alignment horizontal="center" vertical="center"/>
    </xf>
    <xf numFmtId="0" fontId="143" fillId="0" borderId="67" xfId="14" applyFont="1" applyBorder="1" applyAlignment="1">
      <alignment horizontal="center" vertical="center"/>
    </xf>
    <xf numFmtId="0" fontId="35" fillId="0" borderId="68" xfId="0" applyFont="1" applyBorder="1" applyAlignment="1">
      <alignment horizontal="right" vertical="center"/>
    </xf>
    <xf numFmtId="0" fontId="35" fillId="0" borderId="69" xfId="0" applyFont="1" applyBorder="1" applyAlignment="1">
      <alignment horizontal="left" vertical="center"/>
    </xf>
    <xf numFmtId="0" fontId="35" fillId="0" borderId="65" xfId="0" applyFont="1" applyBorder="1" applyAlignment="1">
      <alignment horizontal="left" vertical="center"/>
    </xf>
    <xf numFmtId="0" fontId="143" fillId="0" borderId="65" xfId="0" applyFont="1" applyBorder="1" applyAlignment="1">
      <alignment horizontal="center" vertical="center"/>
    </xf>
    <xf numFmtId="0" fontId="143" fillId="0" borderId="70" xfId="0" applyFont="1" applyBorder="1" applyAlignment="1">
      <alignment horizontal="center" vertical="center"/>
    </xf>
    <xf numFmtId="0" fontId="35" fillId="0" borderId="68" xfId="14" applyFont="1" applyBorder="1" applyAlignment="1">
      <alignment horizontal="center"/>
    </xf>
    <xf numFmtId="43" fontId="35" fillId="0" borderId="68" xfId="10" quotePrefix="1" applyFont="1" applyFill="1" applyBorder="1" applyAlignment="1">
      <alignment horizontal="center"/>
    </xf>
    <xf numFmtId="49" fontId="143" fillId="0" borderId="68" xfId="0" applyNumberFormat="1" applyFont="1" applyBorder="1" applyAlignment="1">
      <alignment horizontal="center" vertical="center"/>
    </xf>
    <xf numFmtId="188" fontId="35" fillId="0" borderId="68" xfId="10" applyNumberFormat="1" applyFont="1" applyFill="1" applyBorder="1"/>
    <xf numFmtId="208" fontId="35" fillId="0" borderId="68" xfId="10" applyNumberFormat="1" applyFont="1" applyFill="1" applyBorder="1"/>
    <xf numFmtId="43" fontId="35" fillId="0" borderId="68" xfId="14" applyNumberFormat="1" applyFont="1" applyBorder="1" applyProtection="1">
      <protection locked="0"/>
    </xf>
    <xf numFmtId="43" fontId="143" fillId="0" borderId="68" xfId="10" applyFont="1" applyFill="1" applyBorder="1"/>
    <xf numFmtId="0" fontId="143" fillId="0" borderId="68" xfId="14" applyFont="1" applyBorder="1" applyAlignment="1">
      <alignment horizontal="center" vertical="center"/>
    </xf>
    <xf numFmtId="49" fontId="35" fillId="0" borderId="12" xfId="14" applyNumberFormat="1" applyFont="1" applyBorder="1" applyAlignment="1">
      <alignment horizontal="center" vertical="center"/>
    </xf>
    <xf numFmtId="0" fontId="35" fillId="0" borderId="12" xfId="14" applyFont="1" applyBorder="1" applyAlignment="1">
      <alignment horizontal="center" vertical="center"/>
    </xf>
    <xf numFmtId="0" fontId="35" fillId="0" borderId="24" xfId="14" applyFont="1" applyBorder="1" applyAlignment="1">
      <alignment horizontal="center" vertical="center"/>
    </xf>
    <xf numFmtId="0" fontId="143" fillId="0" borderId="68" xfId="14" applyFont="1" applyBorder="1" applyAlignment="1">
      <alignment horizontal="centerContinuous"/>
    </xf>
    <xf numFmtId="0" fontId="143" fillId="0" borderId="69" xfId="14" applyFont="1" applyBorder="1"/>
    <xf numFmtId="0" fontId="143" fillId="0" borderId="65" xfId="14" applyFont="1" applyBorder="1"/>
    <xf numFmtId="43" fontId="35" fillId="0" borderId="68" xfId="10" applyFont="1" applyFill="1" applyBorder="1" applyAlignment="1">
      <alignment horizontal="center"/>
    </xf>
    <xf numFmtId="43" fontId="35" fillId="0" borderId="68" xfId="10" applyFont="1" applyFill="1" applyBorder="1" applyAlignment="1"/>
    <xf numFmtId="0" fontId="35" fillId="0" borderId="0" xfId="14" applyFont="1" applyAlignment="1">
      <alignment horizontal="center" vertical="center"/>
    </xf>
    <xf numFmtId="0" fontId="35" fillId="0" borderId="68" xfId="14" applyFont="1" applyBorder="1" applyAlignment="1">
      <alignment horizontal="right"/>
    </xf>
    <xf numFmtId="0" fontId="35" fillId="0" borderId="69" xfId="14" applyFont="1" applyBorder="1"/>
    <xf numFmtId="0" fontId="35" fillId="0" borderId="65" xfId="14" applyFont="1" applyBorder="1"/>
    <xf numFmtId="0" fontId="35" fillId="0" borderId="70" xfId="14" applyFont="1" applyBorder="1"/>
    <xf numFmtId="43" fontId="35" fillId="0" borderId="68" xfId="10" applyFont="1" applyFill="1" applyBorder="1" applyAlignment="1">
      <alignment horizontal="left" indent="2"/>
    </xf>
    <xf numFmtId="43" fontId="35" fillId="0" borderId="0" xfId="14" applyNumberFormat="1" applyFont="1"/>
    <xf numFmtId="0" fontId="35" fillId="0" borderId="65" xfId="14" applyFont="1" applyBorder="1" applyAlignment="1">
      <alignment horizontal="left"/>
    </xf>
    <xf numFmtId="43" fontId="35" fillId="0" borderId="68" xfId="10" applyFont="1" applyFill="1" applyBorder="1" applyAlignment="1" applyProtection="1">
      <alignment horizontal="center"/>
    </xf>
    <xf numFmtId="0" fontId="35" fillId="0" borderId="70" xfId="14" applyFont="1" applyBorder="1" applyAlignment="1">
      <alignment horizontal="center"/>
    </xf>
    <xf numFmtId="43" fontId="35" fillId="0" borderId="68" xfId="14" applyNumberFormat="1" applyFont="1" applyBorder="1" applyAlignment="1">
      <alignment horizontal="center"/>
    </xf>
    <xf numFmtId="43" fontId="35" fillId="0" borderId="0" xfId="14" applyNumberFormat="1" applyFont="1" applyAlignment="1">
      <alignment horizontal="center" vertical="center"/>
    </xf>
    <xf numFmtId="0" fontId="143" fillId="0" borderId="68" xfId="14" applyFont="1" applyBorder="1" applyAlignment="1">
      <alignment horizontal="center"/>
    </xf>
    <xf numFmtId="0" fontId="143" fillId="0" borderId="68" xfId="0" applyFont="1" applyBorder="1" applyAlignment="1">
      <alignment horizontal="centerContinuous"/>
    </xf>
    <xf numFmtId="0" fontId="143" fillId="0" borderId="69" xfId="0" applyFont="1" applyBorder="1"/>
    <xf numFmtId="0" fontId="143" fillId="0" borderId="65" xfId="0" applyFont="1" applyBorder="1"/>
    <xf numFmtId="0" fontId="35" fillId="0" borderId="65" xfId="0" applyFont="1" applyBorder="1"/>
    <xf numFmtId="0" fontId="35" fillId="0" borderId="68" xfId="0" applyFont="1" applyBorder="1" applyAlignment="1">
      <alignment horizontal="right"/>
    </xf>
    <xf numFmtId="0" fontId="35" fillId="0" borderId="69" xfId="0" applyFont="1" applyBorder="1"/>
    <xf numFmtId="0" fontId="35" fillId="0" borderId="65" xfId="14" applyFont="1" applyBorder="1" applyAlignment="1">
      <alignment horizontal="center" vertical="center"/>
    </xf>
    <xf numFmtId="0" fontId="143" fillId="0" borderId="68" xfId="6" applyFont="1" applyBorder="1" applyAlignment="1">
      <alignment horizontal="center"/>
    </xf>
    <xf numFmtId="0" fontId="143" fillId="0" borderId="69" xfId="6" applyFont="1" applyBorder="1"/>
    <xf numFmtId="0" fontId="143" fillId="0" borderId="65" xfId="6" applyFont="1" applyBorder="1"/>
    <xf numFmtId="0" fontId="35" fillId="0" borderId="68" xfId="6" applyFont="1" applyBorder="1" applyAlignment="1">
      <alignment horizontal="center"/>
    </xf>
    <xf numFmtId="188" fontId="35" fillId="0" borderId="68" xfId="3" quotePrefix="1" applyNumberFormat="1" applyFont="1" applyFill="1" applyBorder="1" applyAlignment="1" applyProtection="1">
      <alignment horizontal="center"/>
      <protection locked="0"/>
    </xf>
    <xf numFmtId="188" fontId="35" fillId="0" borderId="68" xfId="3" applyNumberFormat="1" applyFont="1" applyFill="1" applyBorder="1" applyAlignment="1"/>
    <xf numFmtId="0" fontId="35" fillId="0" borderId="68" xfId="0" applyFont="1" applyBorder="1"/>
    <xf numFmtId="0" fontId="35" fillId="0" borderId="65" xfId="6" applyFont="1" applyBorder="1"/>
    <xf numFmtId="39" fontId="35" fillId="0" borderId="69" xfId="0" applyNumberFormat="1" applyFont="1" applyBorder="1" applyAlignment="1">
      <alignment horizontal="left"/>
    </xf>
    <xf numFmtId="39" fontId="35" fillId="0" borderId="65" xfId="0" applyNumberFormat="1" applyFont="1" applyBorder="1" applyAlignment="1">
      <alignment horizontal="left"/>
    </xf>
    <xf numFmtId="0" fontId="35" fillId="0" borderId="65" xfId="14" applyFont="1" applyBorder="1" applyProtection="1">
      <protection locked="0"/>
    </xf>
    <xf numFmtId="0" fontId="35" fillId="0" borderId="70" xfId="14" applyFont="1" applyBorder="1" applyProtection="1">
      <protection locked="0"/>
    </xf>
    <xf numFmtId="43" fontId="35" fillId="0" borderId="68" xfId="10" applyFont="1" applyFill="1" applyBorder="1" applyAlignment="1" applyProtection="1">
      <alignment horizontal="center"/>
      <protection locked="0"/>
    </xf>
    <xf numFmtId="0" fontId="35" fillId="0" borderId="65" xfId="14" applyFont="1" applyBorder="1" applyAlignment="1" applyProtection="1">
      <alignment horizontal="center"/>
      <protection locked="0"/>
    </xf>
    <xf numFmtId="43" fontId="35" fillId="0" borderId="68" xfId="10" applyFont="1" applyBorder="1" applyAlignment="1" applyProtection="1">
      <alignment horizontal="center"/>
    </xf>
    <xf numFmtId="43" fontId="35" fillId="0" borderId="68" xfId="10" applyFont="1" applyBorder="1" applyAlignment="1" applyProtection="1">
      <alignment horizontal="centerContinuous"/>
    </xf>
    <xf numFmtId="0" fontId="35" fillId="0" borderId="84" xfId="14" applyFont="1" applyBorder="1"/>
    <xf numFmtId="0" fontId="35" fillId="0" borderId="88" xfId="14" applyFont="1" applyBorder="1"/>
    <xf numFmtId="0" fontId="35" fillId="0" borderId="89" xfId="14" applyFont="1" applyBorder="1"/>
    <xf numFmtId="0" fontId="35" fillId="0" borderId="90" xfId="14" applyFont="1" applyBorder="1"/>
    <xf numFmtId="0" fontId="35" fillId="0" borderId="84" xfId="14" applyFont="1" applyBorder="1" applyAlignment="1">
      <alignment horizontal="center"/>
    </xf>
    <xf numFmtId="43" fontId="149" fillId="0" borderId="84" xfId="10" applyFont="1" applyFill="1" applyBorder="1" applyAlignment="1" applyProtection="1">
      <alignment horizontal="center"/>
    </xf>
    <xf numFmtId="43" fontId="35" fillId="0" borderId="84" xfId="10" applyFont="1" applyFill="1" applyBorder="1" applyAlignment="1" applyProtection="1"/>
    <xf numFmtId="188" fontId="35" fillId="0" borderId="84" xfId="10" applyNumberFormat="1" applyFont="1" applyFill="1" applyBorder="1"/>
    <xf numFmtId="208" fontId="35" fillId="0" borderId="84" xfId="10" applyNumberFormat="1" applyFont="1" applyFill="1" applyBorder="1"/>
    <xf numFmtId="43" fontId="35" fillId="0" borderId="84" xfId="14" applyNumberFormat="1" applyFont="1" applyBorder="1" applyProtection="1">
      <protection locked="0"/>
    </xf>
    <xf numFmtId="43" fontId="143" fillId="0" borderId="84" xfId="10" applyFont="1" applyFill="1" applyBorder="1"/>
    <xf numFmtId="0" fontId="35" fillId="0" borderId="12" xfId="14" applyFont="1" applyBorder="1"/>
    <xf numFmtId="0" fontId="144" fillId="0" borderId="27" xfId="14" applyFont="1" applyBorder="1"/>
    <xf numFmtId="0" fontId="144" fillId="0" borderId="9" xfId="14" applyFont="1" applyBorder="1"/>
    <xf numFmtId="0" fontId="35" fillId="0" borderId="9" xfId="14" applyFont="1" applyBorder="1"/>
    <xf numFmtId="0" fontId="35" fillId="0" borderId="8" xfId="14" applyFont="1" applyBorder="1"/>
    <xf numFmtId="209" fontId="35" fillId="0" borderId="12" xfId="10" applyNumberFormat="1" applyFont="1" applyFill="1" applyBorder="1" applyAlignment="1">
      <alignment horizontal="center"/>
    </xf>
    <xf numFmtId="43" fontId="35" fillId="0" borderId="12" xfId="10" applyFont="1" applyFill="1" applyBorder="1" applyAlignment="1"/>
    <xf numFmtId="43" fontId="150" fillId="0" borderId="12" xfId="14" applyNumberFormat="1" applyFont="1" applyBorder="1" applyProtection="1">
      <protection locked="0"/>
    </xf>
    <xf numFmtId="43" fontId="143" fillId="0" borderId="12" xfId="10" applyFont="1" applyFill="1" applyBorder="1"/>
    <xf numFmtId="43" fontId="35" fillId="0" borderId="12" xfId="14" applyNumberFormat="1" applyFont="1" applyBorder="1" applyProtection="1">
      <protection locked="0"/>
    </xf>
    <xf numFmtId="43" fontId="151" fillId="0" borderId="12" xfId="2" applyFont="1" applyFill="1" applyBorder="1" applyProtection="1">
      <protection locked="0"/>
    </xf>
    <xf numFmtId="188" fontId="152" fillId="14" borderId="101" xfId="1" applyNumberFormat="1" applyFont="1" applyAlignment="1">
      <alignment horizontal="left"/>
    </xf>
    <xf numFmtId="43" fontId="143" fillId="0" borderId="0" xfId="10" applyFont="1" applyFill="1" applyBorder="1" applyAlignment="1">
      <alignment horizontal="center"/>
    </xf>
    <xf numFmtId="43" fontId="35" fillId="0" borderId="0" xfId="10" applyFont="1" applyFill="1" applyBorder="1" applyAlignment="1"/>
    <xf numFmtId="43" fontId="35" fillId="0" borderId="0" xfId="14" applyNumberFormat="1" applyFont="1" applyAlignment="1" applyProtection="1">
      <alignment horizontal="centerContinuous"/>
      <protection locked="0"/>
    </xf>
    <xf numFmtId="208" fontId="35" fillId="19" borderId="0" xfId="14" applyNumberFormat="1" applyFont="1" applyFill="1"/>
    <xf numFmtId="43" fontId="143" fillId="0" borderId="0" xfId="10" applyFont="1" applyFill="1" applyBorder="1"/>
    <xf numFmtId="43" fontId="35" fillId="0" borderId="0" xfId="10" applyFont="1" applyBorder="1"/>
    <xf numFmtId="43" fontId="35" fillId="0" borderId="0" xfId="14" applyNumberFormat="1" applyFont="1" applyAlignment="1">
      <alignment horizontal="centerContinuous"/>
    </xf>
    <xf numFmtId="43" fontId="35" fillId="0" borderId="0" xfId="10" applyFont="1" applyBorder="1" applyAlignment="1">
      <alignment horizontal="center"/>
    </xf>
    <xf numFmtId="43" fontId="35" fillId="0" borderId="0" xfId="10" applyFont="1" applyBorder="1" applyAlignment="1"/>
    <xf numFmtId="2" fontId="35" fillId="0" borderId="0" xfId="15" applyNumberFormat="1" applyFont="1" applyAlignment="1">
      <alignment horizontal="center"/>
    </xf>
    <xf numFmtId="0" fontId="35" fillId="0" borderId="0" xfId="15" applyFont="1" applyAlignment="1">
      <alignment horizontal="center"/>
    </xf>
    <xf numFmtId="0" fontId="131" fillId="0" borderId="0" xfId="15" applyFont="1" applyAlignment="1">
      <alignment horizontal="center" vertical="center"/>
    </xf>
    <xf numFmtId="0" fontId="131" fillId="0" borderId="6" xfId="15" applyFont="1" applyBorder="1" applyAlignment="1">
      <alignment horizontal="center" vertical="center"/>
    </xf>
    <xf numFmtId="0" fontId="131" fillId="0" borderId="119" xfId="15" applyFont="1" applyBorder="1" applyAlignment="1">
      <alignment horizontal="center" vertical="center"/>
    </xf>
    <xf numFmtId="0" fontId="88" fillId="7" borderId="11" xfId="18" applyFont="1" applyFill="1" applyBorder="1" applyAlignment="1">
      <alignment horizontal="center" vertical="center"/>
    </xf>
    <xf numFmtId="43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82" fillId="0" borderId="0" xfId="0" applyFont="1" applyAlignment="1">
      <alignment horizontal="center"/>
    </xf>
    <xf numFmtId="0" fontId="82" fillId="0" borderId="122" xfId="14" applyFont="1" applyBorder="1" applyAlignment="1">
      <alignment horizontal="center" vertical="center"/>
    </xf>
    <xf numFmtId="0" fontId="82" fillId="0" borderId="123" xfId="14" applyFont="1" applyBorder="1" applyAlignment="1">
      <alignment horizontal="center" vertical="center"/>
    </xf>
    <xf numFmtId="0" fontId="82" fillId="0" borderId="124" xfId="14" applyFont="1" applyBorder="1" applyAlignment="1">
      <alignment horizontal="center" vertical="center"/>
    </xf>
    <xf numFmtId="0" fontId="146" fillId="19" borderId="112" xfId="0" applyFont="1" applyFill="1" applyBorder="1" applyAlignment="1">
      <alignment horizontal="left"/>
    </xf>
    <xf numFmtId="0" fontId="143" fillId="0" borderId="69" xfId="14" applyFont="1" applyBorder="1"/>
    <xf numFmtId="0" fontId="143" fillId="0" borderId="65" xfId="14" applyFont="1" applyBorder="1"/>
    <xf numFmtId="0" fontId="143" fillId="0" borderId="70" xfId="14" applyFont="1" applyBorder="1"/>
    <xf numFmtId="0" fontId="35" fillId="0" borderId="12" xfId="14" applyFont="1" applyBorder="1" applyAlignment="1">
      <alignment horizontal="center"/>
    </xf>
    <xf numFmtId="0" fontId="143" fillId="0" borderId="0" xfId="14" applyFont="1" applyAlignment="1">
      <alignment horizontal="center"/>
    </xf>
    <xf numFmtId="0" fontId="143" fillId="0" borderId="115" xfId="0" applyFont="1" applyBorder="1" applyAlignment="1">
      <alignment horizontal="center" vertical="center"/>
    </xf>
    <xf numFmtId="0" fontId="143" fillId="0" borderId="2" xfId="0" applyFont="1" applyBorder="1" applyAlignment="1">
      <alignment vertical="center"/>
    </xf>
    <xf numFmtId="0" fontId="143" fillId="0" borderId="2" xfId="0" applyFont="1" applyBorder="1" applyAlignment="1">
      <alignment horizontal="center" vertical="center"/>
    </xf>
    <xf numFmtId="43" fontId="35" fillId="0" borderId="0" xfId="10" applyFont="1" applyAlignment="1">
      <alignment horizontal="center"/>
    </xf>
    <xf numFmtId="0" fontId="143" fillId="0" borderId="119" xfId="0" applyFont="1" applyBorder="1" applyAlignment="1">
      <alignment horizontal="center" vertical="center"/>
    </xf>
    <xf numFmtId="0" fontId="143" fillId="0" borderId="116" xfId="0" applyFont="1" applyBorder="1" applyAlignment="1">
      <alignment horizontal="center" vertical="center"/>
    </xf>
    <xf numFmtId="0" fontId="143" fillId="0" borderId="117" xfId="0" applyFont="1" applyBorder="1" applyAlignment="1">
      <alignment horizontal="center" vertical="center"/>
    </xf>
    <xf numFmtId="0" fontId="143" fillId="0" borderId="118" xfId="0" applyFont="1" applyBorder="1" applyAlignment="1">
      <alignment horizontal="center" vertical="center"/>
    </xf>
    <xf numFmtId="0" fontId="143" fillId="0" borderId="26" xfId="0" applyFont="1" applyBorder="1" applyAlignment="1">
      <alignment horizontal="center" vertical="center"/>
    </xf>
    <xf numFmtId="0" fontId="143" fillId="0" borderId="0" xfId="0" applyFont="1" applyAlignment="1">
      <alignment horizontal="center" vertical="center"/>
    </xf>
    <xf numFmtId="0" fontId="143" fillId="0" borderId="13" xfId="0" applyFont="1" applyBorder="1" applyAlignment="1">
      <alignment horizontal="center" vertical="center"/>
    </xf>
    <xf numFmtId="0" fontId="143" fillId="0" borderId="120" xfId="0" applyFont="1" applyBorder="1" applyAlignment="1">
      <alignment horizontal="center" vertical="center"/>
    </xf>
    <xf numFmtId="0" fontId="143" fillId="0" borderId="112" xfId="0" applyFont="1" applyBorder="1" applyAlignment="1">
      <alignment horizontal="center" vertical="center"/>
    </xf>
    <xf numFmtId="0" fontId="143" fillId="0" borderId="121" xfId="0" applyFont="1" applyBorder="1" applyAlignment="1">
      <alignment horizontal="center" vertical="center"/>
    </xf>
    <xf numFmtId="0" fontId="143" fillId="0" borderId="115" xfId="14" applyFont="1" applyBorder="1" applyAlignment="1">
      <alignment horizontal="center" vertical="center"/>
    </xf>
    <xf numFmtId="0" fontId="143" fillId="0" borderId="2" xfId="14" applyFont="1" applyBorder="1" applyAlignment="1">
      <alignment horizontal="center" vertical="center"/>
    </xf>
    <xf numFmtId="0" fontId="143" fillId="0" borderId="119" xfId="14" applyFont="1" applyBorder="1" applyAlignment="1">
      <alignment horizontal="center" vertical="center"/>
    </xf>
    <xf numFmtId="43" fontId="143" fillId="0" borderId="115" xfId="2" applyFont="1" applyBorder="1" applyAlignment="1">
      <alignment horizontal="center" vertical="center"/>
    </xf>
    <xf numFmtId="43" fontId="143" fillId="0" borderId="2" xfId="2" applyFont="1" applyBorder="1" applyAlignment="1">
      <alignment horizontal="center" vertical="center"/>
    </xf>
    <xf numFmtId="213" fontId="146" fillId="0" borderId="0" xfId="0" applyNumberFormat="1" applyFont="1" applyAlignment="1">
      <alignment horizontal="left"/>
    </xf>
    <xf numFmtId="2" fontId="115" fillId="0" borderId="29" xfId="17" applyNumberFormat="1" applyFont="1" applyBorder="1" applyAlignment="1">
      <alignment horizontal="left"/>
    </xf>
    <xf numFmtId="199" fontId="141" fillId="5" borderId="0" xfId="14" applyNumberFormat="1" applyFont="1" applyFill="1" applyAlignment="1">
      <alignment horizontal="center"/>
    </xf>
    <xf numFmtId="199" fontId="141" fillId="0" borderId="0" xfId="14" applyNumberFormat="1" applyFont="1" applyAlignment="1">
      <alignment horizontal="center"/>
    </xf>
    <xf numFmtId="0" fontId="34" fillId="0" borderId="0" xfId="14" applyFont="1" applyAlignment="1" applyProtection="1">
      <alignment horizontal="center"/>
      <protection hidden="1"/>
    </xf>
    <xf numFmtId="2" fontId="82" fillId="0" borderId="0" xfId="10" quotePrefix="1" applyNumberFormat="1" applyFont="1" applyAlignment="1" applyProtection="1">
      <alignment horizontal="center"/>
      <protection hidden="1"/>
    </xf>
    <xf numFmtId="0" fontId="82" fillId="0" borderId="0" xfId="14" applyFont="1" applyAlignment="1" applyProtection="1">
      <alignment horizontal="center"/>
      <protection hidden="1"/>
    </xf>
    <xf numFmtId="0" fontId="64" fillId="0" borderId="28" xfId="7" applyFont="1" applyBorder="1" applyAlignment="1">
      <alignment horizontal="center" vertical="center"/>
    </xf>
    <xf numFmtId="0" fontId="105" fillId="0" borderId="28" xfId="14" applyFont="1" applyBorder="1" applyAlignment="1">
      <alignment horizontal="center" vertical="center"/>
    </xf>
    <xf numFmtId="0" fontId="69" fillId="0" borderId="27" xfId="7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39" fillId="0" borderId="27" xfId="7" applyFont="1" applyBorder="1" applyAlignment="1">
      <alignment horizontal="center" vertical="center"/>
    </xf>
    <xf numFmtId="0" fontId="64" fillId="0" borderId="28" xfId="7" applyFont="1" applyBorder="1" applyAlignment="1">
      <alignment horizontal="center" vertical="center" wrapText="1"/>
    </xf>
    <xf numFmtId="0" fontId="64" fillId="0" borderId="28" xfId="7" applyFont="1" applyBorder="1" applyAlignment="1">
      <alignment horizontal="left" vertical="center" wrapText="1"/>
    </xf>
    <xf numFmtId="0" fontId="69" fillId="0" borderId="8" xfId="7" applyFont="1" applyBorder="1" applyAlignment="1">
      <alignment horizontal="center" vertical="center"/>
    </xf>
    <xf numFmtId="0" fontId="38" fillId="0" borderId="27" xfId="7" applyFont="1" applyBorder="1" applyAlignment="1">
      <alignment horizontal="center" vertical="center"/>
    </xf>
    <xf numFmtId="0" fontId="38" fillId="0" borderId="8" xfId="7" applyFont="1" applyBorder="1" applyAlignment="1">
      <alignment horizontal="center" vertical="center"/>
    </xf>
    <xf numFmtId="0" fontId="88" fillId="0" borderId="0" xfId="0" applyFont="1" applyAlignment="1">
      <alignment horizontal="center"/>
    </xf>
    <xf numFmtId="0" fontId="81" fillId="0" borderId="27" xfId="0" applyFont="1" applyBorder="1" applyAlignment="1">
      <alignment horizontal="center"/>
    </xf>
    <xf numFmtId="0" fontId="81" fillId="0" borderId="9" xfId="0" applyFont="1" applyBorder="1" applyAlignment="1">
      <alignment horizontal="center"/>
    </xf>
    <xf numFmtId="0" fontId="81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3" fillId="19" borderId="86" xfId="0" applyFont="1" applyFill="1" applyBorder="1" applyAlignment="1">
      <alignment horizontal="center"/>
    </xf>
    <xf numFmtId="0" fontId="13" fillId="19" borderId="58" xfId="0" applyFont="1" applyFill="1" applyBorder="1" applyAlignment="1">
      <alignment horizontal="center"/>
    </xf>
    <xf numFmtId="0" fontId="29" fillId="0" borderId="0" xfId="0" applyFont="1" applyAlignment="1">
      <alignment horizontal="center"/>
    </xf>
    <xf numFmtId="199" fontId="103" fillId="5" borderId="0" xfId="0" applyNumberFormat="1" applyFont="1" applyFill="1" applyAlignment="1">
      <alignment horizontal="center"/>
    </xf>
    <xf numFmtId="199" fontId="103" fillId="0" borderId="0" xfId="0" applyNumberFormat="1" applyFont="1" applyAlignment="1">
      <alignment horizontal="center"/>
    </xf>
    <xf numFmtId="0" fontId="108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Alignment="1" applyProtection="1">
      <alignment horizontal="center"/>
      <protection locked="0"/>
    </xf>
    <xf numFmtId="0" fontId="29" fillId="0" borderId="0" xfId="0" applyFont="1" applyAlignment="1" applyProtection="1">
      <alignment horizontal="left"/>
      <protection locked="0"/>
    </xf>
    <xf numFmtId="43" fontId="29" fillId="0" borderId="0" xfId="0" applyNumberFormat="1" applyFont="1" applyAlignment="1" applyProtection="1">
      <alignment horizontal="center"/>
      <protection locked="0"/>
    </xf>
    <xf numFmtId="0" fontId="91" fillId="0" borderId="0" xfId="0" applyFont="1" applyAlignment="1">
      <alignment horizontal="center" shrinkToFit="1"/>
    </xf>
    <xf numFmtId="0" fontId="80" fillId="0" borderId="0" xfId="16" applyFont="1" applyAlignment="1">
      <alignment horizontal="center"/>
    </xf>
    <xf numFmtId="0" fontId="39" fillId="0" borderId="25" xfId="16" applyFont="1" applyBorder="1" applyAlignment="1">
      <alignment horizontal="center" vertical="center"/>
    </xf>
    <xf numFmtId="0" fontId="39" fillId="0" borderId="83" xfId="16" applyFont="1" applyBorder="1" applyAlignment="1">
      <alignment horizontal="center" vertical="center"/>
    </xf>
    <xf numFmtId="0" fontId="38" fillId="0" borderId="12" xfId="16" applyFont="1" applyBorder="1" applyAlignment="1">
      <alignment horizontal="left"/>
    </xf>
    <xf numFmtId="0" fontId="38" fillId="0" borderId="12" xfId="16" applyFont="1" applyBorder="1" applyAlignment="1">
      <alignment horizontal="left" vertical="center"/>
    </xf>
    <xf numFmtId="0" fontId="39" fillId="0" borderId="76" xfId="16" applyFont="1" applyBorder="1" applyAlignment="1">
      <alignment horizontal="center" vertical="center"/>
    </xf>
    <xf numFmtId="0" fontId="39" fillId="0" borderId="0" xfId="16" applyFont="1" applyAlignment="1">
      <alignment horizontal="center" vertical="center"/>
    </xf>
    <xf numFmtId="0" fontId="39" fillId="0" borderId="13" xfId="16" applyFont="1" applyBorder="1" applyAlignment="1">
      <alignment horizontal="center" vertical="center"/>
    </xf>
    <xf numFmtId="0" fontId="39" fillId="0" borderId="77" xfId="16" applyFont="1" applyBorder="1" applyAlignment="1">
      <alignment horizontal="center" vertical="center"/>
    </xf>
    <xf numFmtId="0" fontId="39" fillId="0" borderId="28" xfId="16" applyFont="1" applyBorder="1" applyAlignment="1">
      <alignment horizontal="center" vertical="center"/>
    </xf>
    <xf numFmtId="0" fontId="39" fillId="0" borderId="10" xfId="16" applyFont="1" applyBorder="1" applyAlignment="1">
      <alignment horizontal="center" vertical="center"/>
    </xf>
    <xf numFmtId="0" fontId="38" fillId="0" borderId="0" xfId="0" applyFont="1" applyAlignment="1">
      <alignment horizontal="center" vertical="center" textRotation="33"/>
    </xf>
    <xf numFmtId="0" fontId="57" fillId="0" borderId="0" xfId="0" applyFont="1"/>
    <xf numFmtId="43" fontId="37" fillId="0" borderId="0" xfId="16" applyNumberFormat="1" applyFont="1" applyAlignment="1">
      <alignment horizontal="right" vertical="center"/>
    </xf>
    <xf numFmtId="0" fontId="39" fillId="0" borderId="24" xfId="16" applyFont="1" applyBorder="1" applyAlignment="1">
      <alignment horizontal="center" vertical="center"/>
    </xf>
    <xf numFmtId="0" fontId="39" fillId="0" borderId="74" xfId="16" applyFont="1" applyBorder="1" applyAlignment="1">
      <alignment horizontal="center" vertical="center"/>
    </xf>
    <xf numFmtId="0" fontId="39" fillId="0" borderId="25" xfId="16" applyFont="1" applyBorder="1" applyAlignment="1">
      <alignment horizontal="right" vertical="center"/>
    </xf>
    <xf numFmtId="0" fontId="39" fillId="0" borderId="10" xfId="16" applyFont="1" applyBorder="1" applyAlignment="1">
      <alignment horizontal="right" vertical="center"/>
    </xf>
    <xf numFmtId="0" fontId="39" fillId="0" borderId="79" xfId="16" applyFont="1" applyBorder="1" applyAlignment="1">
      <alignment horizontal="center" vertical="center"/>
    </xf>
    <xf numFmtId="0" fontId="39" fillId="0" borderId="93" xfId="16" applyFont="1" applyBorder="1" applyAlignment="1">
      <alignment horizontal="center" vertical="center"/>
    </xf>
    <xf numFmtId="190" fontId="62" fillId="0" borderId="0" xfId="16" applyNumberFormat="1" applyFont="1" applyAlignment="1">
      <alignment horizontal="center" vertical="center"/>
    </xf>
    <xf numFmtId="2" fontId="36" fillId="0" borderId="0" xfId="0" applyNumberFormat="1" applyFont="1" applyAlignment="1">
      <alignment horizontal="center" vertical="top" wrapText="1"/>
    </xf>
    <xf numFmtId="2" fontId="36" fillId="0" borderId="0" xfId="0" applyNumberFormat="1" applyFont="1" applyAlignment="1">
      <alignment horizontal="center" vertical="top"/>
    </xf>
    <xf numFmtId="2" fontId="106" fillId="0" borderId="0" xfId="0" applyNumberFormat="1" applyFont="1" applyAlignment="1">
      <alignment horizontal="center" vertical="top"/>
    </xf>
    <xf numFmtId="0" fontId="73" fillId="0" borderId="72" xfId="16" applyFont="1" applyBorder="1" applyAlignment="1">
      <alignment horizontal="center" vertical="center"/>
    </xf>
    <xf numFmtId="0" fontId="73" fillId="0" borderId="0" xfId="16" applyFont="1" applyAlignment="1">
      <alignment horizontal="center" vertical="center"/>
    </xf>
    <xf numFmtId="0" fontId="73" fillId="0" borderId="55" xfId="16" applyFont="1" applyBorder="1" applyAlignment="1">
      <alignment horizontal="center" vertical="center"/>
    </xf>
    <xf numFmtId="0" fontId="65" fillId="0" borderId="0" xfId="16" applyFont="1" applyAlignment="1">
      <alignment horizontal="center" vertical="center"/>
    </xf>
    <xf numFmtId="0" fontId="67" fillId="0" borderId="47" xfId="16" applyFont="1" applyBorder="1" applyAlignment="1">
      <alignment horizontal="center" vertical="center"/>
    </xf>
    <xf numFmtId="0" fontId="67" fillId="0" borderId="49" xfId="16" applyFont="1" applyBorder="1" applyAlignment="1">
      <alignment horizontal="center" vertical="center"/>
    </xf>
    <xf numFmtId="0" fontId="67" fillId="0" borderId="4" xfId="16" applyFont="1" applyBorder="1" applyAlignment="1">
      <alignment horizontal="center" vertical="center"/>
    </xf>
    <xf numFmtId="0" fontId="67" fillId="0" borderId="94" xfId="16" applyFont="1" applyBorder="1" applyAlignment="1">
      <alignment horizontal="center" vertical="center"/>
    </xf>
    <xf numFmtId="0" fontId="67" fillId="0" borderId="95" xfId="16" applyFont="1" applyBorder="1" applyAlignment="1">
      <alignment horizontal="center" vertical="center"/>
    </xf>
    <xf numFmtId="0" fontId="67" fillId="0" borderId="96" xfId="16" applyFont="1" applyBorder="1" applyAlignment="1">
      <alignment horizontal="center" vertical="center"/>
    </xf>
    <xf numFmtId="0" fontId="39" fillId="0" borderId="71" xfId="16" applyFont="1" applyBorder="1" applyAlignment="1">
      <alignment horizontal="center" vertical="center"/>
    </xf>
    <xf numFmtId="190" fontId="60" fillId="0" borderId="0" xfId="16" applyNumberFormat="1" applyFont="1" applyAlignment="1">
      <alignment horizontal="center" vertical="center"/>
    </xf>
    <xf numFmtId="0" fontId="61" fillId="0" borderId="0" xfId="16" applyFont="1" applyAlignment="1">
      <alignment horizontal="left" vertical="center"/>
    </xf>
    <xf numFmtId="0" fontId="62" fillId="0" borderId="47" xfId="16" applyFont="1" applyBorder="1" applyAlignment="1">
      <alignment horizontal="center" vertical="center" shrinkToFit="1"/>
    </xf>
    <xf numFmtId="0" fontId="62" fillId="0" borderId="49" xfId="16" applyFont="1" applyBorder="1" applyAlignment="1">
      <alignment horizontal="center" vertical="center" shrinkToFit="1"/>
    </xf>
    <xf numFmtId="0" fontId="62" fillId="0" borderId="72" xfId="16" applyFont="1" applyBorder="1" applyAlignment="1">
      <alignment horizontal="center" vertical="center" shrinkToFit="1"/>
    </xf>
    <xf numFmtId="0" fontId="62" fillId="0" borderId="0" xfId="16" applyFont="1" applyAlignment="1">
      <alignment horizontal="center" vertical="center" shrinkToFit="1"/>
    </xf>
    <xf numFmtId="0" fontId="39" fillId="0" borderId="97" xfId="16" applyFont="1" applyBorder="1" applyAlignment="1">
      <alignment horizontal="center" vertical="center" shrinkToFit="1"/>
    </xf>
    <xf numFmtId="0" fontId="39" fillId="0" borderId="98" xfId="16" applyFont="1" applyBorder="1" applyAlignment="1">
      <alignment horizontal="center" vertical="center" shrinkToFit="1"/>
    </xf>
    <xf numFmtId="0" fontId="39" fillId="0" borderId="78" xfId="16" applyFont="1" applyBorder="1" applyAlignment="1">
      <alignment horizontal="center" vertical="center" shrinkToFit="1"/>
    </xf>
    <xf numFmtId="0" fontId="68" fillId="0" borderId="72" xfId="16" applyFont="1" applyBorder="1" applyAlignment="1">
      <alignment horizontal="center" vertical="center"/>
    </xf>
    <xf numFmtId="0" fontId="68" fillId="0" borderId="0" xfId="16" applyFont="1" applyAlignment="1">
      <alignment horizontal="center" vertical="center"/>
    </xf>
    <xf numFmtId="0" fontId="39" fillId="0" borderId="24" xfId="16" applyFont="1" applyBorder="1" applyAlignment="1">
      <alignment horizontal="center" vertical="center" wrapText="1"/>
    </xf>
    <xf numFmtId="0" fontId="39" fillId="0" borderId="7" xfId="16" applyFont="1" applyBorder="1" applyAlignment="1">
      <alignment horizontal="center" vertical="center" wrapText="1"/>
    </xf>
    <xf numFmtId="0" fontId="39" fillId="0" borderId="25" xfId="16" applyFont="1" applyBorder="1" applyAlignment="1">
      <alignment horizontal="center" vertical="center" wrapText="1"/>
    </xf>
    <xf numFmtId="0" fontId="39" fillId="0" borderId="10" xfId="16" applyFont="1" applyBorder="1" applyAlignment="1">
      <alignment horizontal="center" vertical="center" wrapText="1"/>
    </xf>
    <xf numFmtId="0" fontId="62" fillId="0" borderId="0" xfId="16" applyFont="1" applyAlignment="1">
      <alignment horizontal="center" vertical="center"/>
    </xf>
    <xf numFmtId="0" fontId="107" fillId="0" borderId="0" xfId="16" applyFont="1" applyAlignment="1">
      <alignment horizontal="center" vertical="center"/>
    </xf>
    <xf numFmtId="0" fontId="107" fillId="0" borderId="55" xfId="16" applyFont="1" applyBorder="1" applyAlignment="1">
      <alignment horizontal="center" vertical="center"/>
    </xf>
    <xf numFmtId="2" fontId="38" fillId="0" borderId="0" xfId="16" applyNumberFormat="1" applyFont="1" applyAlignment="1">
      <alignment horizontal="center" vertical="center" shrinkToFit="1"/>
    </xf>
    <xf numFmtId="0" fontId="76" fillId="0" borderId="76" xfId="16" applyFont="1" applyBorder="1" applyAlignment="1">
      <alignment horizontal="center" vertical="center" shrinkToFit="1"/>
    </xf>
    <xf numFmtId="0" fontId="76" fillId="0" borderId="0" xfId="16" applyFont="1" applyAlignment="1">
      <alignment horizontal="center" vertical="center" shrinkToFit="1"/>
    </xf>
    <xf numFmtId="0" fontId="76" fillId="0" borderId="13" xfId="16" applyFont="1" applyBorder="1" applyAlignment="1">
      <alignment horizontal="center" vertical="center" shrinkToFit="1"/>
    </xf>
    <xf numFmtId="0" fontId="76" fillId="0" borderId="77" xfId="16" applyFont="1" applyBorder="1" applyAlignment="1">
      <alignment horizontal="center" vertical="center" shrinkToFit="1"/>
    </xf>
    <xf numFmtId="0" fontId="76" fillId="0" borderId="28" xfId="16" applyFont="1" applyBorder="1" applyAlignment="1">
      <alignment horizontal="center" vertical="center" shrinkToFit="1"/>
    </xf>
    <xf numFmtId="0" fontId="76" fillId="0" borderId="10" xfId="16" applyFont="1" applyBorder="1" applyAlignment="1">
      <alignment horizontal="center" vertical="center" shrinkToFit="1"/>
    </xf>
    <xf numFmtId="0" fontId="38" fillId="0" borderId="0" xfId="0" applyFont="1" applyAlignment="1">
      <alignment horizontal="center" vertical="center" textRotation="120"/>
    </xf>
    <xf numFmtId="0" fontId="74" fillId="0" borderId="24" xfId="16" applyFont="1" applyBorder="1" applyAlignment="1">
      <alignment horizontal="center" vertical="center" wrapText="1"/>
    </xf>
    <xf numFmtId="0" fontId="74" fillId="0" borderId="7" xfId="16" applyFont="1" applyBorder="1" applyAlignment="1">
      <alignment horizontal="center" vertical="center" wrapText="1"/>
    </xf>
    <xf numFmtId="0" fontId="74" fillId="0" borderId="25" xfId="16" applyFont="1" applyBorder="1" applyAlignment="1">
      <alignment horizontal="center" vertical="center" wrapText="1"/>
    </xf>
    <xf numFmtId="0" fontId="74" fillId="0" borderId="10" xfId="16" applyFont="1" applyBorder="1" applyAlignment="1">
      <alignment horizontal="center" vertical="center" wrapText="1"/>
    </xf>
    <xf numFmtId="0" fontId="38" fillId="0" borderId="0" xfId="16" applyFont="1" applyAlignment="1">
      <alignment horizontal="left" vertical="center"/>
    </xf>
    <xf numFmtId="0" fontId="38" fillId="0" borderId="12" xfId="16" applyFont="1" applyBorder="1" applyAlignment="1">
      <alignment horizontal="center"/>
    </xf>
    <xf numFmtId="200" fontId="1" fillId="0" borderId="27" xfId="2" applyNumberFormat="1" applyFont="1" applyBorder="1" applyAlignment="1">
      <alignment horizontal="center"/>
    </xf>
    <xf numFmtId="200" fontId="0" fillId="0" borderId="9" xfId="2" applyNumberFormat="1" applyFont="1" applyBorder="1" applyAlignment="1">
      <alignment horizontal="center"/>
    </xf>
    <xf numFmtId="200" fontId="0" fillId="0" borderId="8" xfId="2" applyNumberFormat="1" applyFont="1" applyBorder="1" applyAlignment="1">
      <alignment horizontal="center"/>
    </xf>
    <xf numFmtId="43" fontId="1" fillId="0" borderId="12" xfId="2" applyFont="1" applyBorder="1" applyAlignment="1">
      <alignment horizontal="center"/>
    </xf>
    <xf numFmtId="43" fontId="0" fillId="0" borderId="12" xfId="2" applyFont="1" applyBorder="1" applyAlignment="1">
      <alignment horizontal="center"/>
    </xf>
    <xf numFmtId="43" fontId="0" fillId="0" borderId="0" xfId="2" applyFont="1" applyAlignment="1">
      <alignment horizontal="center"/>
    </xf>
    <xf numFmtId="0" fontId="13" fillId="0" borderId="12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39" fontId="13" fillId="0" borderId="26" xfId="0" applyNumberFormat="1" applyFont="1" applyBorder="1" applyAlignment="1">
      <alignment horizontal="left"/>
    </xf>
    <xf numFmtId="39" fontId="13" fillId="0" borderId="13" xfId="0" applyNumberFormat="1" applyFont="1" applyBorder="1" applyAlignment="1">
      <alignment horizontal="left"/>
    </xf>
    <xf numFmtId="0" fontId="24" fillId="0" borderId="26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3" fillId="0" borderId="26" xfId="0" applyFont="1" applyBorder="1"/>
    <xf numFmtId="0" fontId="13" fillId="0" borderId="13" xfId="0" applyFont="1" applyBorder="1"/>
    <xf numFmtId="0" fontId="26" fillId="0" borderId="26" xfId="0" applyFont="1" applyBorder="1" applyAlignment="1">
      <alignment horizontal="center"/>
    </xf>
    <xf numFmtId="0" fontId="29" fillId="16" borderId="26" xfId="0" applyFont="1" applyFill="1" applyBorder="1" applyAlignment="1">
      <alignment horizontal="center"/>
    </xf>
    <xf numFmtId="0" fontId="29" fillId="16" borderId="13" xfId="0" applyFont="1" applyFill="1" applyBorder="1" applyAlignment="1">
      <alignment horizontal="center"/>
    </xf>
    <xf numFmtId="0" fontId="8" fillId="0" borderId="26" xfId="0" applyFont="1" applyBorder="1"/>
    <xf numFmtId="0" fontId="8" fillId="0" borderId="13" xfId="0" applyFont="1" applyBorder="1"/>
    <xf numFmtId="43" fontId="13" fillId="0" borderId="99" xfId="2" applyFont="1" applyBorder="1" applyAlignment="1" applyProtection="1">
      <alignment horizontal="center"/>
    </xf>
    <xf numFmtId="43" fontId="13" fillId="0" borderId="100" xfId="2" applyFont="1" applyBorder="1" applyAlignment="1" applyProtection="1">
      <alignment horizontal="center"/>
    </xf>
    <xf numFmtId="43" fontId="13" fillId="0" borderId="0" xfId="2" applyFont="1" applyBorder="1" applyAlignment="1" applyProtection="1">
      <alignment horizontal="center"/>
    </xf>
    <xf numFmtId="43" fontId="13" fillId="0" borderId="13" xfId="2" applyFont="1" applyBorder="1" applyAlignment="1" applyProtection="1">
      <alignment horizontal="center"/>
    </xf>
    <xf numFmtId="0" fontId="13" fillId="0" borderId="26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13" xfId="0" applyFont="1" applyBorder="1" applyAlignment="1">
      <alignment horizontal="left"/>
    </xf>
    <xf numFmtId="192" fontId="13" fillId="0" borderId="29" xfId="0" applyNumberFormat="1" applyFont="1" applyBorder="1" applyAlignment="1">
      <alignment horizontal="center"/>
    </xf>
    <xf numFmtId="4" fontId="13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3" fontId="13" fillId="0" borderId="27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3" fontId="13" fillId="0" borderId="8" xfId="0" applyNumberFormat="1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3" fontId="13" fillId="0" borderId="24" xfId="0" applyNumberFormat="1" applyFont="1" applyBorder="1" applyAlignment="1">
      <alignment horizontal="center"/>
    </xf>
    <xf numFmtId="3" fontId="13" fillId="0" borderId="7" xfId="0" applyNumberFormat="1" applyFont="1" applyBorder="1" applyAlignment="1">
      <alignment horizontal="center"/>
    </xf>
    <xf numFmtId="0" fontId="13" fillId="0" borderId="24" xfId="0" applyFont="1" applyBorder="1" applyAlignment="1">
      <alignment horizontal="left"/>
    </xf>
    <xf numFmtId="0" fontId="13" fillId="0" borderId="29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43" fontId="13" fillId="0" borderId="29" xfId="2" applyFont="1" applyBorder="1" applyAlignment="1" applyProtection="1">
      <alignment horizontal="center"/>
    </xf>
    <xf numFmtId="43" fontId="13" fillId="0" borderId="7" xfId="2" applyFont="1" applyBorder="1" applyAlignment="1" applyProtection="1">
      <alignment horizontal="center"/>
    </xf>
    <xf numFmtId="0" fontId="13" fillId="0" borderId="25" xfId="0" applyFont="1" applyBorder="1" applyAlignment="1">
      <alignment horizontal="left"/>
    </xf>
    <xf numFmtId="0" fontId="13" fillId="0" borderId="28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43" fontId="13" fillId="0" borderId="28" xfId="2" applyFont="1" applyBorder="1" applyAlignment="1" applyProtection="1">
      <alignment horizontal="center"/>
    </xf>
    <xf numFmtId="43" fontId="13" fillId="0" borderId="10" xfId="2" applyFont="1" applyBorder="1" applyAlignment="1" applyProtection="1">
      <alignment horizontal="center"/>
    </xf>
    <xf numFmtId="43" fontId="13" fillId="0" borderId="27" xfId="2" applyFont="1" applyBorder="1" applyAlignment="1" applyProtection="1">
      <alignment horizontal="center"/>
    </xf>
    <xf numFmtId="43" fontId="13" fillId="0" borderId="8" xfId="2" applyFont="1" applyBorder="1" applyAlignment="1" applyProtection="1">
      <alignment horizontal="center"/>
    </xf>
  </cellXfs>
  <cellStyles count="22">
    <cellStyle name="Comma_Conc_อบจสบ" xfId="3" xr:uid="{00000000-0005-0000-0000-000002000000}"/>
    <cellStyle name="Normal_47อบ.23017" xfId="5" xr:uid="{00000000-0005-0000-0000-000005000000}"/>
    <cellStyle name="Normal_Conc_อบจสบ" xfId="6" xr:uid="{00000000-0005-0000-0000-000006000000}"/>
    <cellStyle name="Normal_RC_Road" xfId="7" xr:uid="{00000000-0005-0000-0000-000007000000}"/>
    <cellStyle name="Normal_สรุปผลการประเมินราคา" xfId="8" xr:uid="{00000000-0005-0000-0000-000008000000}"/>
    <cellStyle name="การคำนวณ" xfId="1" builtinId="22" customBuiltin="1"/>
    <cellStyle name="เครื่องหมายจุลภาค 2" xfId="10" xr:uid="{00000000-0005-0000-0000-00000A000000}"/>
    <cellStyle name="เครื่องหมายจุลภาค 2 2" xfId="11" xr:uid="{00000000-0005-0000-0000-00000B000000}"/>
    <cellStyle name="เครื่องหมายจุลภาค 3" xfId="12" xr:uid="{00000000-0005-0000-0000-00000C000000}"/>
    <cellStyle name="เครื่องหมายจุลภาค 4" xfId="13" xr:uid="{00000000-0005-0000-0000-00000D000000}"/>
    <cellStyle name="จุลภาค" xfId="2" builtinId="3"/>
    <cellStyle name="ปกติ" xfId="0" builtinId="0"/>
    <cellStyle name="ปกติ 2" xfId="14" xr:uid="{00000000-0005-0000-0000-00000E000000}"/>
    <cellStyle name="ปกติ 3" xfId="15" xr:uid="{00000000-0005-0000-0000-00000F000000}"/>
    <cellStyle name="ปกติ 4" xfId="16" xr:uid="{00000000-0005-0000-0000-000010000000}"/>
    <cellStyle name="ปกติ_CapeSeal_Road" xfId="17" xr:uid="{00000000-0005-0000-0000-000011000000}"/>
    <cellStyle name="ปกติ_Sheet1" xfId="18" xr:uid="{00000000-0005-0000-0000-000012000000}"/>
    <cellStyle name="ปกติ_Sheet3" xfId="19" xr:uid="{00000000-0005-0000-0000-000013000000}"/>
    <cellStyle name="ป้อนค่า" xfId="4" builtinId="20" customBuiltin="1"/>
    <cellStyle name="เปอร์เซ็นต์" xfId="9" builtinId="5"/>
    <cellStyle name="เปอร์เซ็นต์ 2" xfId="20" xr:uid="{00000000-0005-0000-0000-000014000000}"/>
    <cellStyle name="เปอร์เซ็นต์ 3" xfId="21" xr:uid="{00000000-0005-0000-0000-000015000000}"/>
  </cellStyles>
  <dxfs count="3"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535632</xdr:colOff>
      <xdr:row>10</xdr:row>
      <xdr:rowOff>98451</xdr:rowOff>
    </xdr:from>
    <xdr:to>
      <xdr:col>7</xdr:col>
      <xdr:colOff>674755</xdr:colOff>
      <xdr:row>12</xdr:row>
      <xdr:rowOff>142474</xdr:rowOff>
    </xdr:to>
    <xdr:sp macro="" textlink="">
      <xdr:nvSpPr>
        <xdr:cNvPr id="3" name="AutoShape 12">
          <a:extLst>
            <a:ext uri="{FF2B5EF4-FFF2-40B4-BE49-F238E27FC236}">
              <a16:creationId xmlns:a16="http://schemas.microsoft.com/office/drawing/2014/main" id="{74F578F7-80B8-4786-8942-BF9B03F201CB}"/>
            </a:ext>
          </a:extLst>
        </xdr:cNvPr>
        <xdr:cNvSpPr>
          <a:spLocks/>
        </xdr:cNvSpPr>
      </xdr:nvSpPr>
      <xdr:spPr bwMode="auto">
        <a:xfrm>
          <a:off x="6866094" y="3249028"/>
          <a:ext cx="1677776" cy="674138"/>
        </a:xfrm>
        <a:prstGeom prst="accentCallout2">
          <a:avLst>
            <a:gd name="adj1" fmla="val 22739"/>
            <a:gd name="adj2" fmla="val -4355"/>
            <a:gd name="adj3" fmla="val 23969"/>
            <a:gd name="adj4" fmla="val -26471"/>
            <a:gd name="adj5" fmla="val 98214"/>
            <a:gd name="adj6" fmla="val -7299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     0 =ไม่มีไหล่</a:t>
          </a:r>
        </a:p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0.50 = ไหล่กว้าง 0.50 ม.</a:t>
          </a:r>
        </a:p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1.00 = ไหล่กว้าง 1.00 ม.</a:t>
          </a:r>
        </a:p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1.50 = ไหล่กว้าง 1.50 ม.</a:t>
          </a:r>
        </a:p>
        <a:p>
          <a:pPr algn="l" rtl="1">
            <a:defRPr sz="1000"/>
          </a:pPr>
          <a:endParaRPr lang="th-TH" sz="1000" b="0" i="0" strike="noStrike">
            <a:solidFill>
              <a:srgbClr val="000000"/>
            </a:solidFill>
            <a:latin typeface="Arial"/>
          </a:endParaRPr>
        </a:p>
        <a:p>
          <a:pPr algn="l" rtl="1">
            <a:defRPr sz="1000"/>
          </a:pPr>
          <a:endParaRPr lang="th-TH" sz="1000" b="0" i="0" strike="noStrike">
            <a:solidFill>
              <a:srgbClr val="000000"/>
            </a:solidFill>
            <a:latin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5</xdr:row>
      <xdr:rowOff>28575</xdr:rowOff>
    </xdr:from>
    <xdr:to>
      <xdr:col>5</xdr:col>
      <xdr:colOff>257175</xdr:colOff>
      <xdr:row>5</xdr:row>
      <xdr:rowOff>209550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F4D1112B-8CBF-40BB-9D22-515E11FB4D25}"/>
            </a:ext>
          </a:extLst>
        </xdr:cNvPr>
        <xdr:cNvSpPr>
          <a:spLocks noChangeArrowheads="1"/>
        </xdr:cNvSpPr>
      </xdr:nvSpPr>
      <xdr:spPr bwMode="auto">
        <a:xfrm>
          <a:off x="9705975" y="1219200"/>
          <a:ext cx="161925" cy="1809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95250</xdr:colOff>
      <xdr:row>6</xdr:row>
      <xdr:rowOff>28575</xdr:rowOff>
    </xdr:from>
    <xdr:to>
      <xdr:col>5</xdr:col>
      <xdr:colOff>257175</xdr:colOff>
      <xdr:row>6</xdr:row>
      <xdr:rowOff>209550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6B4B3D17-C241-4380-B938-46441482F4BC}"/>
            </a:ext>
          </a:extLst>
        </xdr:cNvPr>
        <xdr:cNvSpPr>
          <a:spLocks noChangeArrowheads="1"/>
        </xdr:cNvSpPr>
      </xdr:nvSpPr>
      <xdr:spPr bwMode="auto">
        <a:xfrm>
          <a:off x="9705975" y="1457325"/>
          <a:ext cx="161925" cy="1809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95250</xdr:colOff>
      <xdr:row>7</xdr:row>
      <xdr:rowOff>28575</xdr:rowOff>
    </xdr:from>
    <xdr:to>
      <xdr:col>5</xdr:col>
      <xdr:colOff>257175</xdr:colOff>
      <xdr:row>7</xdr:row>
      <xdr:rowOff>209550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18A48BCF-6611-4AAA-87D1-C2FDA6A118D5}"/>
            </a:ext>
          </a:extLst>
        </xdr:cNvPr>
        <xdr:cNvSpPr>
          <a:spLocks noChangeArrowheads="1"/>
        </xdr:cNvSpPr>
      </xdr:nvSpPr>
      <xdr:spPr bwMode="auto">
        <a:xfrm>
          <a:off x="9705975" y="1695450"/>
          <a:ext cx="161925" cy="1809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17318</xdr:colOff>
      <xdr:row>28</xdr:row>
      <xdr:rowOff>17318</xdr:rowOff>
    </xdr:from>
    <xdr:to>
      <xdr:col>12</xdr:col>
      <xdr:colOff>17318</xdr:colOff>
      <xdr:row>52</xdr:row>
      <xdr:rowOff>103910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6DBE591C-7536-4207-9C95-4ECEA31FDA14}"/>
            </a:ext>
          </a:extLst>
        </xdr:cNvPr>
        <xdr:cNvCxnSpPr/>
      </xdr:nvCxnSpPr>
      <xdr:spPr>
        <a:xfrm>
          <a:off x="9750136" y="7983682"/>
          <a:ext cx="0" cy="673677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31</xdr:row>
      <xdr:rowOff>114300</xdr:rowOff>
    </xdr:from>
    <xdr:to>
      <xdr:col>9</xdr:col>
      <xdr:colOff>590550</xdr:colOff>
      <xdr:row>51</xdr:row>
      <xdr:rowOff>247650</xdr:rowOff>
    </xdr:to>
    <xdr:sp macro="" textlink="">
      <xdr:nvSpPr>
        <xdr:cNvPr id="53734" name="Picture 1">
          <a:extLst>
            <a:ext uri="{FF2B5EF4-FFF2-40B4-BE49-F238E27FC236}">
              <a16:creationId xmlns:a16="http://schemas.microsoft.com/office/drawing/2014/main" id="{D0648D69-7A0B-426D-9D1F-4871D35BF01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3535025"/>
          <a:ext cx="5762625" cy="5762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76200</xdr:colOff>
      <xdr:row>71</xdr:row>
      <xdr:rowOff>285750</xdr:rowOff>
    </xdr:from>
    <xdr:to>
      <xdr:col>7</xdr:col>
      <xdr:colOff>276225</xdr:colOff>
      <xdr:row>72</xdr:row>
      <xdr:rowOff>66675</xdr:rowOff>
    </xdr:to>
    <xdr:sp macro="" textlink="">
      <xdr:nvSpPr>
        <xdr:cNvPr id="53735" name="Freeform 116">
          <a:extLst>
            <a:ext uri="{FF2B5EF4-FFF2-40B4-BE49-F238E27FC236}">
              <a16:creationId xmlns:a16="http://schemas.microsoft.com/office/drawing/2014/main" id="{1237F144-FCBA-419F-BDFB-423F599C109C}"/>
            </a:ext>
          </a:extLst>
        </xdr:cNvPr>
        <xdr:cNvSpPr>
          <a:spLocks/>
        </xdr:cNvSpPr>
      </xdr:nvSpPr>
      <xdr:spPr bwMode="auto">
        <a:xfrm>
          <a:off x="76200" y="25393650"/>
          <a:ext cx="4772025" cy="66675"/>
        </a:xfrm>
        <a:custGeom>
          <a:avLst/>
          <a:gdLst>
            <a:gd name="T0" fmla="*/ 0 w 343"/>
            <a:gd name="T1" fmla="*/ 2147483646 h 8"/>
            <a:gd name="T2" fmla="*/ 2147483646 w 343"/>
            <a:gd name="T3" fmla="*/ 2147483646 h 8"/>
            <a:gd name="T4" fmla="*/ 2147483646 w 343"/>
            <a:gd name="T5" fmla="*/ 2147483646 h 8"/>
            <a:gd name="T6" fmla="*/ 2147483646 w 343"/>
            <a:gd name="T7" fmla="*/ 2147483646 h 8"/>
            <a:gd name="T8" fmla="*/ 2147483646 w 343"/>
            <a:gd name="T9" fmla="*/ 2147483646 h 8"/>
            <a:gd name="T10" fmla="*/ 2147483646 w 343"/>
            <a:gd name="T11" fmla="*/ 2147483646 h 8"/>
            <a:gd name="T12" fmla="*/ 2147483646 w 343"/>
            <a:gd name="T13" fmla="*/ 2147483646 h 8"/>
            <a:gd name="T14" fmla="*/ 2147483646 w 343"/>
            <a:gd name="T15" fmla="*/ 2147483646 h 8"/>
            <a:gd name="T16" fmla="*/ 2147483646 w 343"/>
            <a:gd name="T17" fmla="*/ 2147483646 h 8"/>
            <a:gd name="T18" fmla="*/ 2147483646 w 343"/>
            <a:gd name="T19" fmla="*/ 2147483646 h 8"/>
            <a:gd name="T20" fmla="*/ 2147483646 w 343"/>
            <a:gd name="T21" fmla="*/ 2147483646 h 8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w 343"/>
            <a:gd name="T34" fmla="*/ 0 h 8"/>
            <a:gd name="T35" fmla="*/ 343 w 343"/>
            <a:gd name="T36" fmla="*/ 8 h 8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T33" t="T34" r="T35" b="T36"/>
          <a:pathLst>
            <a:path w="343" h="8">
              <a:moveTo>
                <a:pt x="0" y="3"/>
              </a:moveTo>
              <a:cubicBezTo>
                <a:pt x="12" y="4"/>
                <a:pt x="14" y="5"/>
                <a:pt x="26" y="4"/>
              </a:cubicBezTo>
              <a:cubicBezTo>
                <a:pt x="32" y="0"/>
                <a:pt x="39" y="1"/>
                <a:pt x="45" y="5"/>
              </a:cubicBezTo>
              <a:cubicBezTo>
                <a:pt x="79" y="2"/>
                <a:pt x="114" y="5"/>
                <a:pt x="148" y="4"/>
              </a:cubicBezTo>
              <a:cubicBezTo>
                <a:pt x="168" y="6"/>
                <a:pt x="187" y="6"/>
                <a:pt x="207" y="8"/>
              </a:cubicBezTo>
              <a:cubicBezTo>
                <a:pt x="213" y="7"/>
                <a:pt x="223" y="3"/>
                <a:pt x="223" y="3"/>
              </a:cubicBezTo>
              <a:cubicBezTo>
                <a:pt x="233" y="4"/>
                <a:pt x="241" y="5"/>
                <a:pt x="251" y="6"/>
              </a:cubicBezTo>
              <a:cubicBezTo>
                <a:pt x="260" y="5"/>
                <a:pt x="270" y="6"/>
                <a:pt x="279" y="3"/>
              </a:cubicBezTo>
              <a:cubicBezTo>
                <a:pt x="286" y="3"/>
                <a:pt x="294" y="3"/>
                <a:pt x="301" y="4"/>
              </a:cubicBezTo>
              <a:cubicBezTo>
                <a:pt x="303" y="4"/>
                <a:pt x="307" y="6"/>
                <a:pt x="307" y="6"/>
              </a:cubicBezTo>
              <a:cubicBezTo>
                <a:pt x="321" y="6"/>
                <a:pt x="331" y="2"/>
                <a:pt x="343" y="2"/>
              </a:cubicBezTo>
            </a:path>
          </a:pathLst>
        </a:cu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219075</xdr:colOff>
      <xdr:row>71</xdr:row>
      <xdr:rowOff>257175</xdr:rowOff>
    </xdr:from>
    <xdr:to>
      <xdr:col>13</xdr:col>
      <xdr:colOff>76200</xdr:colOff>
      <xdr:row>72</xdr:row>
      <xdr:rowOff>57150</xdr:rowOff>
    </xdr:to>
    <xdr:sp macro="" textlink="">
      <xdr:nvSpPr>
        <xdr:cNvPr id="53736" name="Freeform 117">
          <a:extLst>
            <a:ext uri="{FF2B5EF4-FFF2-40B4-BE49-F238E27FC236}">
              <a16:creationId xmlns:a16="http://schemas.microsoft.com/office/drawing/2014/main" id="{B1D7676C-E67C-456E-BBC0-2727C4DAB679}"/>
            </a:ext>
          </a:extLst>
        </xdr:cNvPr>
        <xdr:cNvSpPr>
          <a:spLocks/>
        </xdr:cNvSpPr>
      </xdr:nvSpPr>
      <xdr:spPr bwMode="auto">
        <a:xfrm>
          <a:off x="4791075" y="25374600"/>
          <a:ext cx="3857625" cy="76200"/>
        </a:xfrm>
        <a:custGeom>
          <a:avLst/>
          <a:gdLst>
            <a:gd name="T0" fmla="*/ 0 w 369"/>
            <a:gd name="T1" fmla="*/ 2147483646 h 7"/>
            <a:gd name="T2" fmla="*/ 2147483646 w 369"/>
            <a:gd name="T3" fmla="*/ 2147483646 h 7"/>
            <a:gd name="T4" fmla="*/ 2147483646 w 369"/>
            <a:gd name="T5" fmla="*/ 2147483646 h 7"/>
            <a:gd name="T6" fmla="*/ 2147483646 w 369"/>
            <a:gd name="T7" fmla="*/ 2147483646 h 7"/>
            <a:gd name="T8" fmla="*/ 2147483646 w 369"/>
            <a:gd name="T9" fmla="*/ 0 h 7"/>
            <a:gd name="T10" fmla="*/ 2147483646 w 369"/>
            <a:gd name="T11" fmla="*/ 2147483646 h 7"/>
            <a:gd name="T12" fmla="*/ 0 60000 65536"/>
            <a:gd name="T13" fmla="*/ 0 60000 65536"/>
            <a:gd name="T14" fmla="*/ 0 60000 65536"/>
            <a:gd name="T15" fmla="*/ 0 60000 65536"/>
            <a:gd name="T16" fmla="*/ 0 60000 65536"/>
            <a:gd name="T17" fmla="*/ 0 60000 65536"/>
            <a:gd name="T18" fmla="*/ 0 w 369"/>
            <a:gd name="T19" fmla="*/ 0 h 7"/>
            <a:gd name="T20" fmla="*/ 369 w 369"/>
            <a:gd name="T21" fmla="*/ 7 h 7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369" h="7">
              <a:moveTo>
                <a:pt x="0" y="3"/>
              </a:moveTo>
              <a:cubicBezTo>
                <a:pt x="10" y="5"/>
                <a:pt x="17" y="6"/>
                <a:pt x="28" y="7"/>
              </a:cubicBezTo>
              <a:cubicBezTo>
                <a:pt x="63" y="5"/>
                <a:pt x="92" y="4"/>
                <a:pt x="129" y="3"/>
              </a:cubicBezTo>
              <a:cubicBezTo>
                <a:pt x="160" y="0"/>
                <a:pt x="191" y="3"/>
                <a:pt x="222" y="4"/>
              </a:cubicBezTo>
              <a:cubicBezTo>
                <a:pt x="249" y="7"/>
                <a:pt x="277" y="2"/>
                <a:pt x="304" y="0"/>
              </a:cubicBezTo>
              <a:cubicBezTo>
                <a:pt x="326" y="1"/>
                <a:pt x="347" y="4"/>
                <a:pt x="369" y="4"/>
              </a:cubicBezTo>
            </a:path>
          </a:pathLst>
        </a:cu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495300</xdr:colOff>
      <xdr:row>71</xdr:row>
      <xdr:rowOff>257175</xdr:rowOff>
    </xdr:from>
    <xdr:to>
      <xdr:col>20</xdr:col>
      <xdr:colOff>352425</xdr:colOff>
      <xdr:row>72</xdr:row>
      <xdr:rowOff>123825</xdr:rowOff>
    </xdr:to>
    <xdr:sp macro="" textlink="">
      <xdr:nvSpPr>
        <xdr:cNvPr id="53737" name="Freeform 118">
          <a:extLst>
            <a:ext uri="{FF2B5EF4-FFF2-40B4-BE49-F238E27FC236}">
              <a16:creationId xmlns:a16="http://schemas.microsoft.com/office/drawing/2014/main" id="{D85069C3-13DA-47DE-9E39-69C5C088A2C6}"/>
            </a:ext>
          </a:extLst>
        </xdr:cNvPr>
        <xdr:cNvSpPr>
          <a:spLocks/>
        </xdr:cNvSpPr>
      </xdr:nvSpPr>
      <xdr:spPr bwMode="auto">
        <a:xfrm>
          <a:off x="8401050" y="25374600"/>
          <a:ext cx="5667375" cy="142875"/>
        </a:xfrm>
        <a:custGeom>
          <a:avLst/>
          <a:gdLst>
            <a:gd name="T0" fmla="*/ 0 w 376"/>
            <a:gd name="T1" fmla="*/ 2147483646 h 17"/>
            <a:gd name="T2" fmla="*/ 2147483646 w 376"/>
            <a:gd name="T3" fmla="*/ 2147483646 h 17"/>
            <a:gd name="T4" fmla="*/ 2147483646 w 376"/>
            <a:gd name="T5" fmla="*/ 2147483646 h 17"/>
            <a:gd name="T6" fmla="*/ 2147483646 w 376"/>
            <a:gd name="T7" fmla="*/ 2147483646 h 17"/>
            <a:gd name="T8" fmla="*/ 2147483646 w 376"/>
            <a:gd name="T9" fmla="*/ 2147483646 h 17"/>
            <a:gd name="T10" fmla="*/ 2147483646 w 376"/>
            <a:gd name="T11" fmla="*/ 2147483646 h 17"/>
            <a:gd name="T12" fmla="*/ 0 60000 65536"/>
            <a:gd name="T13" fmla="*/ 0 60000 65536"/>
            <a:gd name="T14" fmla="*/ 0 60000 65536"/>
            <a:gd name="T15" fmla="*/ 0 60000 65536"/>
            <a:gd name="T16" fmla="*/ 0 60000 65536"/>
            <a:gd name="T17" fmla="*/ 0 60000 65536"/>
            <a:gd name="T18" fmla="*/ 0 w 376"/>
            <a:gd name="T19" fmla="*/ 0 h 17"/>
            <a:gd name="T20" fmla="*/ 376 w 376"/>
            <a:gd name="T21" fmla="*/ 17 h 17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376" h="17">
              <a:moveTo>
                <a:pt x="0" y="5"/>
              </a:moveTo>
              <a:cubicBezTo>
                <a:pt x="23" y="4"/>
                <a:pt x="36" y="3"/>
                <a:pt x="59" y="4"/>
              </a:cubicBezTo>
              <a:cubicBezTo>
                <a:pt x="79" y="17"/>
                <a:pt x="111" y="6"/>
                <a:pt x="136" y="4"/>
              </a:cubicBezTo>
              <a:cubicBezTo>
                <a:pt x="184" y="7"/>
                <a:pt x="165" y="6"/>
                <a:pt x="195" y="8"/>
              </a:cubicBezTo>
              <a:cubicBezTo>
                <a:pt x="225" y="5"/>
                <a:pt x="256" y="4"/>
                <a:pt x="286" y="3"/>
              </a:cubicBezTo>
              <a:cubicBezTo>
                <a:pt x="316" y="0"/>
                <a:pt x="346" y="6"/>
                <a:pt x="376" y="6"/>
              </a:cubicBezTo>
            </a:path>
          </a:pathLst>
        </a:custGeom>
        <a:noFill/>
        <a:ln w="381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57150</xdr:colOff>
      <xdr:row>68</xdr:row>
      <xdr:rowOff>257175</xdr:rowOff>
    </xdr:from>
    <xdr:to>
      <xdr:col>15</xdr:col>
      <xdr:colOff>276225</xdr:colOff>
      <xdr:row>69</xdr:row>
      <xdr:rowOff>76200</xdr:rowOff>
    </xdr:to>
    <xdr:sp macro="" textlink="">
      <xdr:nvSpPr>
        <xdr:cNvPr id="53738" name="Line 119">
          <a:extLst>
            <a:ext uri="{FF2B5EF4-FFF2-40B4-BE49-F238E27FC236}">
              <a16:creationId xmlns:a16="http://schemas.microsoft.com/office/drawing/2014/main" id="{0DB855A2-05B0-411E-8816-615CA905D1B6}"/>
            </a:ext>
          </a:extLst>
        </xdr:cNvPr>
        <xdr:cNvSpPr>
          <a:spLocks noChangeShapeType="1"/>
        </xdr:cNvSpPr>
      </xdr:nvSpPr>
      <xdr:spPr bwMode="auto">
        <a:xfrm>
          <a:off x="6629400" y="24545925"/>
          <a:ext cx="4171950" cy="952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69</xdr:row>
      <xdr:rowOff>66675</xdr:rowOff>
    </xdr:from>
    <xdr:to>
      <xdr:col>4</xdr:col>
      <xdr:colOff>428625</xdr:colOff>
      <xdr:row>71</xdr:row>
      <xdr:rowOff>266700</xdr:rowOff>
    </xdr:to>
    <xdr:sp macro="" textlink="">
      <xdr:nvSpPr>
        <xdr:cNvPr id="53739" name="Line 120">
          <a:extLst>
            <a:ext uri="{FF2B5EF4-FFF2-40B4-BE49-F238E27FC236}">
              <a16:creationId xmlns:a16="http://schemas.microsoft.com/office/drawing/2014/main" id="{F992D0F3-55F0-473C-B6A9-AD2A6082CCEA}"/>
            </a:ext>
          </a:extLst>
        </xdr:cNvPr>
        <xdr:cNvSpPr>
          <a:spLocks noChangeShapeType="1"/>
        </xdr:cNvSpPr>
      </xdr:nvSpPr>
      <xdr:spPr bwMode="auto">
        <a:xfrm flipH="1">
          <a:off x="1495425" y="24631650"/>
          <a:ext cx="150495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238125</xdr:colOff>
      <xdr:row>69</xdr:row>
      <xdr:rowOff>66675</xdr:rowOff>
    </xdr:from>
    <xdr:to>
      <xdr:col>18</xdr:col>
      <xdr:colOff>304800</xdr:colOff>
      <xdr:row>72</xdr:row>
      <xdr:rowOff>0</xdr:rowOff>
    </xdr:to>
    <xdr:sp macro="" textlink="">
      <xdr:nvSpPr>
        <xdr:cNvPr id="53740" name="Line 121">
          <a:extLst>
            <a:ext uri="{FF2B5EF4-FFF2-40B4-BE49-F238E27FC236}">
              <a16:creationId xmlns:a16="http://schemas.microsoft.com/office/drawing/2014/main" id="{E453A6C5-8CC6-4C4A-ACBE-CB6B2AB9D83A}"/>
            </a:ext>
          </a:extLst>
        </xdr:cNvPr>
        <xdr:cNvSpPr>
          <a:spLocks noChangeShapeType="1"/>
        </xdr:cNvSpPr>
      </xdr:nvSpPr>
      <xdr:spPr bwMode="auto">
        <a:xfrm>
          <a:off x="10763250" y="24631650"/>
          <a:ext cx="2228850" cy="762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247650</xdr:colOff>
      <xdr:row>65</xdr:row>
      <xdr:rowOff>76200</xdr:rowOff>
    </xdr:from>
    <xdr:to>
      <xdr:col>15</xdr:col>
      <xdr:colOff>438150</xdr:colOff>
      <xdr:row>65</xdr:row>
      <xdr:rowOff>76200</xdr:rowOff>
    </xdr:to>
    <xdr:sp macro="" textlink="">
      <xdr:nvSpPr>
        <xdr:cNvPr id="53741" name="Line 122">
          <a:extLst>
            <a:ext uri="{FF2B5EF4-FFF2-40B4-BE49-F238E27FC236}">
              <a16:creationId xmlns:a16="http://schemas.microsoft.com/office/drawing/2014/main" id="{2CE353AD-0596-4E75-BF9B-F7F1969964DF}"/>
            </a:ext>
          </a:extLst>
        </xdr:cNvPr>
        <xdr:cNvSpPr>
          <a:spLocks noChangeShapeType="1"/>
        </xdr:cNvSpPr>
      </xdr:nvSpPr>
      <xdr:spPr bwMode="auto">
        <a:xfrm>
          <a:off x="2819400" y="23536275"/>
          <a:ext cx="8143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352425</xdr:colOff>
      <xdr:row>65</xdr:row>
      <xdr:rowOff>19050</xdr:rowOff>
    </xdr:from>
    <xdr:to>
      <xdr:col>4</xdr:col>
      <xdr:colOff>523875</xdr:colOff>
      <xdr:row>65</xdr:row>
      <xdr:rowOff>133350</xdr:rowOff>
    </xdr:to>
    <xdr:sp macro="" textlink="">
      <xdr:nvSpPr>
        <xdr:cNvPr id="53742" name="Line 123">
          <a:extLst>
            <a:ext uri="{FF2B5EF4-FFF2-40B4-BE49-F238E27FC236}">
              <a16:creationId xmlns:a16="http://schemas.microsoft.com/office/drawing/2014/main" id="{EE1BDE79-F964-4238-8269-C03C69AA7E76}"/>
            </a:ext>
          </a:extLst>
        </xdr:cNvPr>
        <xdr:cNvSpPr>
          <a:spLocks noChangeShapeType="1"/>
        </xdr:cNvSpPr>
      </xdr:nvSpPr>
      <xdr:spPr bwMode="auto">
        <a:xfrm flipV="1">
          <a:off x="2924175" y="23479125"/>
          <a:ext cx="17145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228600</xdr:colOff>
      <xdr:row>65</xdr:row>
      <xdr:rowOff>28575</xdr:rowOff>
    </xdr:from>
    <xdr:to>
      <xdr:col>15</xdr:col>
      <xdr:colOff>342900</xdr:colOff>
      <xdr:row>65</xdr:row>
      <xdr:rowOff>142875</xdr:rowOff>
    </xdr:to>
    <xdr:sp macro="" textlink="">
      <xdr:nvSpPr>
        <xdr:cNvPr id="53743" name="Line 124">
          <a:extLst>
            <a:ext uri="{FF2B5EF4-FFF2-40B4-BE49-F238E27FC236}">
              <a16:creationId xmlns:a16="http://schemas.microsoft.com/office/drawing/2014/main" id="{8CDAC7A2-2E78-4A0E-AB5F-967444DA21BB}"/>
            </a:ext>
          </a:extLst>
        </xdr:cNvPr>
        <xdr:cNvSpPr>
          <a:spLocks noChangeShapeType="1"/>
        </xdr:cNvSpPr>
      </xdr:nvSpPr>
      <xdr:spPr bwMode="auto">
        <a:xfrm flipV="1">
          <a:off x="10753725" y="23488650"/>
          <a:ext cx="11430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400050</xdr:colOff>
      <xdr:row>68</xdr:row>
      <xdr:rowOff>219075</xdr:rowOff>
    </xdr:from>
    <xdr:to>
      <xdr:col>8</xdr:col>
      <xdr:colOff>85725</xdr:colOff>
      <xdr:row>68</xdr:row>
      <xdr:rowOff>228600</xdr:rowOff>
    </xdr:to>
    <xdr:sp macro="" textlink="">
      <xdr:nvSpPr>
        <xdr:cNvPr id="53744" name="Line 128">
          <a:extLst>
            <a:ext uri="{FF2B5EF4-FFF2-40B4-BE49-F238E27FC236}">
              <a16:creationId xmlns:a16="http://schemas.microsoft.com/office/drawing/2014/main" id="{81CB457A-4337-46FE-97DD-62121D6B5951}"/>
            </a:ext>
          </a:extLst>
        </xdr:cNvPr>
        <xdr:cNvSpPr>
          <a:spLocks noChangeShapeType="1"/>
        </xdr:cNvSpPr>
      </xdr:nvSpPr>
      <xdr:spPr bwMode="auto">
        <a:xfrm flipH="1">
          <a:off x="4972050" y="245078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571500</xdr:colOff>
      <xdr:row>72</xdr:row>
      <xdr:rowOff>9525</xdr:rowOff>
    </xdr:from>
    <xdr:to>
      <xdr:col>2</xdr:col>
      <xdr:colOff>161925</xdr:colOff>
      <xdr:row>73</xdr:row>
      <xdr:rowOff>0</xdr:rowOff>
    </xdr:to>
    <xdr:sp macro="" textlink="">
      <xdr:nvSpPr>
        <xdr:cNvPr id="53745" name="Line 129">
          <a:extLst>
            <a:ext uri="{FF2B5EF4-FFF2-40B4-BE49-F238E27FC236}">
              <a16:creationId xmlns:a16="http://schemas.microsoft.com/office/drawing/2014/main" id="{EA682491-C2F3-4165-ADCD-23AC9A8C59C5}"/>
            </a:ext>
          </a:extLst>
        </xdr:cNvPr>
        <xdr:cNvSpPr>
          <a:spLocks noChangeShapeType="1"/>
        </xdr:cNvSpPr>
      </xdr:nvSpPr>
      <xdr:spPr bwMode="auto">
        <a:xfrm flipV="1">
          <a:off x="1143000" y="25403175"/>
          <a:ext cx="25717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38100</xdr:colOff>
      <xdr:row>72</xdr:row>
      <xdr:rowOff>9525</xdr:rowOff>
    </xdr:from>
    <xdr:to>
      <xdr:col>2</xdr:col>
      <xdr:colOff>238125</xdr:colOff>
      <xdr:row>73</xdr:row>
      <xdr:rowOff>0</xdr:rowOff>
    </xdr:to>
    <xdr:sp macro="" textlink="">
      <xdr:nvSpPr>
        <xdr:cNvPr id="53746" name="Line 130">
          <a:extLst>
            <a:ext uri="{FF2B5EF4-FFF2-40B4-BE49-F238E27FC236}">
              <a16:creationId xmlns:a16="http://schemas.microsoft.com/office/drawing/2014/main" id="{DC4E18CA-70FB-4527-ACC1-6E906F028127}"/>
            </a:ext>
          </a:extLst>
        </xdr:cNvPr>
        <xdr:cNvSpPr>
          <a:spLocks noChangeShapeType="1"/>
        </xdr:cNvSpPr>
      </xdr:nvSpPr>
      <xdr:spPr bwMode="auto">
        <a:xfrm flipV="1">
          <a:off x="1276350" y="25403175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114300</xdr:colOff>
      <xdr:row>72</xdr:row>
      <xdr:rowOff>9525</xdr:rowOff>
    </xdr:from>
    <xdr:to>
      <xdr:col>2</xdr:col>
      <xdr:colOff>314325</xdr:colOff>
      <xdr:row>73</xdr:row>
      <xdr:rowOff>0</xdr:rowOff>
    </xdr:to>
    <xdr:sp macro="" textlink="">
      <xdr:nvSpPr>
        <xdr:cNvPr id="53747" name="Line 131">
          <a:extLst>
            <a:ext uri="{FF2B5EF4-FFF2-40B4-BE49-F238E27FC236}">
              <a16:creationId xmlns:a16="http://schemas.microsoft.com/office/drawing/2014/main" id="{E5654C15-E97C-4DA4-98BC-65D93056A2CD}"/>
            </a:ext>
          </a:extLst>
        </xdr:cNvPr>
        <xdr:cNvSpPr>
          <a:spLocks noChangeShapeType="1"/>
        </xdr:cNvSpPr>
      </xdr:nvSpPr>
      <xdr:spPr bwMode="auto">
        <a:xfrm flipV="1">
          <a:off x="1352550" y="25403175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190500</xdr:colOff>
      <xdr:row>72</xdr:row>
      <xdr:rowOff>19050</xdr:rowOff>
    </xdr:from>
    <xdr:to>
      <xdr:col>2</xdr:col>
      <xdr:colOff>390525</xdr:colOff>
      <xdr:row>73</xdr:row>
      <xdr:rowOff>9525</xdr:rowOff>
    </xdr:to>
    <xdr:sp macro="" textlink="">
      <xdr:nvSpPr>
        <xdr:cNvPr id="53748" name="Line 132">
          <a:extLst>
            <a:ext uri="{FF2B5EF4-FFF2-40B4-BE49-F238E27FC236}">
              <a16:creationId xmlns:a16="http://schemas.microsoft.com/office/drawing/2014/main" id="{A982103F-6CA9-4034-9A79-3C095E9CD992}"/>
            </a:ext>
          </a:extLst>
        </xdr:cNvPr>
        <xdr:cNvSpPr>
          <a:spLocks noChangeShapeType="1"/>
        </xdr:cNvSpPr>
      </xdr:nvSpPr>
      <xdr:spPr bwMode="auto">
        <a:xfrm flipV="1">
          <a:off x="1428750" y="25412700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390525</xdr:colOff>
      <xdr:row>72</xdr:row>
      <xdr:rowOff>28575</xdr:rowOff>
    </xdr:from>
    <xdr:to>
      <xdr:col>2</xdr:col>
      <xdr:colOff>571500</xdr:colOff>
      <xdr:row>73</xdr:row>
      <xdr:rowOff>0</xdr:rowOff>
    </xdr:to>
    <xdr:sp macro="" textlink="">
      <xdr:nvSpPr>
        <xdr:cNvPr id="53749" name="Line 133">
          <a:extLst>
            <a:ext uri="{FF2B5EF4-FFF2-40B4-BE49-F238E27FC236}">
              <a16:creationId xmlns:a16="http://schemas.microsoft.com/office/drawing/2014/main" id="{3CF931F9-751F-433D-9AFE-FB729A01AAF7}"/>
            </a:ext>
          </a:extLst>
        </xdr:cNvPr>
        <xdr:cNvSpPr>
          <a:spLocks noChangeShapeType="1"/>
        </xdr:cNvSpPr>
      </xdr:nvSpPr>
      <xdr:spPr bwMode="auto">
        <a:xfrm>
          <a:off x="1628775" y="25422225"/>
          <a:ext cx="180975" cy="2476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342900</xdr:colOff>
      <xdr:row>72</xdr:row>
      <xdr:rowOff>57150</xdr:rowOff>
    </xdr:from>
    <xdr:to>
      <xdr:col>2</xdr:col>
      <xdr:colOff>504825</xdr:colOff>
      <xdr:row>73</xdr:row>
      <xdr:rowOff>9525</xdr:rowOff>
    </xdr:to>
    <xdr:sp macro="" textlink="">
      <xdr:nvSpPr>
        <xdr:cNvPr id="53750" name="Line 134">
          <a:extLst>
            <a:ext uri="{FF2B5EF4-FFF2-40B4-BE49-F238E27FC236}">
              <a16:creationId xmlns:a16="http://schemas.microsoft.com/office/drawing/2014/main" id="{62D9B40C-4700-4F72-AC4D-5B00C38F3757}"/>
            </a:ext>
          </a:extLst>
        </xdr:cNvPr>
        <xdr:cNvSpPr>
          <a:spLocks noChangeShapeType="1"/>
        </xdr:cNvSpPr>
      </xdr:nvSpPr>
      <xdr:spPr bwMode="auto">
        <a:xfrm>
          <a:off x="1581150" y="25450800"/>
          <a:ext cx="161925" cy="2286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304800</xdr:colOff>
      <xdr:row>72</xdr:row>
      <xdr:rowOff>123825</xdr:rowOff>
    </xdr:from>
    <xdr:to>
      <xdr:col>2</xdr:col>
      <xdr:colOff>409575</xdr:colOff>
      <xdr:row>73</xdr:row>
      <xdr:rowOff>9525</xdr:rowOff>
    </xdr:to>
    <xdr:sp macro="" textlink="">
      <xdr:nvSpPr>
        <xdr:cNvPr id="53751" name="Line 135">
          <a:extLst>
            <a:ext uri="{FF2B5EF4-FFF2-40B4-BE49-F238E27FC236}">
              <a16:creationId xmlns:a16="http://schemas.microsoft.com/office/drawing/2014/main" id="{7C31FE18-4EBA-4CA2-8EB9-C23CF32F1E84}"/>
            </a:ext>
          </a:extLst>
        </xdr:cNvPr>
        <xdr:cNvSpPr>
          <a:spLocks noChangeShapeType="1"/>
        </xdr:cNvSpPr>
      </xdr:nvSpPr>
      <xdr:spPr bwMode="auto">
        <a:xfrm flipH="1" flipV="1">
          <a:off x="1543050" y="25517475"/>
          <a:ext cx="104775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257175</xdr:colOff>
      <xdr:row>72</xdr:row>
      <xdr:rowOff>190500</xdr:rowOff>
    </xdr:from>
    <xdr:to>
      <xdr:col>2</xdr:col>
      <xdr:colOff>323850</xdr:colOff>
      <xdr:row>73</xdr:row>
      <xdr:rowOff>9525</xdr:rowOff>
    </xdr:to>
    <xdr:sp macro="" textlink="">
      <xdr:nvSpPr>
        <xdr:cNvPr id="53752" name="Line 136">
          <a:extLst>
            <a:ext uri="{FF2B5EF4-FFF2-40B4-BE49-F238E27FC236}">
              <a16:creationId xmlns:a16="http://schemas.microsoft.com/office/drawing/2014/main" id="{711F3DD2-0A72-4090-BC0C-07F0E7C6BED5}"/>
            </a:ext>
          </a:extLst>
        </xdr:cNvPr>
        <xdr:cNvSpPr>
          <a:spLocks noChangeShapeType="1"/>
        </xdr:cNvSpPr>
      </xdr:nvSpPr>
      <xdr:spPr bwMode="auto">
        <a:xfrm flipH="1" flipV="1">
          <a:off x="1495425" y="25584150"/>
          <a:ext cx="66675" cy="952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581025</xdr:colOff>
      <xdr:row>72</xdr:row>
      <xdr:rowOff>9525</xdr:rowOff>
    </xdr:from>
    <xdr:to>
      <xdr:col>3</xdr:col>
      <xdr:colOff>171450</xdr:colOff>
      <xdr:row>73</xdr:row>
      <xdr:rowOff>0</xdr:rowOff>
    </xdr:to>
    <xdr:sp macro="" textlink="">
      <xdr:nvSpPr>
        <xdr:cNvPr id="53753" name="Line 137">
          <a:extLst>
            <a:ext uri="{FF2B5EF4-FFF2-40B4-BE49-F238E27FC236}">
              <a16:creationId xmlns:a16="http://schemas.microsoft.com/office/drawing/2014/main" id="{52EDF6E0-0AA8-4949-8A75-BC049BB790FD}"/>
            </a:ext>
          </a:extLst>
        </xdr:cNvPr>
        <xdr:cNvSpPr>
          <a:spLocks noChangeShapeType="1"/>
        </xdr:cNvSpPr>
      </xdr:nvSpPr>
      <xdr:spPr bwMode="auto">
        <a:xfrm flipV="1">
          <a:off x="1819275" y="25403175"/>
          <a:ext cx="25717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523875</xdr:colOff>
      <xdr:row>72</xdr:row>
      <xdr:rowOff>9525</xdr:rowOff>
    </xdr:from>
    <xdr:to>
      <xdr:col>3</xdr:col>
      <xdr:colOff>76200</xdr:colOff>
      <xdr:row>72</xdr:row>
      <xdr:rowOff>219075</xdr:rowOff>
    </xdr:to>
    <xdr:sp macro="" textlink="">
      <xdr:nvSpPr>
        <xdr:cNvPr id="53754" name="Line 138">
          <a:extLst>
            <a:ext uri="{FF2B5EF4-FFF2-40B4-BE49-F238E27FC236}">
              <a16:creationId xmlns:a16="http://schemas.microsoft.com/office/drawing/2014/main" id="{B4A4FE7B-A5B9-40EE-A655-CAA615B9F94F}"/>
            </a:ext>
          </a:extLst>
        </xdr:cNvPr>
        <xdr:cNvSpPr>
          <a:spLocks noChangeShapeType="1"/>
        </xdr:cNvSpPr>
      </xdr:nvSpPr>
      <xdr:spPr bwMode="auto">
        <a:xfrm flipV="1">
          <a:off x="1762125" y="25403175"/>
          <a:ext cx="219075" cy="209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476250</xdr:colOff>
      <xdr:row>72</xdr:row>
      <xdr:rowOff>9525</xdr:rowOff>
    </xdr:from>
    <xdr:to>
      <xdr:col>2</xdr:col>
      <xdr:colOff>590550</xdr:colOff>
      <xdr:row>72</xdr:row>
      <xdr:rowOff>171450</xdr:rowOff>
    </xdr:to>
    <xdr:sp macro="" textlink="">
      <xdr:nvSpPr>
        <xdr:cNvPr id="53755" name="Line 139">
          <a:extLst>
            <a:ext uri="{FF2B5EF4-FFF2-40B4-BE49-F238E27FC236}">
              <a16:creationId xmlns:a16="http://schemas.microsoft.com/office/drawing/2014/main" id="{FE20992B-6B64-486D-827C-D4B3DC030BE3}"/>
            </a:ext>
          </a:extLst>
        </xdr:cNvPr>
        <xdr:cNvSpPr>
          <a:spLocks noChangeShapeType="1"/>
        </xdr:cNvSpPr>
      </xdr:nvSpPr>
      <xdr:spPr bwMode="auto">
        <a:xfrm flipV="1">
          <a:off x="1714500" y="25403175"/>
          <a:ext cx="11430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447675</xdr:colOff>
      <xdr:row>72</xdr:row>
      <xdr:rowOff>19050</xdr:rowOff>
    </xdr:from>
    <xdr:to>
      <xdr:col>2</xdr:col>
      <xdr:colOff>523875</xdr:colOff>
      <xdr:row>72</xdr:row>
      <xdr:rowOff>95250</xdr:rowOff>
    </xdr:to>
    <xdr:sp macro="" textlink="">
      <xdr:nvSpPr>
        <xdr:cNvPr id="53756" name="Line 140">
          <a:extLst>
            <a:ext uri="{FF2B5EF4-FFF2-40B4-BE49-F238E27FC236}">
              <a16:creationId xmlns:a16="http://schemas.microsoft.com/office/drawing/2014/main" id="{72600A11-5A30-4404-8837-0AE9E68F610D}"/>
            </a:ext>
          </a:extLst>
        </xdr:cNvPr>
        <xdr:cNvSpPr>
          <a:spLocks noChangeShapeType="1"/>
        </xdr:cNvSpPr>
      </xdr:nvSpPr>
      <xdr:spPr bwMode="auto">
        <a:xfrm flipV="1">
          <a:off x="1685925" y="25412700"/>
          <a:ext cx="76200" cy="76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152400</xdr:colOff>
      <xdr:row>72</xdr:row>
      <xdr:rowOff>9525</xdr:rowOff>
    </xdr:from>
    <xdr:to>
      <xdr:col>3</xdr:col>
      <xdr:colOff>352425</xdr:colOff>
      <xdr:row>72</xdr:row>
      <xdr:rowOff>257175</xdr:rowOff>
    </xdr:to>
    <xdr:sp macro="" textlink="">
      <xdr:nvSpPr>
        <xdr:cNvPr id="53757" name="Line 141">
          <a:extLst>
            <a:ext uri="{FF2B5EF4-FFF2-40B4-BE49-F238E27FC236}">
              <a16:creationId xmlns:a16="http://schemas.microsoft.com/office/drawing/2014/main" id="{2F02558C-5071-4176-9618-01F4BC478E20}"/>
            </a:ext>
          </a:extLst>
        </xdr:cNvPr>
        <xdr:cNvSpPr>
          <a:spLocks noChangeShapeType="1"/>
        </xdr:cNvSpPr>
      </xdr:nvSpPr>
      <xdr:spPr bwMode="auto">
        <a:xfrm>
          <a:off x="2057400" y="25403175"/>
          <a:ext cx="200025" cy="2476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123825</xdr:colOff>
      <xdr:row>72</xdr:row>
      <xdr:rowOff>85725</xdr:rowOff>
    </xdr:from>
    <xdr:to>
      <xdr:col>3</xdr:col>
      <xdr:colOff>266700</xdr:colOff>
      <xdr:row>73</xdr:row>
      <xdr:rowOff>0</xdr:rowOff>
    </xdr:to>
    <xdr:sp macro="" textlink="">
      <xdr:nvSpPr>
        <xdr:cNvPr id="53758" name="Line 142">
          <a:extLst>
            <a:ext uri="{FF2B5EF4-FFF2-40B4-BE49-F238E27FC236}">
              <a16:creationId xmlns:a16="http://schemas.microsoft.com/office/drawing/2014/main" id="{4EBF2A8D-49BA-4C83-AAB6-0E6B096F323B}"/>
            </a:ext>
          </a:extLst>
        </xdr:cNvPr>
        <xdr:cNvSpPr>
          <a:spLocks noChangeShapeType="1"/>
        </xdr:cNvSpPr>
      </xdr:nvSpPr>
      <xdr:spPr bwMode="auto">
        <a:xfrm flipH="1" flipV="1">
          <a:off x="2028825" y="25479375"/>
          <a:ext cx="142875" cy="1905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76200</xdr:colOff>
      <xdr:row>72</xdr:row>
      <xdr:rowOff>123825</xdr:rowOff>
    </xdr:from>
    <xdr:to>
      <xdr:col>3</xdr:col>
      <xdr:colOff>190500</xdr:colOff>
      <xdr:row>73</xdr:row>
      <xdr:rowOff>9525</xdr:rowOff>
    </xdr:to>
    <xdr:sp macro="" textlink="">
      <xdr:nvSpPr>
        <xdr:cNvPr id="53759" name="Line 143">
          <a:extLst>
            <a:ext uri="{FF2B5EF4-FFF2-40B4-BE49-F238E27FC236}">
              <a16:creationId xmlns:a16="http://schemas.microsoft.com/office/drawing/2014/main" id="{5B0ED734-7103-4814-BAFA-A9D991137D33}"/>
            </a:ext>
          </a:extLst>
        </xdr:cNvPr>
        <xdr:cNvSpPr>
          <a:spLocks noChangeShapeType="1"/>
        </xdr:cNvSpPr>
      </xdr:nvSpPr>
      <xdr:spPr bwMode="auto">
        <a:xfrm flipH="1" flipV="1">
          <a:off x="1981200" y="25517475"/>
          <a:ext cx="11430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47625</xdr:colOff>
      <xdr:row>72</xdr:row>
      <xdr:rowOff>180975</xdr:rowOff>
    </xdr:from>
    <xdr:to>
      <xdr:col>3</xdr:col>
      <xdr:colOff>123825</xdr:colOff>
      <xdr:row>73</xdr:row>
      <xdr:rowOff>19050</xdr:rowOff>
    </xdr:to>
    <xdr:sp macro="" textlink="">
      <xdr:nvSpPr>
        <xdr:cNvPr id="53760" name="Line 144">
          <a:extLst>
            <a:ext uri="{FF2B5EF4-FFF2-40B4-BE49-F238E27FC236}">
              <a16:creationId xmlns:a16="http://schemas.microsoft.com/office/drawing/2014/main" id="{3C638DF9-947C-423E-9020-15F447566F8E}"/>
            </a:ext>
          </a:extLst>
        </xdr:cNvPr>
        <xdr:cNvSpPr>
          <a:spLocks noChangeShapeType="1"/>
        </xdr:cNvSpPr>
      </xdr:nvSpPr>
      <xdr:spPr bwMode="auto">
        <a:xfrm flipH="1" flipV="1">
          <a:off x="1952625" y="25574625"/>
          <a:ext cx="76200" cy="1143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323850</xdr:colOff>
      <xdr:row>72</xdr:row>
      <xdr:rowOff>9525</xdr:rowOff>
    </xdr:from>
    <xdr:to>
      <xdr:col>3</xdr:col>
      <xdr:colOff>523875</xdr:colOff>
      <xdr:row>73</xdr:row>
      <xdr:rowOff>0</xdr:rowOff>
    </xdr:to>
    <xdr:sp macro="" textlink="">
      <xdr:nvSpPr>
        <xdr:cNvPr id="53761" name="Line 145">
          <a:extLst>
            <a:ext uri="{FF2B5EF4-FFF2-40B4-BE49-F238E27FC236}">
              <a16:creationId xmlns:a16="http://schemas.microsoft.com/office/drawing/2014/main" id="{53B618DC-5BA3-4B13-AAE2-22C90C6AD753}"/>
            </a:ext>
          </a:extLst>
        </xdr:cNvPr>
        <xdr:cNvSpPr>
          <a:spLocks noChangeShapeType="1"/>
        </xdr:cNvSpPr>
      </xdr:nvSpPr>
      <xdr:spPr bwMode="auto">
        <a:xfrm flipV="1">
          <a:off x="2228850" y="25403175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295275</xdr:colOff>
      <xdr:row>72</xdr:row>
      <xdr:rowOff>19050</xdr:rowOff>
    </xdr:from>
    <xdr:to>
      <xdr:col>3</xdr:col>
      <xdr:colOff>438150</xdr:colOff>
      <xdr:row>72</xdr:row>
      <xdr:rowOff>190500</xdr:rowOff>
    </xdr:to>
    <xdr:sp macro="" textlink="">
      <xdr:nvSpPr>
        <xdr:cNvPr id="53762" name="Line 146">
          <a:extLst>
            <a:ext uri="{FF2B5EF4-FFF2-40B4-BE49-F238E27FC236}">
              <a16:creationId xmlns:a16="http://schemas.microsoft.com/office/drawing/2014/main" id="{EC8CBA04-EFBB-4580-BB9C-89A0E9AAE5CF}"/>
            </a:ext>
          </a:extLst>
        </xdr:cNvPr>
        <xdr:cNvSpPr>
          <a:spLocks noChangeShapeType="1"/>
        </xdr:cNvSpPr>
      </xdr:nvSpPr>
      <xdr:spPr bwMode="auto">
        <a:xfrm flipV="1">
          <a:off x="2200275" y="25412700"/>
          <a:ext cx="142875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247650</xdr:colOff>
      <xdr:row>72</xdr:row>
      <xdr:rowOff>9525</xdr:rowOff>
    </xdr:from>
    <xdr:to>
      <xdr:col>3</xdr:col>
      <xdr:colOff>371475</xdr:colOff>
      <xdr:row>72</xdr:row>
      <xdr:rowOff>142875</xdr:rowOff>
    </xdr:to>
    <xdr:sp macro="" textlink="">
      <xdr:nvSpPr>
        <xdr:cNvPr id="53763" name="Line 147">
          <a:extLst>
            <a:ext uri="{FF2B5EF4-FFF2-40B4-BE49-F238E27FC236}">
              <a16:creationId xmlns:a16="http://schemas.microsoft.com/office/drawing/2014/main" id="{507C6049-4984-43C5-AE3E-E8776AD20753}"/>
            </a:ext>
          </a:extLst>
        </xdr:cNvPr>
        <xdr:cNvSpPr>
          <a:spLocks noChangeShapeType="1"/>
        </xdr:cNvSpPr>
      </xdr:nvSpPr>
      <xdr:spPr bwMode="auto">
        <a:xfrm flipV="1">
          <a:off x="2152650" y="25403175"/>
          <a:ext cx="123825" cy="1333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228600</xdr:colOff>
      <xdr:row>72</xdr:row>
      <xdr:rowOff>9525</xdr:rowOff>
    </xdr:from>
    <xdr:to>
      <xdr:col>3</xdr:col>
      <xdr:colOff>304800</xdr:colOff>
      <xdr:row>72</xdr:row>
      <xdr:rowOff>85725</xdr:rowOff>
    </xdr:to>
    <xdr:sp macro="" textlink="">
      <xdr:nvSpPr>
        <xdr:cNvPr id="53764" name="Line 148">
          <a:extLst>
            <a:ext uri="{FF2B5EF4-FFF2-40B4-BE49-F238E27FC236}">
              <a16:creationId xmlns:a16="http://schemas.microsoft.com/office/drawing/2014/main" id="{F2DB874E-36B9-4A80-9D0C-BEF26DD913E5}"/>
            </a:ext>
          </a:extLst>
        </xdr:cNvPr>
        <xdr:cNvSpPr>
          <a:spLocks noChangeShapeType="1"/>
        </xdr:cNvSpPr>
      </xdr:nvSpPr>
      <xdr:spPr bwMode="auto">
        <a:xfrm flipV="1">
          <a:off x="2133600" y="25403175"/>
          <a:ext cx="76200" cy="76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514350</xdr:colOff>
      <xdr:row>72</xdr:row>
      <xdr:rowOff>9525</xdr:rowOff>
    </xdr:from>
    <xdr:to>
      <xdr:col>4</xdr:col>
      <xdr:colOff>85725</xdr:colOff>
      <xdr:row>72</xdr:row>
      <xdr:rowOff>247650</xdr:rowOff>
    </xdr:to>
    <xdr:sp macro="" textlink="">
      <xdr:nvSpPr>
        <xdr:cNvPr id="53765" name="Line 149">
          <a:extLst>
            <a:ext uri="{FF2B5EF4-FFF2-40B4-BE49-F238E27FC236}">
              <a16:creationId xmlns:a16="http://schemas.microsoft.com/office/drawing/2014/main" id="{35781F50-B1C4-46B3-BC88-FF94A9818816}"/>
            </a:ext>
          </a:extLst>
        </xdr:cNvPr>
        <xdr:cNvSpPr>
          <a:spLocks noChangeShapeType="1"/>
        </xdr:cNvSpPr>
      </xdr:nvSpPr>
      <xdr:spPr bwMode="auto">
        <a:xfrm>
          <a:off x="2419350" y="25403175"/>
          <a:ext cx="238125" cy="2381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476250</xdr:colOff>
      <xdr:row>72</xdr:row>
      <xdr:rowOff>85725</xdr:rowOff>
    </xdr:from>
    <xdr:to>
      <xdr:col>4</xdr:col>
      <xdr:colOff>0</xdr:colOff>
      <xdr:row>72</xdr:row>
      <xdr:rowOff>257175</xdr:rowOff>
    </xdr:to>
    <xdr:sp macro="" textlink="">
      <xdr:nvSpPr>
        <xdr:cNvPr id="53766" name="Line 150">
          <a:extLst>
            <a:ext uri="{FF2B5EF4-FFF2-40B4-BE49-F238E27FC236}">
              <a16:creationId xmlns:a16="http://schemas.microsoft.com/office/drawing/2014/main" id="{56552433-A6E5-4EBA-B355-C87596B90530}"/>
            </a:ext>
          </a:extLst>
        </xdr:cNvPr>
        <xdr:cNvSpPr>
          <a:spLocks noChangeShapeType="1"/>
        </xdr:cNvSpPr>
      </xdr:nvSpPr>
      <xdr:spPr bwMode="auto">
        <a:xfrm flipH="1" flipV="1">
          <a:off x="2381250" y="25479375"/>
          <a:ext cx="19050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428625</xdr:colOff>
      <xdr:row>72</xdr:row>
      <xdr:rowOff>133350</xdr:rowOff>
    </xdr:from>
    <xdr:to>
      <xdr:col>3</xdr:col>
      <xdr:colOff>523875</xdr:colOff>
      <xdr:row>73</xdr:row>
      <xdr:rowOff>0</xdr:rowOff>
    </xdr:to>
    <xdr:sp macro="" textlink="">
      <xdr:nvSpPr>
        <xdr:cNvPr id="53767" name="Line 151">
          <a:extLst>
            <a:ext uri="{FF2B5EF4-FFF2-40B4-BE49-F238E27FC236}">
              <a16:creationId xmlns:a16="http://schemas.microsoft.com/office/drawing/2014/main" id="{5B3C194E-B0DE-4B64-B289-F0A28CEF0A2C}"/>
            </a:ext>
          </a:extLst>
        </xdr:cNvPr>
        <xdr:cNvSpPr>
          <a:spLocks noChangeShapeType="1"/>
        </xdr:cNvSpPr>
      </xdr:nvSpPr>
      <xdr:spPr bwMode="auto">
        <a:xfrm flipH="1" flipV="1">
          <a:off x="2333625" y="25527000"/>
          <a:ext cx="95250" cy="1428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390525</xdr:colOff>
      <xdr:row>72</xdr:row>
      <xdr:rowOff>190500</xdr:rowOff>
    </xdr:from>
    <xdr:to>
      <xdr:col>3</xdr:col>
      <xdr:colOff>438150</xdr:colOff>
      <xdr:row>72</xdr:row>
      <xdr:rowOff>247650</xdr:rowOff>
    </xdr:to>
    <xdr:sp macro="" textlink="">
      <xdr:nvSpPr>
        <xdr:cNvPr id="53768" name="Line 152">
          <a:extLst>
            <a:ext uri="{FF2B5EF4-FFF2-40B4-BE49-F238E27FC236}">
              <a16:creationId xmlns:a16="http://schemas.microsoft.com/office/drawing/2014/main" id="{B9777C6D-4B48-487C-B08A-8506E7F90FDB}"/>
            </a:ext>
          </a:extLst>
        </xdr:cNvPr>
        <xdr:cNvSpPr>
          <a:spLocks noChangeShapeType="1"/>
        </xdr:cNvSpPr>
      </xdr:nvSpPr>
      <xdr:spPr bwMode="auto">
        <a:xfrm flipH="1" flipV="1">
          <a:off x="2295525" y="25584150"/>
          <a:ext cx="47625" cy="57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571500</xdr:colOff>
      <xdr:row>72</xdr:row>
      <xdr:rowOff>9525</xdr:rowOff>
    </xdr:from>
    <xdr:to>
      <xdr:col>9</xdr:col>
      <xdr:colOff>161925</xdr:colOff>
      <xdr:row>73</xdr:row>
      <xdr:rowOff>0</xdr:rowOff>
    </xdr:to>
    <xdr:sp macro="" textlink="">
      <xdr:nvSpPr>
        <xdr:cNvPr id="53769" name="Line 153">
          <a:extLst>
            <a:ext uri="{FF2B5EF4-FFF2-40B4-BE49-F238E27FC236}">
              <a16:creationId xmlns:a16="http://schemas.microsoft.com/office/drawing/2014/main" id="{F1C6D70A-8793-4875-A025-0186F35160C4}"/>
            </a:ext>
          </a:extLst>
        </xdr:cNvPr>
        <xdr:cNvSpPr>
          <a:spLocks noChangeShapeType="1"/>
        </xdr:cNvSpPr>
      </xdr:nvSpPr>
      <xdr:spPr bwMode="auto">
        <a:xfrm flipV="1">
          <a:off x="5810250" y="25403175"/>
          <a:ext cx="25717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38100</xdr:colOff>
      <xdr:row>72</xdr:row>
      <xdr:rowOff>9525</xdr:rowOff>
    </xdr:from>
    <xdr:to>
      <xdr:col>9</xdr:col>
      <xdr:colOff>238125</xdr:colOff>
      <xdr:row>73</xdr:row>
      <xdr:rowOff>0</xdr:rowOff>
    </xdr:to>
    <xdr:sp macro="" textlink="">
      <xdr:nvSpPr>
        <xdr:cNvPr id="53770" name="Line 154">
          <a:extLst>
            <a:ext uri="{FF2B5EF4-FFF2-40B4-BE49-F238E27FC236}">
              <a16:creationId xmlns:a16="http://schemas.microsoft.com/office/drawing/2014/main" id="{61B18889-F1A8-4271-917E-3E824AB44023}"/>
            </a:ext>
          </a:extLst>
        </xdr:cNvPr>
        <xdr:cNvSpPr>
          <a:spLocks noChangeShapeType="1"/>
        </xdr:cNvSpPr>
      </xdr:nvSpPr>
      <xdr:spPr bwMode="auto">
        <a:xfrm flipV="1">
          <a:off x="5943600" y="25403175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114300</xdr:colOff>
      <xdr:row>72</xdr:row>
      <xdr:rowOff>9525</xdr:rowOff>
    </xdr:from>
    <xdr:to>
      <xdr:col>9</xdr:col>
      <xdr:colOff>314325</xdr:colOff>
      <xdr:row>73</xdr:row>
      <xdr:rowOff>0</xdr:rowOff>
    </xdr:to>
    <xdr:sp macro="" textlink="">
      <xdr:nvSpPr>
        <xdr:cNvPr id="53771" name="Line 155">
          <a:extLst>
            <a:ext uri="{FF2B5EF4-FFF2-40B4-BE49-F238E27FC236}">
              <a16:creationId xmlns:a16="http://schemas.microsoft.com/office/drawing/2014/main" id="{AF0080F5-A402-4619-B060-DCE0B47624B3}"/>
            </a:ext>
          </a:extLst>
        </xdr:cNvPr>
        <xdr:cNvSpPr>
          <a:spLocks noChangeShapeType="1"/>
        </xdr:cNvSpPr>
      </xdr:nvSpPr>
      <xdr:spPr bwMode="auto">
        <a:xfrm flipV="1">
          <a:off x="6019800" y="25403175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190500</xdr:colOff>
      <xdr:row>72</xdr:row>
      <xdr:rowOff>19050</xdr:rowOff>
    </xdr:from>
    <xdr:to>
      <xdr:col>9</xdr:col>
      <xdr:colOff>390525</xdr:colOff>
      <xdr:row>73</xdr:row>
      <xdr:rowOff>9525</xdr:rowOff>
    </xdr:to>
    <xdr:sp macro="" textlink="">
      <xdr:nvSpPr>
        <xdr:cNvPr id="53772" name="Line 156">
          <a:extLst>
            <a:ext uri="{FF2B5EF4-FFF2-40B4-BE49-F238E27FC236}">
              <a16:creationId xmlns:a16="http://schemas.microsoft.com/office/drawing/2014/main" id="{EA66D4D6-EE3A-47EA-B688-4C7D2A87B653}"/>
            </a:ext>
          </a:extLst>
        </xdr:cNvPr>
        <xdr:cNvSpPr>
          <a:spLocks noChangeShapeType="1"/>
        </xdr:cNvSpPr>
      </xdr:nvSpPr>
      <xdr:spPr bwMode="auto">
        <a:xfrm flipV="1">
          <a:off x="6096000" y="25412700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390525</xdr:colOff>
      <xdr:row>72</xdr:row>
      <xdr:rowOff>28575</xdr:rowOff>
    </xdr:from>
    <xdr:to>
      <xdr:col>9</xdr:col>
      <xdr:colOff>571500</xdr:colOff>
      <xdr:row>73</xdr:row>
      <xdr:rowOff>0</xdr:rowOff>
    </xdr:to>
    <xdr:sp macro="" textlink="">
      <xdr:nvSpPr>
        <xdr:cNvPr id="53773" name="Line 157">
          <a:extLst>
            <a:ext uri="{FF2B5EF4-FFF2-40B4-BE49-F238E27FC236}">
              <a16:creationId xmlns:a16="http://schemas.microsoft.com/office/drawing/2014/main" id="{759C3572-D497-47FA-A6FF-787B280CC12F}"/>
            </a:ext>
          </a:extLst>
        </xdr:cNvPr>
        <xdr:cNvSpPr>
          <a:spLocks noChangeShapeType="1"/>
        </xdr:cNvSpPr>
      </xdr:nvSpPr>
      <xdr:spPr bwMode="auto">
        <a:xfrm>
          <a:off x="6296025" y="25422225"/>
          <a:ext cx="180975" cy="2476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342900</xdr:colOff>
      <xdr:row>72</xdr:row>
      <xdr:rowOff>57150</xdr:rowOff>
    </xdr:from>
    <xdr:to>
      <xdr:col>9</xdr:col>
      <xdr:colOff>504825</xdr:colOff>
      <xdr:row>73</xdr:row>
      <xdr:rowOff>9525</xdr:rowOff>
    </xdr:to>
    <xdr:sp macro="" textlink="">
      <xdr:nvSpPr>
        <xdr:cNvPr id="53774" name="Line 158">
          <a:extLst>
            <a:ext uri="{FF2B5EF4-FFF2-40B4-BE49-F238E27FC236}">
              <a16:creationId xmlns:a16="http://schemas.microsoft.com/office/drawing/2014/main" id="{1BAFD7B7-9C4C-4F9D-A1AC-59E48D4DABAB}"/>
            </a:ext>
          </a:extLst>
        </xdr:cNvPr>
        <xdr:cNvSpPr>
          <a:spLocks noChangeShapeType="1"/>
        </xdr:cNvSpPr>
      </xdr:nvSpPr>
      <xdr:spPr bwMode="auto">
        <a:xfrm>
          <a:off x="6248400" y="25450800"/>
          <a:ext cx="161925" cy="2286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304800</xdr:colOff>
      <xdr:row>72</xdr:row>
      <xdr:rowOff>123825</xdr:rowOff>
    </xdr:from>
    <xdr:to>
      <xdr:col>9</xdr:col>
      <xdr:colOff>409575</xdr:colOff>
      <xdr:row>73</xdr:row>
      <xdr:rowOff>9525</xdr:rowOff>
    </xdr:to>
    <xdr:sp macro="" textlink="">
      <xdr:nvSpPr>
        <xdr:cNvPr id="53775" name="Line 159">
          <a:extLst>
            <a:ext uri="{FF2B5EF4-FFF2-40B4-BE49-F238E27FC236}">
              <a16:creationId xmlns:a16="http://schemas.microsoft.com/office/drawing/2014/main" id="{0D4FC1FD-C307-44F2-9FA6-77CDB65B1DC5}"/>
            </a:ext>
          </a:extLst>
        </xdr:cNvPr>
        <xdr:cNvSpPr>
          <a:spLocks noChangeShapeType="1"/>
        </xdr:cNvSpPr>
      </xdr:nvSpPr>
      <xdr:spPr bwMode="auto">
        <a:xfrm flipH="1" flipV="1">
          <a:off x="6210300" y="25517475"/>
          <a:ext cx="104775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257175</xdr:colOff>
      <xdr:row>72</xdr:row>
      <xdr:rowOff>190500</xdr:rowOff>
    </xdr:from>
    <xdr:to>
      <xdr:col>9</xdr:col>
      <xdr:colOff>323850</xdr:colOff>
      <xdr:row>73</xdr:row>
      <xdr:rowOff>9525</xdr:rowOff>
    </xdr:to>
    <xdr:sp macro="" textlink="">
      <xdr:nvSpPr>
        <xdr:cNvPr id="53776" name="Line 160">
          <a:extLst>
            <a:ext uri="{FF2B5EF4-FFF2-40B4-BE49-F238E27FC236}">
              <a16:creationId xmlns:a16="http://schemas.microsoft.com/office/drawing/2014/main" id="{D4502ABD-DF66-4252-976D-DAFE08AEE77D}"/>
            </a:ext>
          </a:extLst>
        </xdr:cNvPr>
        <xdr:cNvSpPr>
          <a:spLocks noChangeShapeType="1"/>
        </xdr:cNvSpPr>
      </xdr:nvSpPr>
      <xdr:spPr bwMode="auto">
        <a:xfrm flipH="1" flipV="1">
          <a:off x="6162675" y="25584150"/>
          <a:ext cx="66675" cy="952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581025</xdr:colOff>
      <xdr:row>72</xdr:row>
      <xdr:rowOff>9525</xdr:rowOff>
    </xdr:from>
    <xdr:to>
      <xdr:col>10</xdr:col>
      <xdr:colOff>171450</xdr:colOff>
      <xdr:row>73</xdr:row>
      <xdr:rowOff>0</xdr:rowOff>
    </xdr:to>
    <xdr:sp macro="" textlink="">
      <xdr:nvSpPr>
        <xdr:cNvPr id="53777" name="Line 161">
          <a:extLst>
            <a:ext uri="{FF2B5EF4-FFF2-40B4-BE49-F238E27FC236}">
              <a16:creationId xmlns:a16="http://schemas.microsoft.com/office/drawing/2014/main" id="{25294E13-CF27-4CBC-B2E6-8E00B14D657B}"/>
            </a:ext>
          </a:extLst>
        </xdr:cNvPr>
        <xdr:cNvSpPr>
          <a:spLocks noChangeShapeType="1"/>
        </xdr:cNvSpPr>
      </xdr:nvSpPr>
      <xdr:spPr bwMode="auto">
        <a:xfrm flipV="1">
          <a:off x="6486525" y="25403175"/>
          <a:ext cx="25717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523875</xdr:colOff>
      <xdr:row>72</xdr:row>
      <xdr:rowOff>9525</xdr:rowOff>
    </xdr:from>
    <xdr:to>
      <xdr:col>10</xdr:col>
      <xdr:colOff>76200</xdr:colOff>
      <xdr:row>72</xdr:row>
      <xdr:rowOff>219075</xdr:rowOff>
    </xdr:to>
    <xdr:sp macro="" textlink="">
      <xdr:nvSpPr>
        <xdr:cNvPr id="53778" name="Line 162">
          <a:extLst>
            <a:ext uri="{FF2B5EF4-FFF2-40B4-BE49-F238E27FC236}">
              <a16:creationId xmlns:a16="http://schemas.microsoft.com/office/drawing/2014/main" id="{FFD2B50C-0DF1-4784-A6E7-BF2E6DBC83F7}"/>
            </a:ext>
          </a:extLst>
        </xdr:cNvPr>
        <xdr:cNvSpPr>
          <a:spLocks noChangeShapeType="1"/>
        </xdr:cNvSpPr>
      </xdr:nvSpPr>
      <xdr:spPr bwMode="auto">
        <a:xfrm flipV="1">
          <a:off x="6429375" y="25403175"/>
          <a:ext cx="219075" cy="209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476250</xdr:colOff>
      <xdr:row>72</xdr:row>
      <xdr:rowOff>9525</xdr:rowOff>
    </xdr:from>
    <xdr:to>
      <xdr:col>9</xdr:col>
      <xdr:colOff>590550</xdr:colOff>
      <xdr:row>72</xdr:row>
      <xdr:rowOff>171450</xdr:rowOff>
    </xdr:to>
    <xdr:sp macro="" textlink="">
      <xdr:nvSpPr>
        <xdr:cNvPr id="53779" name="Line 163">
          <a:extLst>
            <a:ext uri="{FF2B5EF4-FFF2-40B4-BE49-F238E27FC236}">
              <a16:creationId xmlns:a16="http://schemas.microsoft.com/office/drawing/2014/main" id="{3999176A-5C45-40CE-869E-1149D14FF377}"/>
            </a:ext>
          </a:extLst>
        </xdr:cNvPr>
        <xdr:cNvSpPr>
          <a:spLocks noChangeShapeType="1"/>
        </xdr:cNvSpPr>
      </xdr:nvSpPr>
      <xdr:spPr bwMode="auto">
        <a:xfrm flipV="1">
          <a:off x="6381750" y="25403175"/>
          <a:ext cx="11430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447675</xdr:colOff>
      <xdr:row>72</xdr:row>
      <xdr:rowOff>19050</xdr:rowOff>
    </xdr:from>
    <xdr:to>
      <xdr:col>9</xdr:col>
      <xdr:colOff>523875</xdr:colOff>
      <xdr:row>72</xdr:row>
      <xdr:rowOff>95250</xdr:rowOff>
    </xdr:to>
    <xdr:sp macro="" textlink="">
      <xdr:nvSpPr>
        <xdr:cNvPr id="53780" name="Line 164">
          <a:extLst>
            <a:ext uri="{FF2B5EF4-FFF2-40B4-BE49-F238E27FC236}">
              <a16:creationId xmlns:a16="http://schemas.microsoft.com/office/drawing/2014/main" id="{62F05C8D-6477-4996-BC4B-68BC866C18AD}"/>
            </a:ext>
          </a:extLst>
        </xdr:cNvPr>
        <xdr:cNvSpPr>
          <a:spLocks noChangeShapeType="1"/>
        </xdr:cNvSpPr>
      </xdr:nvSpPr>
      <xdr:spPr bwMode="auto">
        <a:xfrm flipV="1">
          <a:off x="6353175" y="25412700"/>
          <a:ext cx="76200" cy="76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152400</xdr:colOff>
      <xdr:row>72</xdr:row>
      <xdr:rowOff>9525</xdr:rowOff>
    </xdr:from>
    <xdr:to>
      <xdr:col>10</xdr:col>
      <xdr:colOff>352425</xdr:colOff>
      <xdr:row>72</xdr:row>
      <xdr:rowOff>257175</xdr:rowOff>
    </xdr:to>
    <xdr:sp macro="" textlink="">
      <xdr:nvSpPr>
        <xdr:cNvPr id="53781" name="Line 165">
          <a:extLst>
            <a:ext uri="{FF2B5EF4-FFF2-40B4-BE49-F238E27FC236}">
              <a16:creationId xmlns:a16="http://schemas.microsoft.com/office/drawing/2014/main" id="{F0DE75D7-3523-49CC-A2DA-BBE1493B7A7D}"/>
            </a:ext>
          </a:extLst>
        </xdr:cNvPr>
        <xdr:cNvSpPr>
          <a:spLocks noChangeShapeType="1"/>
        </xdr:cNvSpPr>
      </xdr:nvSpPr>
      <xdr:spPr bwMode="auto">
        <a:xfrm>
          <a:off x="6724650" y="25403175"/>
          <a:ext cx="200025" cy="2476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123825</xdr:colOff>
      <xdr:row>72</xdr:row>
      <xdr:rowOff>85725</xdr:rowOff>
    </xdr:from>
    <xdr:to>
      <xdr:col>10</xdr:col>
      <xdr:colOff>266700</xdr:colOff>
      <xdr:row>73</xdr:row>
      <xdr:rowOff>0</xdr:rowOff>
    </xdr:to>
    <xdr:sp macro="" textlink="">
      <xdr:nvSpPr>
        <xdr:cNvPr id="53782" name="Line 166">
          <a:extLst>
            <a:ext uri="{FF2B5EF4-FFF2-40B4-BE49-F238E27FC236}">
              <a16:creationId xmlns:a16="http://schemas.microsoft.com/office/drawing/2014/main" id="{54754E97-8BB7-49B1-8F0D-1E13218D5CBC}"/>
            </a:ext>
          </a:extLst>
        </xdr:cNvPr>
        <xdr:cNvSpPr>
          <a:spLocks noChangeShapeType="1"/>
        </xdr:cNvSpPr>
      </xdr:nvSpPr>
      <xdr:spPr bwMode="auto">
        <a:xfrm flipH="1" flipV="1">
          <a:off x="6696075" y="25479375"/>
          <a:ext cx="142875" cy="1905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76200</xdr:colOff>
      <xdr:row>72</xdr:row>
      <xdr:rowOff>123825</xdr:rowOff>
    </xdr:from>
    <xdr:to>
      <xdr:col>9</xdr:col>
      <xdr:colOff>190500</xdr:colOff>
      <xdr:row>73</xdr:row>
      <xdr:rowOff>9525</xdr:rowOff>
    </xdr:to>
    <xdr:sp macro="" textlink="">
      <xdr:nvSpPr>
        <xdr:cNvPr id="53783" name="Line 167">
          <a:extLst>
            <a:ext uri="{FF2B5EF4-FFF2-40B4-BE49-F238E27FC236}">
              <a16:creationId xmlns:a16="http://schemas.microsoft.com/office/drawing/2014/main" id="{DFA77CA3-8ABA-464C-8AC1-46D1139BD0F3}"/>
            </a:ext>
          </a:extLst>
        </xdr:cNvPr>
        <xdr:cNvSpPr>
          <a:spLocks noChangeShapeType="1"/>
        </xdr:cNvSpPr>
      </xdr:nvSpPr>
      <xdr:spPr bwMode="auto">
        <a:xfrm flipH="1" flipV="1">
          <a:off x="5981700" y="25517475"/>
          <a:ext cx="11430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47625</xdr:colOff>
      <xdr:row>72</xdr:row>
      <xdr:rowOff>180975</xdr:rowOff>
    </xdr:from>
    <xdr:to>
      <xdr:col>9</xdr:col>
      <xdr:colOff>123825</xdr:colOff>
      <xdr:row>73</xdr:row>
      <xdr:rowOff>19050</xdr:rowOff>
    </xdr:to>
    <xdr:sp macro="" textlink="">
      <xdr:nvSpPr>
        <xdr:cNvPr id="53784" name="Line 168">
          <a:extLst>
            <a:ext uri="{FF2B5EF4-FFF2-40B4-BE49-F238E27FC236}">
              <a16:creationId xmlns:a16="http://schemas.microsoft.com/office/drawing/2014/main" id="{C3194F18-AB42-4903-970A-06CDF6D7B723}"/>
            </a:ext>
          </a:extLst>
        </xdr:cNvPr>
        <xdr:cNvSpPr>
          <a:spLocks noChangeShapeType="1"/>
        </xdr:cNvSpPr>
      </xdr:nvSpPr>
      <xdr:spPr bwMode="auto">
        <a:xfrm flipH="1" flipV="1">
          <a:off x="5953125" y="25574625"/>
          <a:ext cx="76200" cy="1143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323850</xdr:colOff>
      <xdr:row>72</xdr:row>
      <xdr:rowOff>19050</xdr:rowOff>
    </xdr:from>
    <xdr:to>
      <xdr:col>9</xdr:col>
      <xdr:colOff>523875</xdr:colOff>
      <xdr:row>73</xdr:row>
      <xdr:rowOff>9525</xdr:rowOff>
    </xdr:to>
    <xdr:sp macro="" textlink="">
      <xdr:nvSpPr>
        <xdr:cNvPr id="53785" name="Line 169">
          <a:extLst>
            <a:ext uri="{FF2B5EF4-FFF2-40B4-BE49-F238E27FC236}">
              <a16:creationId xmlns:a16="http://schemas.microsoft.com/office/drawing/2014/main" id="{E5B633E5-C765-4BE7-9CB0-10F8ED32DB4E}"/>
            </a:ext>
          </a:extLst>
        </xdr:cNvPr>
        <xdr:cNvSpPr>
          <a:spLocks noChangeShapeType="1"/>
        </xdr:cNvSpPr>
      </xdr:nvSpPr>
      <xdr:spPr bwMode="auto">
        <a:xfrm flipV="1">
          <a:off x="6229350" y="25412700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295275</xdr:colOff>
      <xdr:row>72</xdr:row>
      <xdr:rowOff>19050</xdr:rowOff>
    </xdr:from>
    <xdr:to>
      <xdr:col>10</xdr:col>
      <xdr:colOff>438150</xdr:colOff>
      <xdr:row>72</xdr:row>
      <xdr:rowOff>190500</xdr:rowOff>
    </xdr:to>
    <xdr:sp macro="" textlink="">
      <xdr:nvSpPr>
        <xdr:cNvPr id="53786" name="Line 170">
          <a:extLst>
            <a:ext uri="{FF2B5EF4-FFF2-40B4-BE49-F238E27FC236}">
              <a16:creationId xmlns:a16="http://schemas.microsoft.com/office/drawing/2014/main" id="{614A9DA3-4C8F-4816-ABBA-E61900818AAA}"/>
            </a:ext>
          </a:extLst>
        </xdr:cNvPr>
        <xdr:cNvSpPr>
          <a:spLocks noChangeShapeType="1"/>
        </xdr:cNvSpPr>
      </xdr:nvSpPr>
      <xdr:spPr bwMode="auto">
        <a:xfrm flipV="1">
          <a:off x="6867525" y="25412700"/>
          <a:ext cx="142875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247650</xdr:colOff>
      <xdr:row>72</xdr:row>
      <xdr:rowOff>9525</xdr:rowOff>
    </xdr:from>
    <xdr:to>
      <xdr:col>10</xdr:col>
      <xdr:colOff>371475</xdr:colOff>
      <xdr:row>72</xdr:row>
      <xdr:rowOff>142875</xdr:rowOff>
    </xdr:to>
    <xdr:sp macro="" textlink="">
      <xdr:nvSpPr>
        <xdr:cNvPr id="53787" name="Line 171">
          <a:extLst>
            <a:ext uri="{FF2B5EF4-FFF2-40B4-BE49-F238E27FC236}">
              <a16:creationId xmlns:a16="http://schemas.microsoft.com/office/drawing/2014/main" id="{9CFD3AE5-004E-4C66-A598-7DFE265F66A4}"/>
            </a:ext>
          </a:extLst>
        </xdr:cNvPr>
        <xdr:cNvSpPr>
          <a:spLocks noChangeShapeType="1"/>
        </xdr:cNvSpPr>
      </xdr:nvSpPr>
      <xdr:spPr bwMode="auto">
        <a:xfrm flipV="1">
          <a:off x="6819900" y="25403175"/>
          <a:ext cx="123825" cy="1333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228600</xdr:colOff>
      <xdr:row>72</xdr:row>
      <xdr:rowOff>9525</xdr:rowOff>
    </xdr:from>
    <xdr:to>
      <xdr:col>10</xdr:col>
      <xdr:colOff>304800</xdr:colOff>
      <xdr:row>72</xdr:row>
      <xdr:rowOff>85725</xdr:rowOff>
    </xdr:to>
    <xdr:sp macro="" textlink="">
      <xdr:nvSpPr>
        <xdr:cNvPr id="53788" name="Line 172">
          <a:extLst>
            <a:ext uri="{FF2B5EF4-FFF2-40B4-BE49-F238E27FC236}">
              <a16:creationId xmlns:a16="http://schemas.microsoft.com/office/drawing/2014/main" id="{3F625061-5522-4C1B-BFDB-72E62357F48D}"/>
            </a:ext>
          </a:extLst>
        </xdr:cNvPr>
        <xdr:cNvSpPr>
          <a:spLocks noChangeShapeType="1"/>
        </xdr:cNvSpPr>
      </xdr:nvSpPr>
      <xdr:spPr bwMode="auto">
        <a:xfrm flipV="1">
          <a:off x="6800850" y="25403175"/>
          <a:ext cx="76200" cy="76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514350</xdr:colOff>
      <xdr:row>72</xdr:row>
      <xdr:rowOff>9525</xdr:rowOff>
    </xdr:from>
    <xdr:to>
      <xdr:col>11</xdr:col>
      <xdr:colOff>85725</xdr:colOff>
      <xdr:row>72</xdr:row>
      <xdr:rowOff>247650</xdr:rowOff>
    </xdr:to>
    <xdr:sp macro="" textlink="">
      <xdr:nvSpPr>
        <xdr:cNvPr id="53789" name="Line 173">
          <a:extLst>
            <a:ext uri="{FF2B5EF4-FFF2-40B4-BE49-F238E27FC236}">
              <a16:creationId xmlns:a16="http://schemas.microsoft.com/office/drawing/2014/main" id="{B046B304-CF68-43B2-95FC-B084441C6BCB}"/>
            </a:ext>
          </a:extLst>
        </xdr:cNvPr>
        <xdr:cNvSpPr>
          <a:spLocks noChangeShapeType="1"/>
        </xdr:cNvSpPr>
      </xdr:nvSpPr>
      <xdr:spPr bwMode="auto">
        <a:xfrm>
          <a:off x="7086600" y="25403175"/>
          <a:ext cx="238125" cy="2381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476250</xdr:colOff>
      <xdr:row>72</xdr:row>
      <xdr:rowOff>85725</xdr:rowOff>
    </xdr:from>
    <xdr:to>
      <xdr:col>11</xdr:col>
      <xdr:colOff>0</xdr:colOff>
      <xdr:row>72</xdr:row>
      <xdr:rowOff>257175</xdr:rowOff>
    </xdr:to>
    <xdr:sp macro="" textlink="">
      <xdr:nvSpPr>
        <xdr:cNvPr id="53790" name="Line 174">
          <a:extLst>
            <a:ext uri="{FF2B5EF4-FFF2-40B4-BE49-F238E27FC236}">
              <a16:creationId xmlns:a16="http://schemas.microsoft.com/office/drawing/2014/main" id="{84ACDFD5-5D1F-49CF-9526-2F7B8E5B45D9}"/>
            </a:ext>
          </a:extLst>
        </xdr:cNvPr>
        <xdr:cNvSpPr>
          <a:spLocks noChangeShapeType="1"/>
        </xdr:cNvSpPr>
      </xdr:nvSpPr>
      <xdr:spPr bwMode="auto">
        <a:xfrm flipH="1" flipV="1">
          <a:off x="7048500" y="25479375"/>
          <a:ext cx="19050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428625</xdr:colOff>
      <xdr:row>72</xdr:row>
      <xdr:rowOff>133350</xdr:rowOff>
    </xdr:from>
    <xdr:to>
      <xdr:col>10</xdr:col>
      <xdr:colOff>523875</xdr:colOff>
      <xdr:row>73</xdr:row>
      <xdr:rowOff>0</xdr:rowOff>
    </xdr:to>
    <xdr:sp macro="" textlink="">
      <xdr:nvSpPr>
        <xdr:cNvPr id="53791" name="Line 175">
          <a:extLst>
            <a:ext uri="{FF2B5EF4-FFF2-40B4-BE49-F238E27FC236}">
              <a16:creationId xmlns:a16="http://schemas.microsoft.com/office/drawing/2014/main" id="{A87413F7-26D0-4C76-97CC-76F3B2C5D4DB}"/>
            </a:ext>
          </a:extLst>
        </xdr:cNvPr>
        <xdr:cNvSpPr>
          <a:spLocks noChangeShapeType="1"/>
        </xdr:cNvSpPr>
      </xdr:nvSpPr>
      <xdr:spPr bwMode="auto">
        <a:xfrm flipH="1" flipV="1">
          <a:off x="7000875" y="25527000"/>
          <a:ext cx="95250" cy="1428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390525</xdr:colOff>
      <xdr:row>72</xdr:row>
      <xdr:rowOff>190500</xdr:rowOff>
    </xdr:from>
    <xdr:to>
      <xdr:col>10</xdr:col>
      <xdr:colOff>438150</xdr:colOff>
      <xdr:row>72</xdr:row>
      <xdr:rowOff>247650</xdr:rowOff>
    </xdr:to>
    <xdr:sp macro="" textlink="">
      <xdr:nvSpPr>
        <xdr:cNvPr id="53792" name="Line 176">
          <a:extLst>
            <a:ext uri="{FF2B5EF4-FFF2-40B4-BE49-F238E27FC236}">
              <a16:creationId xmlns:a16="http://schemas.microsoft.com/office/drawing/2014/main" id="{F5723E50-8656-42DC-9584-7D9C5D9958BF}"/>
            </a:ext>
          </a:extLst>
        </xdr:cNvPr>
        <xdr:cNvSpPr>
          <a:spLocks noChangeShapeType="1"/>
        </xdr:cNvSpPr>
      </xdr:nvSpPr>
      <xdr:spPr bwMode="auto">
        <a:xfrm flipH="1" flipV="1">
          <a:off x="6962775" y="25584150"/>
          <a:ext cx="47625" cy="57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38100</xdr:colOff>
      <xdr:row>72</xdr:row>
      <xdr:rowOff>9525</xdr:rowOff>
    </xdr:from>
    <xdr:to>
      <xdr:col>18</xdr:col>
      <xdr:colOff>238125</xdr:colOff>
      <xdr:row>73</xdr:row>
      <xdr:rowOff>0</xdr:rowOff>
    </xdr:to>
    <xdr:sp macro="" textlink="">
      <xdr:nvSpPr>
        <xdr:cNvPr id="53793" name="Line 177">
          <a:extLst>
            <a:ext uri="{FF2B5EF4-FFF2-40B4-BE49-F238E27FC236}">
              <a16:creationId xmlns:a16="http://schemas.microsoft.com/office/drawing/2014/main" id="{74A5B5DC-F055-4AD9-B108-750154FA054D}"/>
            </a:ext>
          </a:extLst>
        </xdr:cNvPr>
        <xdr:cNvSpPr>
          <a:spLocks noChangeShapeType="1"/>
        </xdr:cNvSpPr>
      </xdr:nvSpPr>
      <xdr:spPr bwMode="auto">
        <a:xfrm flipV="1">
          <a:off x="12725400" y="25403175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114300</xdr:colOff>
      <xdr:row>72</xdr:row>
      <xdr:rowOff>9525</xdr:rowOff>
    </xdr:from>
    <xdr:to>
      <xdr:col>18</xdr:col>
      <xdr:colOff>314325</xdr:colOff>
      <xdr:row>73</xdr:row>
      <xdr:rowOff>0</xdr:rowOff>
    </xdr:to>
    <xdr:sp macro="" textlink="">
      <xdr:nvSpPr>
        <xdr:cNvPr id="53794" name="Line 178">
          <a:extLst>
            <a:ext uri="{FF2B5EF4-FFF2-40B4-BE49-F238E27FC236}">
              <a16:creationId xmlns:a16="http://schemas.microsoft.com/office/drawing/2014/main" id="{11475EBD-AC7E-4AB0-A3C1-E2E9539A4B4A}"/>
            </a:ext>
          </a:extLst>
        </xdr:cNvPr>
        <xdr:cNvSpPr>
          <a:spLocks noChangeShapeType="1"/>
        </xdr:cNvSpPr>
      </xdr:nvSpPr>
      <xdr:spPr bwMode="auto">
        <a:xfrm flipV="1">
          <a:off x="12801600" y="25403175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190500</xdr:colOff>
      <xdr:row>72</xdr:row>
      <xdr:rowOff>19050</xdr:rowOff>
    </xdr:from>
    <xdr:to>
      <xdr:col>18</xdr:col>
      <xdr:colOff>390525</xdr:colOff>
      <xdr:row>73</xdr:row>
      <xdr:rowOff>9525</xdr:rowOff>
    </xdr:to>
    <xdr:sp macro="" textlink="">
      <xdr:nvSpPr>
        <xdr:cNvPr id="53795" name="Line 179">
          <a:extLst>
            <a:ext uri="{FF2B5EF4-FFF2-40B4-BE49-F238E27FC236}">
              <a16:creationId xmlns:a16="http://schemas.microsoft.com/office/drawing/2014/main" id="{7F752B23-7582-4F44-A335-E0C616A93C54}"/>
            </a:ext>
          </a:extLst>
        </xdr:cNvPr>
        <xdr:cNvSpPr>
          <a:spLocks noChangeShapeType="1"/>
        </xdr:cNvSpPr>
      </xdr:nvSpPr>
      <xdr:spPr bwMode="auto">
        <a:xfrm flipV="1">
          <a:off x="12877800" y="25412700"/>
          <a:ext cx="171450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390525</xdr:colOff>
      <xdr:row>72</xdr:row>
      <xdr:rowOff>28575</xdr:rowOff>
    </xdr:from>
    <xdr:to>
      <xdr:col>18</xdr:col>
      <xdr:colOff>571500</xdr:colOff>
      <xdr:row>73</xdr:row>
      <xdr:rowOff>0</xdr:rowOff>
    </xdr:to>
    <xdr:sp macro="" textlink="">
      <xdr:nvSpPr>
        <xdr:cNvPr id="53796" name="Line 180">
          <a:extLst>
            <a:ext uri="{FF2B5EF4-FFF2-40B4-BE49-F238E27FC236}">
              <a16:creationId xmlns:a16="http://schemas.microsoft.com/office/drawing/2014/main" id="{87778AC1-C0C2-4C79-801C-E8D3F2DCBCA0}"/>
            </a:ext>
          </a:extLst>
        </xdr:cNvPr>
        <xdr:cNvSpPr>
          <a:spLocks noChangeShapeType="1"/>
        </xdr:cNvSpPr>
      </xdr:nvSpPr>
      <xdr:spPr bwMode="auto">
        <a:xfrm>
          <a:off x="13049250" y="25422225"/>
          <a:ext cx="0" cy="2476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342900</xdr:colOff>
      <xdr:row>72</xdr:row>
      <xdr:rowOff>57150</xdr:rowOff>
    </xdr:from>
    <xdr:to>
      <xdr:col>18</xdr:col>
      <xdr:colOff>504825</xdr:colOff>
      <xdr:row>73</xdr:row>
      <xdr:rowOff>9525</xdr:rowOff>
    </xdr:to>
    <xdr:sp macro="" textlink="">
      <xdr:nvSpPr>
        <xdr:cNvPr id="53797" name="Line 181">
          <a:extLst>
            <a:ext uri="{FF2B5EF4-FFF2-40B4-BE49-F238E27FC236}">
              <a16:creationId xmlns:a16="http://schemas.microsoft.com/office/drawing/2014/main" id="{E11E9207-0E46-4F8A-8CD7-72802F532752}"/>
            </a:ext>
          </a:extLst>
        </xdr:cNvPr>
        <xdr:cNvSpPr>
          <a:spLocks noChangeShapeType="1"/>
        </xdr:cNvSpPr>
      </xdr:nvSpPr>
      <xdr:spPr bwMode="auto">
        <a:xfrm>
          <a:off x="13030200" y="25450800"/>
          <a:ext cx="19050" cy="2286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304800</xdr:colOff>
      <xdr:row>72</xdr:row>
      <xdr:rowOff>123825</xdr:rowOff>
    </xdr:from>
    <xdr:to>
      <xdr:col>18</xdr:col>
      <xdr:colOff>409575</xdr:colOff>
      <xdr:row>73</xdr:row>
      <xdr:rowOff>9525</xdr:rowOff>
    </xdr:to>
    <xdr:sp macro="" textlink="">
      <xdr:nvSpPr>
        <xdr:cNvPr id="53798" name="Line 182">
          <a:extLst>
            <a:ext uri="{FF2B5EF4-FFF2-40B4-BE49-F238E27FC236}">
              <a16:creationId xmlns:a16="http://schemas.microsoft.com/office/drawing/2014/main" id="{77839E7F-DBED-4D95-A3E5-778683FE2500}"/>
            </a:ext>
          </a:extLst>
        </xdr:cNvPr>
        <xdr:cNvSpPr>
          <a:spLocks noChangeShapeType="1"/>
        </xdr:cNvSpPr>
      </xdr:nvSpPr>
      <xdr:spPr bwMode="auto">
        <a:xfrm flipH="1" flipV="1">
          <a:off x="12992100" y="25517475"/>
          <a:ext cx="5715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257175</xdr:colOff>
      <xdr:row>72</xdr:row>
      <xdr:rowOff>190500</xdr:rowOff>
    </xdr:from>
    <xdr:to>
      <xdr:col>18</xdr:col>
      <xdr:colOff>323850</xdr:colOff>
      <xdr:row>73</xdr:row>
      <xdr:rowOff>9525</xdr:rowOff>
    </xdr:to>
    <xdr:sp macro="" textlink="">
      <xdr:nvSpPr>
        <xdr:cNvPr id="53799" name="Line 183">
          <a:extLst>
            <a:ext uri="{FF2B5EF4-FFF2-40B4-BE49-F238E27FC236}">
              <a16:creationId xmlns:a16="http://schemas.microsoft.com/office/drawing/2014/main" id="{ADBC5A8A-6AE5-4EBF-8365-59CCDA139C56}"/>
            </a:ext>
          </a:extLst>
        </xdr:cNvPr>
        <xdr:cNvSpPr>
          <a:spLocks noChangeShapeType="1"/>
        </xdr:cNvSpPr>
      </xdr:nvSpPr>
      <xdr:spPr bwMode="auto">
        <a:xfrm flipH="1" flipV="1">
          <a:off x="12944475" y="25584150"/>
          <a:ext cx="66675" cy="952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581025</xdr:colOff>
      <xdr:row>72</xdr:row>
      <xdr:rowOff>9525</xdr:rowOff>
    </xdr:from>
    <xdr:to>
      <xdr:col>19</xdr:col>
      <xdr:colOff>171450</xdr:colOff>
      <xdr:row>73</xdr:row>
      <xdr:rowOff>0</xdr:rowOff>
    </xdr:to>
    <xdr:sp macro="" textlink="">
      <xdr:nvSpPr>
        <xdr:cNvPr id="53800" name="Line 184">
          <a:extLst>
            <a:ext uri="{FF2B5EF4-FFF2-40B4-BE49-F238E27FC236}">
              <a16:creationId xmlns:a16="http://schemas.microsoft.com/office/drawing/2014/main" id="{CAD7E72C-454A-4D18-A6EF-758BC5F7A74C}"/>
            </a:ext>
          </a:extLst>
        </xdr:cNvPr>
        <xdr:cNvSpPr>
          <a:spLocks noChangeShapeType="1"/>
        </xdr:cNvSpPr>
      </xdr:nvSpPr>
      <xdr:spPr bwMode="auto">
        <a:xfrm flipV="1">
          <a:off x="13049250" y="25403175"/>
          <a:ext cx="171450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523875</xdr:colOff>
      <xdr:row>72</xdr:row>
      <xdr:rowOff>9525</xdr:rowOff>
    </xdr:from>
    <xdr:to>
      <xdr:col>19</xdr:col>
      <xdr:colOff>76200</xdr:colOff>
      <xdr:row>72</xdr:row>
      <xdr:rowOff>219075</xdr:rowOff>
    </xdr:to>
    <xdr:sp macro="" textlink="">
      <xdr:nvSpPr>
        <xdr:cNvPr id="53801" name="Line 185">
          <a:extLst>
            <a:ext uri="{FF2B5EF4-FFF2-40B4-BE49-F238E27FC236}">
              <a16:creationId xmlns:a16="http://schemas.microsoft.com/office/drawing/2014/main" id="{7B014702-C91C-47FD-9667-436606141901}"/>
            </a:ext>
          </a:extLst>
        </xdr:cNvPr>
        <xdr:cNvSpPr>
          <a:spLocks noChangeShapeType="1"/>
        </xdr:cNvSpPr>
      </xdr:nvSpPr>
      <xdr:spPr bwMode="auto">
        <a:xfrm flipV="1">
          <a:off x="13049250" y="25403175"/>
          <a:ext cx="76200" cy="2095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476250</xdr:colOff>
      <xdr:row>72</xdr:row>
      <xdr:rowOff>9525</xdr:rowOff>
    </xdr:from>
    <xdr:to>
      <xdr:col>18</xdr:col>
      <xdr:colOff>361950</xdr:colOff>
      <xdr:row>72</xdr:row>
      <xdr:rowOff>171450</xdr:rowOff>
    </xdr:to>
    <xdr:sp macro="" textlink="">
      <xdr:nvSpPr>
        <xdr:cNvPr id="53802" name="Line 186">
          <a:extLst>
            <a:ext uri="{FF2B5EF4-FFF2-40B4-BE49-F238E27FC236}">
              <a16:creationId xmlns:a16="http://schemas.microsoft.com/office/drawing/2014/main" id="{C5494B72-7CC5-49B2-A1BE-A884ABD12F41}"/>
            </a:ext>
          </a:extLst>
        </xdr:cNvPr>
        <xdr:cNvSpPr>
          <a:spLocks noChangeShapeType="1"/>
        </xdr:cNvSpPr>
      </xdr:nvSpPr>
      <xdr:spPr bwMode="auto">
        <a:xfrm flipV="1">
          <a:off x="13049250" y="25403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447675</xdr:colOff>
      <xdr:row>71</xdr:row>
      <xdr:rowOff>276225</xdr:rowOff>
    </xdr:from>
    <xdr:to>
      <xdr:col>18</xdr:col>
      <xdr:colOff>552450</xdr:colOff>
      <xdr:row>72</xdr:row>
      <xdr:rowOff>95250</xdr:rowOff>
    </xdr:to>
    <xdr:sp macro="" textlink="">
      <xdr:nvSpPr>
        <xdr:cNvPr id="53803" name="Line 187">
          <a:extLst>
            <a:ext uri="{FF2B5EF4-FFF2-40B4-BE49-F238E27FC236}">
              <a16:creationId xmlns:a16="http://schemas.microsoft.com/office/drawing/2014/main" id="{168385C9-AD94-4B6D-974B-BDE5273514E4}"/>
            </a:ext>
          </a:extLst>
        </xdr:cNvPr>
        <xdr:cNvSpPr>
          <a:spLocks noChangeShapeType="1"/>
        </xdr:cNvSpPr>
      </xdr:nvSpPr>
      <xdr:spPr bwMode="auto">
        <a:xfrm flipV="1">
          <a:off x="13049250" y="25393650"/>
          <a:ext cx="0" cy="952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152400</xdr:colOff>
      <xdr:row>72</xdr:row>
      <xdr:rowOff>9525</xdr:rowOff>
    </xdr:from>
    <xdr:to>
      <xdr:col>19</xdr:col>
      <xdr:colOff>352425</xdr:colOff>
      <xdr:row>72</xdr:row>
      <xdr:rowOff>257175</xdr:rowOff>
    </xdr:to>
    <xdr:sp macro="" textlink="">
      <xdr:nvSpPr>
        <xdr:cNvPr id="53804" name="Line 188">
          <a:extLst>
            <a:ext uri="{FF2B5EF4-FFF2-40B4-BE49-F238E27FC236}">
              <a16:creationId xmlns:a16="http://schemas.microsoft.com/office/drawing/2014/main" id="{C1F2A6E4-52E1-4B6C-AF36-F38EF579E5F5}"/>
            </a:ext>
          </a:extLst>
        </xdr:cNvPr>
        <xdr:cNvSpPr>
          <a:spLocks noChangeShapeType="1"/>
        </xdr:cNvSpPr>
      </xdr:nvSpPr>
      <xdr:spPr bwMode="auto">
        <a:xfrm>
          <a:off x="13201650" y="25403175"/>
          <a:ext cx="200025" cy="2476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123825</xdr:colOff>
      <xdr:row>72</xdr:row>
      <xdr:rowOff>85725</xdr:rowOff>
    </xdr:from>
    <xdr:to>
      <xdr:col>19</xdr:col>
      <xdr:colOff>266700</xdr:colOff>
      <xdr:row>73</xdr:row>
      <xdr:rowOff>0</xdr:rowOff>
    </xdr:to>
    <xdr:sp macro="" textlink="">
      <xdr:nvSpPr>
        <xdr:cNvPr id="53805" name="Line 189">
          <a:extLst>
            <a:ext uri="{FF2B5EF4-FFF2-40B4-BE49-F238E27FC236}">
              <a16:creationId xmlns:a16="http://schemas.microsoft.com/office/drawing/2014/main" id="{9949395E-021E-4149-A2D8-11E89BA06EDF}"/>
            </a:ext>
          </a:extLst>
        </xdr:cNvPr>
        <xdr:cNvSpPr>
          <a:spLocks noChangeShapeType="1"/>
        </xdr:cNvSpPr>
      </xdr:nvSpPr>
      <xdr:spPr bwMode="auto">
        <a:xfrm flipH="1" flipV="1">
          <a:off x="13173075" y="25479375"/>
          <a:ext cx="142875" cy="1905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76200</xdr:colOff>
      <xdr:row>72</xdr:row>
      <xdr:rowOff>123825</xdr:rowOff>
    </xdr:from>
    <xdr:to>
      <xdr:col>19</xdr:col>
      <xdr:colOff>190500</xdr:colOff>
      <xdr:row>73</xdr:row>
      <xdr:rowOff>9525</xdr:rowOff>
    </xdr:to>
    <xdr:sp macro="" textlink="">
      <xdr:nvSpPr>
        <xdr:cNvPr id="53806" name="Line 190">
          <a:extLst>
            <a:ext uri="{FF2B5EF4-FFF2-40B4-BE49-F238E27FC236}">
              <a16:creationId xmlns:a16="http://schemas.microsoft.com/office/drawing/2014/main" id="{B75B4917-7BEF-47E9-9337-78838867A5BC}"/>
            </a:ext>
          </a:extLst>
        </xdr:cNvPr>
        <xdr:cNvSpPr>
          <a:spLocks noChangeShapeType="1"/>
        </xdr:cNvSpPr>
      </xdr:nvSpPr>
      <xdr:spPr bwMode="auto">
        <a:xfrm flipH="1" flipV="1">
          <a:off x="13125450" y="25517475"/>
          <a:ext cx="11430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47625</xdr:colOff>
      <xdr:row>72</xdr:row>
      <xdr:rowOff>180975</xdr:rowOff>
    </xdr:from>
    <xdr:to>
      <xdr:col>19</xdr:col>
      <xdr:colOff>123825</xdr:colOff>
      <xdr:row>73</xdr:row>
      <xdr:rowOff>19050</xdr:rowOff>
    </xdr:to>
    <xdr:sp macro="" textlink="">
      <xdr:nvSpPr>
        <xdr:cNvPr id="53807" name="Line 191">
          <a:extLst>
            <a:ext uri="{FF2B5EF4-FFF2-40B4-BE49-F238E27FC236}">
              <a16:creationId xmlns:a16="http://schemas.microsoft.com/office/drawing/2014/main" id="{26949B0B-54BA-4D74-A35E-EB91487247BD}"/>
            </a:ext>
          </a:extLst>
        </xdr:cNvPr>
        <xdr:cNvSpPr>
          <a:spLocks noChangeShapeType="1"/>
        </xdr:cNvSpPr>
      </xdr:nvSpPr>
      <xdr:spPr bwMode="auto">
        <a:xfrm flipH="1" flipV="1">
          <a:off x="13096875" y="25574625"/>
          <a:ext cx="76200" cy="1143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323850</xdr:colOff>
      <xdr:row>72</xdr:row>
      <xdr:rowOff>9525</xdr:rowOff>
    </xdr:from>
    <xdr:to>
      <xdr:col>19</xdr:col>
      <xdr:colOff>523875</xdr:colOff>
      <xdr:row>73</xdr:row>
      <xdr:rowOff>0</xdr:rowOff>
    </xdr:to>
    <xdr:sp macro="" textlink="">
      <xdr:nvSpPr>
        <xdr:cNvPr id="53808" name="Line 192">
          <a:extLst>
            <a:ext uri="{FF2B5EF4-FFF2-40B4-BE49-F238E27FC236}">
              <a16:creationId xmlns:a16="http://schemas.microsoft.com/office/drawing/2014/main" id="{65E65DA1-EDAA-4EDE-A185-C53752170C0A}"/>
            </a:ext>
          </a:extLst>
        </xdr:cNvPr>
        <xdr:cNvSpPr>
          <a:spLocks noChangeShapeType="1"/>
        </xdr:cNvSpPr>
      </xdr:nvSpPr>
      <xdr:spPr bwMode="auto">
        <a:xfrm flipV="1">
          <a:off x="13373100" y="25403175"/>
          <a:ext cx="200025" cy="266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295275</xdr:colOff>
      <xdr:row>72</xdr:row>
      <xdr:rowOff>19050</xdr:rowOff>
    </xdr:from>
    <xdr:to>
      <xdr:col>19</xdr:col>
      <xdr:colOff>438150</xdr:colOff>
      <xdr:row>72</xdr:row>
      <xdr:rowOff>190500</xdr:rowOff>
    </xdr:to>
    <xdr:sp macro="" textlink="">
      <xdr:nvSpPr>
        <xdr:cNvPr id="53809" name="Line 193">
          <a:extLst>
            <a:ext uri="{FF2B5EF4-FFF2-40B4-BE49-F238E27FC236}">
              <a16:creationId xmlns:a16="http://schemas.microsoft.com/office/drawing/2014/main" id="{07CC1B1A-6851-4BAE-B6FA-855F7152166A}"/>
            </a:ext>
          </a:extLst>
        </xdr:cNvPr>
        <xdr:cNvSpPr>
          <a:spLocks noChangeShapeType="1"/>
        </xdr:cNvSpPr>
      </xdr:nvSpPr>
      <xdr:spPr bwMode="auto">
        <a:xfrm flipV="1">
          <a:off x="13344525" y="25412700"/>
          <a:ext cx="142875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247650</xdr:colOff>
      <xdr:row>72</xdr:row>
      <xdr:rowOff>9525</xdr:rowOff>
    </xdr:from>
    <xdr:to>
      <xdr:col>19</xdr:col>
      <xdr:colOff>371475</xdr:colOff>
      <xdr:row>72</xdr:row>
      <xdr:rowOff>142875</xdr:rowOff>
    </xdr:to>
    <xdr:sp macro="" textlink="">
      <xdr:nvSpPr>
        <xdr:cNvPr id="53810" name="Line 194">
          <a:extLst>
            <a:ext uri="{FF2B5EF4-FFF2-40B4-BE49-F238E27FC236}">
              <a16:creationId xmlns:a16="http://schemas.microsoft.com/office/drawing/2014/main" id="{ECFB9491-568B-4031-B6BC-E10AD38E213A}"/>
            </a:ext>
          </a:extLst>
        </xdr:cNvPr>
        <xdr:cNvSpPr>
          <a:spLocks noChangeShapeType="1"/>
        </xdr:cNvSpPr>
      </xdr:nvSpPr>
      <xdr:spPr bwMode="auto">
        <a:xfrm flipV="1">
          <a:off x="13296900" y="25403175"/>
          <a:ext cx="123825" cy="1333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228600</xdr:colOff>
      <xdr:row>72</xdr:row>
      <xdr:rowOff>9525</xdr:rowOff>
    </xdr:from>
    <xdr:to>
      <xdr:col>19</xdr:col>
      <xdr:colOff>304800</xdr:colOff>
      <xdr:row>72</xdr:row>
      <xdr:rowOff>85725</xdr:rowOff>
    </xdr:to>
    <xdr:sp macro="" textlink="">
      <xdr:nvSpPr>
        <xdr:cNvPr id="53811" name="Line 195">
          <a:extLst>
            <a:ext uri="{FF2B5EF4-FFF2-40B4-BE49-F238E27FC236}">
              <a16:creationId xmlns:a16="http://schemas.microsoft.com/office/drawing/2014/main" id="{77A8CC55-D36F-450E-A6B8-A6C5CB9A274A}"/>
            </a:ext>
          </a:extLst>
        </xdr:cNvPr>
        <xdr:cNvSpPr>
          <a:spLocks noChangeShapeType="1"/>
        </xdr:cNvSpPr>
      </xdr:nvSpPr>
      <xdr:spPr bwMode="auto">
        <a:xfrm flipV="1">
          <a:off x="13277850" y="25403175"/>
          <a:ext cx="76200" cy="76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514350</xdr:colOff>
      <xdr:row>72</xdr:row>
      <xdr:rowOff>9525</xdr:rowOff>
    </xdr:from>
    <xdr:to>
      <xdr:col>20</xdr:col>
      <xdr:colOff>85725</xdr:colOff>
      <xdr:row>72</xdr:row>
      <xdr:rowOff>247650</xdr:rowOff>
    </xdr:to>
    <xdr:sp macro="" textlink="">
      <xdr:nvSpPr>
        <xdr:cNvPr id="53812" name="Line 196">
          <a:extLst>
            <a:ext uri="{FF2B5EF4-FFF2-40B4-BE49-F238E27FC236}">
              <a16:creationId xmlns:a16="http://schemas.microsoft.com/office/drawing/2014/main" id="{73F51099-4A4F-41AD-ACDA-5683EBBB8E9B}"/>
            </a:ext>
          </a:extLst>
        </xdr:cNvPr>
        <xdr:cNvSpPr>
          <a:spLocks noChangeShapeType="1"/>
        </xdr:cNvSpPr>
      </xdr:nvSpPr>
      <xdr:spPr bwMode="auto">
        <a:xfrm>
          <a:off x="13563600" y="25403175"/>
          <a:ext cx="238125" cy="2381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476250</xdr:colOff>
      <xdr:row>72</xdr:row>
      <xdr:rowOff>85725</xdr:rowOff>
    </xdr:from>
    <xdr:to>
      <xdr:col>20</xdr:col>
      <xdr:colOff>0</xdr:colOff>
      <xdr:row>72</xdr:row>
      <xdr:rowOff>257175</xdr:rowOff>
    </xdr:to>
    <xdr:sp macro="" textlink="">
      <xdr:nvSpPr>
        <xdr:cNvPr id="53813" name="Line 197">
          <a:extLst>
            <a:ext uri="{FF2B5EF4-FFF2-40B4-BE49-F238E27FC236}">
              <a16:creationId xmlns:a16="http://schemas.microsoft.com/office/drawing/2014/main" id="{A5DFD427-17BC-411A-9EED-5CD5005D4535}"/>
            </a:ext>
          </a:extLst>
        </xdr:cNvPr>
        <xdr:cNvSpPr>
          <a:spLocks noChangeShapeType="1"/>
        </xdr:cNvSpPr>
      </xdr:nvSpPr>
      <xdr:spPr bwMode="auto">
        <a:xfrm flipH="1" flipV="1">
          <a:off x="13525500" y="25479375"/>
          <a:ext cx="19050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428625</xdr:colOff>
      <xdr:row>72</xdr:row>
      <xdr:rowOff>133350</xdr:rowOff>
    </xdr:from>
    <xdr:to>
      <xdr:col>19</xdr:col>
      <xdr:colOff>523875</xdr:colOff>
      <xdr:row>73</xdr:row>
      <xdr:rowOff>0</xdr:rowOff>
    </xdr:to>
    <xdr:sp macro="" textlink="">
      <xdr:nvSpPr>
        <xdr:cNvPr id="53814" name="Line 198">
          <a:extLst>
            <a:ext uri="{FF2B5EF4-FFF2-40B4-BE49-F238E27FC236}">
              <a16:creationId xmlns:a16="http://schemas.microsoft.com/office/drawing/2014/main" id="{109BEE2E-F272-45E7-AE23-23B03D5FDF9F}"/>
            </a:ext>
          </a:extLst>
        </xdr:cNvPr>
        <xdr:cNvSpPr>
          <a:spLocks noChangeShapeType="1"/>
        </xdr:cNvSpPr>
      </xdr:nvSpPr>
      <xdr:spPr bwMode="auto">
        <a:xfrm flipH="1" flipV="1">
          <a:off x="13477875" y="25527000"/>
          <a:ext cx="95250" cy="1428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390525</xdr:colOff>
      <xdr:row>72</xdr:row>
      <xdr:rowOff>190500</xdr:rowOff>
    </xdr:from>
    <xdr:to>
      <xdr:col>19</xdr:col>
      <xdr:colOff>438150</xdr:colOff>
      <xdr:row>72</xdr:row>
      <xdr:rowOff>247650</xdr:rowOff>
    </xdr:to>
    <xdr:sp macro="" textlink="">
      <xdr:nvSpPr>
        <xdr:cNvPr id="53815" name="Line 199">
          <a:extLst>
            <a:ext uri="{FF2B5EF4-FFF2-40B4-BE49-F238E27FC236}">
              <a16:creationId xmlns:a16="http://schemas.microsoft.com/office/drawing/2014/main" id="{3D1CFFF2-EB1E-42BD-8B36-689AF7A9E83C}"/>
            </a:ext>
          </a:extLst>
        </xdr:cNvPr>
        <xdr:cNvSpPr>
          <a:spLocks noChangeShapeType="1"/>
        </xdr:cNvSpPr>
      </xdr:nvSpPr>
      <xdr:spPr bwMode="auto">
        <a:xfrm flipH="1" flipV="1">
          <a:off x="13439775" y="25584150"/>
          <a:ext cx="47625" cy="57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523875</xdr:colOff>
      <xdr:row>75</xdr:row>
      <xdr:rowOff>152400</xdr:rowOff>
    </xdr:from>
    <xdr:to>
      <xdr:col>13</xdr:col>
      <xdr:colOff>38100</xdr:colOff>
      <xdr:row>75</xdr:row>
      <xdr:rowOff>152400</xdr:rowOff>
    </xdr:to>
    <xdr:sp macro="" textlink="">
      <xdr:nvSpPr>
        <xdr:cNvPr id="53816" name="Line 200">
          <a:extLst>
            <a:ext uri="{FF2B5EF4-FFF2-40B4-BE49-F238E27FC236}">
              <a16:creationId xmlns:a16="http://schemas.microsoft.com/office/drawing/2014/main" id="{FAAEEF28-D3AC-4970-BC87-E3E46C09C9D3}"/>
            </a:ext>
          </a:extLst>
        </xdr:cNvPr>
        <xdr:cNvSpPr>
          <a:spLocks noChangeShapeType="1"/>
        </xdr:cNvSpPr>
      </xdr:nvSpPr>
      <xdr:spPr bwMode="auto">
        <a:xfrm>
          <a:off x="8429625" y="26374725"/>
          <a:ext cx="1809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57150</xdr:colOff>
      <xdr:row>69</xdr:row>
      <xdr:rowOff>200025</xdr:rowOff>
    </xdr:from>
    <xdr:to>
      <xdr:col>12</xdr:col>
      <xdr:colOff>57150</xdr:colOff>
      <xdr:row>81</xdr:row>
      <xdr:rowOff>200025</xdr:rowOff>
    </xdr:to>
    <xdr:sp macro="" textlink="">
      <xdr:nvSpPr>
        <xdr:cNvPr id="53817" name="Line 201">
          <a:extLst>
            <a:ext uri="{FF2B5EF4-FFF2-40B4-BE49-F238E27FC236}">
              <a16:creationId xmlns:a16="http://schemas.microsoft.com/office/drawing/2014/main" id="{213E1C81-6B87-4EF8-96AC-B8F5B43450D2}"/>
            </a:ext>
          </a:extLst>
        </xdr:cNvPr>
        <xdr:cNvSpPr>
          <a:spLocks noChangeShapeType="1"/>
        </xdr:cNvSpPr>
      </xdr:nvSpPr>
      <xdr:spPr bwMode="auto">
        <a:xfrm flipV="1">
          <a:off x="7962900" y="24765000"/>
          <a:ext cx="0" cy="3314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476250</xdr:colOff>
      <xdr:row>70</xdr:row>
      <xdr:rowOff>57150</xdr:rowOff>
    </xdr:from>
    <xdr:to>
      <xdr:col>11</xdr:col>
      <xdr:colOff>476250</xdr:colOff>
      <xdr:row>82</xdr:row>
      <xdr:rowOff>152400</xdr:rowOff>
    </xdr:to>
    <xdr:sp macro="" textlink="">
      <xdr:nvSpPr>
        <xdr:cNvPr id="53818" name="Line 202">
          <a:extLst>
            <a:ext uri="{FF2B5EF4-FFF2-40B4-BE49-F238E27FC236}">
              <a16:creationId xmlns:a16="http://schemas.microsoft.com/office/drawing/2014/main" id="{D6E35F60-5651-42D8-8783-9169BDEAAD33}"/>
            </a:ext>
          </a:extLst>
        </xdr:cNvPr>
        <xdr:cNvSpPr>
          <a:spLocks noChangeShapeType="1"/>
        </xdr:cNvSpPr>
      </xdr:nvSpPr>
      <xdr:spPr bwMode="auto">
        <a:xfrm flipV="1">
          <a:off x="7715250" y="24898350"/>
          <a:ext cx="0" cy="34099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381000</xdr:colOff>
      <xdr:row>69</xdr:row>
      <xdr:rowOff>152400</xdr:rowOff>
    </xdr:from>
    <xdr:to>
      <xdr:col>12</xdr:col>
      <xdr:colOff>381000</xdr:colOff>
      <xdr:row>76</xdr:row>
      <xdr:rowOff>180975</xdr:rowOff>
    </xdr:to>
    <xdr:sp macro="" textlink="">
      <xdr:nvSpPr>
        <xdr:cNvPr id="53819" name="Line 203">
          <a:extLst>
            <a:ext uri="{FF2B5EF4-FFF2-40B4-BE49-F238E27FC236}">
              <a16:creationId xmlns:a16="http://schemas.microsoft.com/office/drawing/2014/main" id="{D6726CCC-3F3B-44FD-AC86-F2B8B14A011B}"/>
            </a:ext>
          </a:extLst>
        </xdr:cNvPr>
        <xdr:cNvSpPr>
          <a:spLocks noChangeShapeType="1"/>
        </xdr:cNvSpPr>
      </xdr:nvSpPr>
      <xdr:spPr bwMode="auto">
        <a:xfrm flipV="1">
          <a:off x="8286750" y="24717375"/>
          <a:ext cx="0" cy="1962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390525</xdr:colOff>
      <xdr:row>76</xdr:row>
      <xdr:rowOff>161925</xdr:rowOff>
    </xdr:from>
    <xdr:to>
      <xdr:col>13</xdr:col>
      <xdr:colOff>28575</xdr:colOff>
      <xdr:row>76</xdr:row>
      <xdr:rowOff>161925</xdr:rowOff>
    </xdr:to>
    <xdr:sp macro="" textlink="">
      <xdr:nvSpPr>
        <xdr:cNvPr id="53820" name="Line 205">
          <a:extLst>
            <a:ext uri="{FF2B5EF4-FFF2-40B4-BE49-F238E27FC236}">
              <a16:creationId xmlns:a16="http://schemas.microsoft.com/office/drawing/2014/main" id="{EA0E436B-6F12-4C3D-98B8-BD032CBDD509}"/>
            </a:ext>
          </a:extLst>
        </xdr:cNvPr>
        <xdr:cNvSpPr>
          <a:spLocks noChangeShapeType="1"/>
        </xdr:cNvSpPr>
      </xdr:nvSpPr>
      <xdr:spPr bwMode="auto">
        <a:xfrm flipV="1">
          <a:off x="8296275" y="26660475"/>
          <a:ext cx="30480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247650</xdr:colOff>
      <xdr:row>77</xdr:row>
      <xdr:rowOff>257175</xdr:rowOff>
    </xdr:from>
    <xdr:to>
      <xdr:col>13</xdr:col>
      <xdr:colOff>19050</xdr:colOff>
      <xdr:row>77</xdr:row>
      <xdr:rowOff>257175</xdr:rowOff>
    </xdr:to>
    <xdr:sp macro="" textlink="">
      <xdr:nvSpPr>
        <xdr:cNvPr id="53821" name="Line 206">
          <a:extLst>
            <a:ext uri="{FF2B5EF4-FFF2-40B4-BE49-F238E27FC236}">
              <a16:creationId xmlns:a16="http://schemas.microsoft.com/office/drawing/2014/main" id="{3E70987B-EDEC-4950-AA35-5DD76E27A23C}"/>
            </a:ext>
          </a:extLst>
        </xdr:cNvPr>
        <xdr:cNvSpPr>
          <a:spLocks noChangeShapeType="1"/>
        </xdr:cNvSpPr>
      </xdr:nvSpPr>
      <xdr:spPr bwMode="auto">
        <a:xfrm>
          <a:off x="8153400" y="27031950"/>
          <a:ext cx="438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81</xdr:row>
      <xdr:rowOff>190500</xdr:rowOff>
    </xdr:from>
    <xdr:to>
      <xdr:col>13</xdr:col>
      <xdr:colOff>47625</xdr:colOff>
      <xdr:row>81</xdr:row>
      <xdr:rowOff>190500</xdr:rowOff>
    </xdr:to>
    <xdr:sp macro="" textlink="">
      <xdr:nvSpPr>
        <xdr:cNvPr id="53822" name="Line 207">
          <a:extLst>
            <a:ext uri="{FF2B5EF4-FFF2-40B4-BE49-F238E27FC236}">
              <a16:creationId xmlns:a16="http://schemas.microsoft.com/office/drawing/2014/main" id="{6A12EC13-4B0E-4A7B-BD1D-1625E988553E}"/>
            </a:ext>
          </a:extLst>
        </xdr:cNvPr>
        <xdr:cNvSpPr>
          <a:spLocks noChangeShapeType="1"/>
        </xdr:cNvSpPr>
      </xdr:nvSpPr>
      <xdr:spPr bwMode="auto">
        <a:xfrm flipV="1">
          <a:off x="7953375" y="28070175"/>
          <a:ext cx="6667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485775</xdr:colOff>
      <xdr:row>68</xdr:row>
      <xdr:rowOff>200025</xdr:rowOff>
    </xdr:from>
    <xdr:to>
      <xdr:col>12</xdr:col>
      <xdr:colOff>552450</xdr:colOff>
      <xdr:row>69</xdr:row>
      <xdr:rowOff>38100</xdr:rowOff>
    </xdr:to>
    <xdr:sp macro="" textlink="">
      <xdr:nvSpPr>
        <xdr:cNvPr id="53823" name="Freeform 208">
          <a:extLst>
            <a:ext uri="{FF2B5EF4-FFF2-40B4-BE49-F238E27FC236}">
              <a16:creationId xmlns:a16="http://schemas.microsoft.com/office/drawing/2014/main" id="{DCD3B082-5625-4ED0-B727-DEBE9823F539}"/>
            </a:ext>
          </a:extLst>
        </xdr:cNvPr>
        <xdr:cNvSpPr>
          <a:spLocks/>
        </xdr:cNvSpPr>
      </xdr:nvSpPr>
      <xdr:spPr bwMode="auto">
        <a:xfrm flipH="1">
          <a:off x="8391525" y="24488775"/>
          <a:ext cx="66675" cy="114300"/>
        </a:xfrm>
        <a:custGeom>
          <a:avLst/>
          <a:gdLst>
            <a:gd name="T0" fmla="*/ 0 w 10"/>
            <a:gd name="T1" fmla="*/ 2147483646 h 14"/>
            <a:gd name="T2" fmla="*/ 0 w 10"/>
            <a:gd name="T3" fmla="*/ 2147483646 h 14"/>
            <a:gd name="T4" fmla="*/ 2147483646 w 10"/>
            <a:gd name="T5" fmla="*/ 2147483646 h 14"/>
            <a:gd name="T6" fmla="*/ 2147483646 w 10"/>
            <a:gd name="T7" fmla="*/ 0 h 14"/>
            <a:gd name="T8" fmla="*/ 2147483646 w 10"/>
            <a:gd name="T9" fmla="*/ 2147483646 h 14"/>
            <a:gd name="T10" fmla="*/ 2147483646 w 10"/>
            <a:gd name="T11" fmla="*/ 2147483646 h 14"/>
            <a:gd name="T12" fmla="*/ 2147483646 w 10"/>
            <a:gd name="T13" fmla="*/ 2147483646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0"/>
            <a:gd name="T22" fmla="*/ 0 h 14"/>
            <a:gd name="T23" fmla="*/ 10 w 10"/>
            <a:gd name="T24" fmla="*/ 14 h 1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0" h="14">
              <a:moveTo>
                <a:pt x="0" y="14"/>
              </a:moveTo>
              <a:cubicBezTo>
                <a:pt x="0" y="13"/>
                <a:pt x="0" y="9"/>
                <a:pt x="0" y="7"/>
              </a:cubicBezTo>
              <a:cubicBezTo>
                <a:pt x="0" y="5"/>
                <a:pt x="0" y="4"/>
                <a:pt x="1" y="3"/>
              </a:cubicBezTo>
              <a:cubicBezTo>
                <a:pt x="2" y="2"/>
                <a:pt x="4" y="0"/>
                <a:pt x="5" y="0"/>
              </a:cubicBezTo>
              <a:cubicBezTo>
                <a:pt x="6" y="0"/>
                <a:pt x="8" y="2"/>
                <a:pt x="9" y="3"/>
              </a:cubicBezTo>
              <a:cubicBezTo>
                <a:pt x="10" y="4"/>
                <a:pt x="10" y="5"/>
                <a:pt x="10" y="7"/>
              </a:cubicBezTo>
              <a:cubicBezTo>
                <a:pt x="10" y="9"/>
                <a:pt x="10" y="13"/>
                <a:pt x="10" y="14"/>
              </a:cubicBezTo>
            </a:path>
          </a:pathLst>
        </a:custGeom>
        <a:noFill/>
        <a:ln w="6350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209550</xdr:colOff>
      <xdr:row>68</xdr:row>
      <xdr:rowOff>209550</xdr:rowOff>
    </xdr:from>
    <xdr:to>
      <xdr:col>11</xdr:col>
      <xdr:colOff>561975</xdr:colOff>
      <xdr:row>68</xdr:row>
      <xdr:rowOff>228600</xdr:rowOff>
    </xdr:to>
    <xdr:sp macro="" textlink="">
      <xdr:nvSpPr>
        <xdr:cNvPr id="53824" name="Line 209">
          <a:extLst>
            <a:ext uri="{FF2B5EF4-FFF2-40B4-BE49-F238E27FC236}">
              <a16:creationId xmlns:a16="http://schemas.microsoft.com/office/drawing/2014/main" id="{5DEF7D78-7564-44C9-A625-62C7E218565C}"/>
            </a:ext>
          </a:extLst>
        </xdr:cNvPr>
        <xdr:cNvSpPr>
          <a:spLocks noChangeShapeType="1"/>
        </xdr:cNvSpPr>
      </xdr:nvSpPr>
      <xdr:spPr bwMode="auto">
        <a:xfrm flipH="1" flipV="1">
          <a:off x="7448550" y="24498300"/>
          <a:ext cx="352425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 type="stealth" w="sm" len="sm"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390525</xdr:colOff>
      <xdr:row>71</xdr:row>
      <xdr:rowOff>161925</xdr:rowOff>
    </xdr:from>
    <xdr:to>
      <xdr:col>1</xdr:col>
      <xdr:colOff>514350</xdr:colOff>
      <xdr:row>71</xdr:row>
      <xdr:rowOff>257175</xdr:rowOff>
    </xdr:to>
    <xdr:sp macro="" textlink="">
      <xdr:nvSpPr>
        <xdr:cNvPr id="53825" name="Freeform 218">
          <a:extLst>
            <a:ext uri="{FF2B5EF4-FFF2-40B4-BE49-F238E27FC236}">
              <a16:creationId xmlns:a16="http://schemas.microsoft.com/office/drawing/2014/main" id="{E4C19B85-AEF1-4C67-A92D-8562AA625DC5}"/>
            </a:ext>
          </a:extLst>
        </xdr:cNvPr>
        <xdr:cNvSpPr>
          <a:spLocks/>
        </xdr:cNvSpPr>
      </xdr:nvSpPr>
      <xdr:spPr bwMode="auto">
        <a:xfrm>
          <a:off x="962025" y="25279350"/>
          <a:ext cx="123825" cy="95250"/>
        </a:xfrm>
        <a:custGeom>
          <a:avLst/>
          <a:gdLst>
            <a:gd name="T0" fmla="*/ 0 w 13"/>
            <a:gd name="T1" fmla="*/ 0 h 10"/>
            <a:gd name="T2" fmla="*/ 2147483646 w 13"/>
            <a:gd name="T3" fmla="*/ 0 h 10"/>
            <a:gd name="T4" fmla="*/ 2147483646 w 13"/>
            <a:gd name="T5" fmla="*/ 2147483646 h 10"/>
            <a:gd name="T6" fmla="*/ 0 w 13"/>
            <a:gd name="T7" fmla="*/ 0 h 10"/>
            <a:gd name="T8" fmla="*/ 0 60000 65536"/>
            <a:gd name="T9" fmla="*/ 0 60000 65536"/>
            <a:gd name="T10" fmla="*/ 0 60000 65536"/>
            <a:gd name="T11" fmla="*/ 0 60000 65536"/>
            <a:gd name="T12" fmla="*/ 0 w 13"/>
            <a:gd name="T13" fmla="*/ 0 h 10"/>
            <a:gd name="T14" fmla="*/ 13 w 13"/>
            <a:gd name="T15" fmla="*/ 10 h 1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3" h="10">
              <a:moveTo>
                <a:pt x="0" y="0"/>
              </a:moveTo>
              <a:lnTo>
                <a:pt x="13" y="0"/>
              </a:lnTo>
              <a:lnTo>
                <a:pt x="6" y="10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447675</xdr:colOff>
      <xdr:row>69</xdr:row>
      <xdr:rowOff>114300</xdr:rowOff>
    </xdr:from>
    <xdr:to>
      <xdr:col>10</xdr:col>
      <xdr:colOff>161925</xdr:colOff>
      <xdr:row>69</xdr:row>
      <xdr:rowOff>180975</xdr:rowOff>
    </xdr:to>
    <xdr:sp macro="" textlink="">
      <xdr:nvSpPr>
        <xdr:cNvPr id="53826" name="Line 219">
          <a:extLst>
            <a:ext uri="{FF2B5EF4-FFF2-40B4-BE49-F238E27FC236}">
              <a16:creationId xmlns:a16="http://schemas.microsoft.com/office/drawing/2014/main" id="{FEA84899-C9CE-4517-AAA5-7067A8A97A1B}"/>
            </a:ext>
          </a:extLst>
        </xdr:cNvPr>
        <xdr:cNvSpPr>
          <a:spLocks noChangeShapeType="1"/>
        </xdr:cNvSpPr>
      </xdr:nvSpPr>
      <xdr:spPr bwMode="auto">
        <a:xfrm flipV="1">
          <a:off x="3019425" y="24679275"/>
          <a:ext cx="3714750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514350</xdr:colOff>
      <xdr:row>70</xdr:row>
      <xdr:rowOff>0</xdr:rowOff>
    </xdr:from>
    <xdr:to>
      <xdr:col>10</xdr:col>
      <xdr:colOff>9525</xdr:colOff>
      <xdr:row>70</xdr:row>
      <xdr:rowOff>85725</xdr:rowOff>
    </xdr:to>
    <xdr:sp macro="" textlink="">
      <xdr:nvSpPr>
        <xdr:cNvPr id="53827" name="Line 220">
          <a:extLst>
            <a:ext uri="{FF2B5EF4-FFF2-40B4-BE49-F238E27FC236}">
              <a16:creationId xmlns:a16="http://schemas.microsoft.com/office/drawing/2014/main" id="{6C13C6D4-DCC9-47C0-B422-97D529F8F161}"/>
            </a:ext>
          </a:extLst>
        </xdr:cNvPr>
        <xdr:cNvSpPr>
          <a:spLocks noChangeShapeType="1"/>
        </xdr:cNvSpPr>
      </xdr:nvSpPr>
      <xdr:spPr bwMode="auto">
        <a:xfrm flipV="1">
          <a:off x="2419350" y="24841200"/>
          <a:ext cx="4162425" cy="85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266700</xdr:colOff>
      <xdr:row>70</xdr:row>
      <xdr:rowOff>123825</xdr:rowOff>
    </xdr:from>
    <xdr:to>
      <xdr:col>10</xdr:col>
      <xdr:colOff>28575</xdr:colOff>
      <xdr:row>70</xdr:row>
      <xdr:rowOff>219075</xdr:rowOff>
    </xdr:to>
    <xdr:sp macro="" textlink="">
      <xdr:nvSpPr>
        <xdr:cNvPr id="53828" name="Line 221">
          <a:extLst>
            <a:ext uri="{FF2B5EF4-FFF2-40B4-BE49-F238E27FC236}">
              <a16:creationId xmlns:a16="http://schemas.microsoft.com/office/drawing/2014/main" id="{2B369DB0-E872-4ADE-B534-EFB17BFDDE8A}"/>
            </a:ext>
          </a:extLst>
        </xdr:cNvPr>
        <xdr:cNvSpPr>
          <a:spLocks noChangeShapeType="1"/>
        </xdr:cNvSpPr>
      </xdr:nvSpPr>
      <xdr:spPr bwMode="auto">
        <a:xfrm flipV="1">
          <a:off x="2171700" y="24965025"/>
          <a:ext cx="4429125" cy="95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70</xdr:row>
      <xdr:rowOff>0</xdr:rowOff>
    </xdr:from>
    <xdr:to>
      <xdr:col>16</xdr:col>
      <xdr:colOff>228600</xdr:colOff>
      <xdr:row>70</xdr:row>
      <xdr:rowOff>76200</xdr:rowOff>
    </xdr:to>
    <xdr:sp macro="" textlink="">
      <xdr:nvSpPr>
        <xdr:cNvPr id="53829" name="Line 222">
          <a:extLst>
            <a:ext uri="{FF2B5EF4-FFF2-40B4-BE49-F238E27FC236}">
              <a16:creationId xmlns:a16="http://schemas.microsoft.com/office/drawing/2014/main" id="{E93AC962-7E8C-451A-AB15-8D8F9E1CBD2D}"/>
            </a:ext>
          </a:extLst>
        </xdr:cNvPr>
        <xdr:cNvSpPr>
          <a:spLocks noChangeShapeType="1"/>
        </xdr:cNvSpPr>
      </xdr:nvSpPr>
      <xdr:spPr bwMode="auto">
        <a:xfrm>
          <a:off x="6581775" y="24841200"/>
          <a:ext cx="5305425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</xdr:colOff>
      <xdr:row>69</xdr:row>
      <xdr:rowOff>114300</xdr:rowOff>
    </xdr:from>
    <xdr:to>
      <xdr:col>15</xdr:col>
      <xdr:colOff>390525</xdr:colOff>
      <xdr:row>69</xdr:row>
      <xdr:rowOff>190500</xdr:rowOff>
    </xdr:to>
    <xdr:sp macro="" textlink="">
      <xdr:nvSpPr>
        <xdr:cNvPr id="53830" name="Line 223">
          <a:extLst>
            <a:ext uri="{FF2B5EF4-FFF2-40B4-BE49-F238E27FC236}">
              <a16:creationId xmlns:a16="http://schemas.microsoft.com/office/drawing/2014/main" id="{4B218FD3-1C7B-4953-B385-DE141ECE61BA}"/>
            </a:ext>
          </a:extLst>
        </xdr:cNvPr>
        <xdr:cNvSpPr>
          <a:spLocks noChangeShapeType="1"/>
        </xdr:cNvSpPr>
      </xdr:nvSpPr>
      <xdr:spPr bwMode="auto">
        <a:xfrm>
          <a:off x="6581775" y="24679275"/>
          <a:ext cx="4333875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28575</xdr:colOff>
      <xdr:row>70</xdr:row>
      <xdr:rowOff>123825</xdr:rowOff>
    </xdr:from>
    <xdr:to>
      <xdr:col>16</xdr:col>
      <xdr:colOff>514350</xdr:colOff>
      <xdr:row>70</xdr:row>
      <xdr:rowOff>190500</xdr:rowOff>
    </xdr:to>
    <xdr:sp macro="" textlink="">
      <xdr:nvSpPr>
        <xdr:cNvPr id="53831" name="Line 224">
          <a:extLst>
            <a:ext uri="{FF2B5EF4-FFF2-40B4-BE49-F238E27FC236}">
              <a16:creationId xmlns:a16="http://schemas.microsoft.com/office/drawing/2014/main" id="{F5C7903C-AD22-41AD-947A-3F57A44CCF05}"/>
            </a:ext>
          </a:extLst>
        </xdr:cNvPr>
        <xdr:cNvSpPr>
          <a:spLocks noChangeShapeType="1"/>
        </xdr:cNvSpPr>
      </xdr:nvSpPr>
      <xdr:spPr bwMode="auto">
        <a:xfrm>
          <a:off x="6600825" y="24965025"/>
          <a:ext cx="5572125" cy="66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581025</xdr:colOff>
      <xdr:row>68</xdr:row>
      <xdr:rowOff>257175</xdr:rowOff>
    </xdr:from>
    <xdr:to>
      <xdr:col>10</xdr:col>
      <xdr:colOff>190500</xdr:colOff>
      <xdr:row>69</xdr:row>
      <xdr:rowOff>76200</xdr:rowOff>
    </xdr:to>
    <xdr:sp macro="" textlink="">
      <xdr:nvSpPr>
        <xdr:cNvPr id="53832" name="Line 306">
          <a:extLst>
            <a:ext uri="{FF2B5EF4-FFF2-40B4-BE49-F238E27FC236}">
              <a16:creationId xmlns:a16="http://schemas.microsoft.com/office/drawing/2014/main" id="{4DB4A1EF-77DA-4705-9BA2-907CFC257E1B}"/>
            </a:ext>
          </a:extLst>
        </xdr:cNvPr>
        <xdr:cNvSpPr>
          <a:spLocks noChangeShapeType="1"/>
        </xdr:cNvSpPr>
      </xdr:nvSpPr>
      <xdr:spPr bwMode="auto">
        <a:xfrm flipV="1">
          <a:off x="3152775" y="24545925"/>
          <a:ext cx="3609975" cy="952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65</xdr:row>
      <xdr:rowOff>0</xdr:rowOff>
    </xdr:from>
    <xdr:to>
      <xdr:col>4</xdr:col>
      <xdr:colOff>428625</xdr:colOff>
      <xdr:row>68</xdr:row>
      <xdr:rowOff>47625</xdr:rowOff>
    </xdr:to>
    <xdr:sp macro="" textlink="">
      <xdr:nvSpPr>
        <xdr:cNvPr id="53833" name="Line 312">
          <a:extLst>
            <a:ext uri="{FF2B5EF4-FFF2-40B4-BE49-F238E27FC236}">
              <a16:creationId xmlns:a16="http://schemas.microsoft.com/office/drawing/2014/main" id="{1A175983-6A61-4E3E-BFC4-99AC275AE0EF}"/>
            </a:ext>
          </a:extLst>
        </xdr:cNvPr>
        <xdr:cNvSpPr>
          <a:spLocks noChangeShapeType="1"/>
        </xdr:cNvSpPr>
      </xdr:nvSpPr>
      <xdr:spPr bwMode="auto">
        <a:xfrm>
          <a:off x="3000375" y="23460075"/>
          <a:ext cx="0" cy="876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295275</xdr:colOff>
      <xdr:row>65</xdr:row>
      <xdr:rowOff>0</xdr:rowOff>
    </xdr:from>
    <xdr:to>
      <xdr:col>15</xdr:col>
      <xdr:colOff>295275</xdr:colOff>
      <xdr:row>68</xdr:row>
      <xdr:rowOff>57150</xdr:rowOff>
    </xdr:to>
    <xdr:sp macro="" textlink="">
      <xdr:nvSpPr>
        <xdr:cNvPr id="53834" name="Line 313">
          <a:extLst>
            <a:ext uri="{FF2B5EF4-FFF2-40B4-BE49-F238E27FC236}">
              <a16:creationId xmlns:a16="http://schemas.microsoft.com/office/drawing/2014/main" id="{E3487059-E4EF-4CC7-9AF2-B51C08AA005D}"/>
            </a:ext>
          </a:extLst>
        </xdr:cNvPr>
        <xdr:cNvSpPr>
          <a:spLocks noChangeShapeType="1"/>
        </xdr:cNvSpPr>
      </xdr:nvSpPr>
      <xdr:spPr bwMode="auto">
        <a:xfrm>
          <a:off x="10820400" y="23460075"/>
          <a:ext cx="0" cy="885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9525</xdr:colOff>
      <xdr:row>68</xdr:row>
      <xdr:rowOff>257175</xdr:rowOff>
    </xdr:from>
    <xdr:to>
      <xdr:col>5</xdr:col>
      <xdr:colOff>361950</xdr:colOff>
      <xdr:row>68</xdr:row>
      <xdr:rowOff>266700</xdr:rowOff>
    </xdr:to>
    <xdr:sp macro="" textlink="">
      <xdr:nvSpPr>
        <xdr:cNvPr id="53835" name="Line 315">
          <a:extLst>
            <a:ext uri="{FF2B5EF4-FFF2-40B4-BE49-F238E27FC236}">
              <a16:creationId xmlns:a16="http://schemas.microsoft.com/office/drawing/2014/main" id="{10C84464-D96B-4A62-B10C-3C50B2DFC28C}"/>
            </a:ext>
          </a:extLst>
        </xdr:cNvPr>
        <xdr:cNvSpPr>
          <a:spLocks noChangeShapeType="1"/>
        </xdr:cNvSpPr>
      </xdr:nvSpPr>
      <xdr:spPr bwMode="auto">
        <a:xfrm flipH="1">
          <a:off x="3248025" y="245459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295275</xdr:colOff>
      <xdr:row>68</xdr:row>
      <xdr:rowOff>247650</xdr:rowOff>
    </xdr:from>
    <xdr:to>
      <xdr:col>14</xdr:col>
      <xdr:colOff>647700</xdr:colOff>
      <xdr:row>68</xdr:row>
      <xdr:rowOff>266700</xdr:rowOff>
    </xdr:to>
    <xdr:sp macro="" textlink="">
      <xdr:nvSpPr>
        <xdr:cNvPr id="53836" name="Line 316">
          <a:extLst>
            <a:ext uri="{FF2B5EF4-FFF2-40B4-BE49-F238E27FC236}">
              <a16:creationId xmlns:a16="http://schemas.microsoft.com/office/drawing/2014/main" id="{2F20C617-5F4D-4A63-A316-EB263387B610}"/>
            </a:ext>
          </a:extLst>
        </xdr:cNvPr>
        <xdr:cNvSpPr>
          <a:spLocks noChangeShapeType="1"/>
        </xdr:cNvSpPr>
      </xdr:nvSpPr>
      <xdr:spPr bwMode="auto">
        <a:xfrm flipH="1" flipV="1">
          <a:off x="9534525" y="24536400"/>
          <a:ext cx="352425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 type="stealth" w="sm" len="sm"/>
          <a:tailEnd type="non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390525</xdr:colOff>
      <xdr:row>68</xdr:row>
      <xdr:rowOff>228600</xdr:rowOff>
    </xdr:from>
    <xdr:to>
      <xdr:col>5</xdr:col>
      <xdr:colOff>514350</xdr:colOff>
      <xdr:row>69</xdr:row>
      <xdr:rowOff>66675</xdr:rowOff>
    </xdr:to>
    <xdr:sp macro="" textlink="">
      <xdr:nvSpPr>
        <xdr:cNvPr id="53837" name="Freeform 317">
          <a:extLst>
            <a:ext uri="{FF2B5EF4-FFF2-40B4-BE49-F238E27FC236}">
              <a16:creationId xmlns:a16="http://schemas.microsoft.com/office/drawing/2014/main" id="{5AB1B364-A356-446D-AD94-5FB5C007F5B7}"/>
            </a:ext>
          </a:extLst>
        </xdr:cNvPr>
        <xdr:cNvSpPr>
          <a:spLocks/>
        </xdr:cNvSpPr>
      </xdr:nvSpPr>
      <xdr:spPr bwMode="auto">
        <a:xfrm>
          <a:off x="3629025" y="24517350"/>
          <a:ext cx="123825" cy="114300"/>
        </a:xfrm>
        <a:custGeom>
          <a:avLst/>
          <a:gdLst>
            <a:gd name="T0" fmla="*/ 0 w 10"/>
            <a:gd name="T1" fmla="*/ 2147483646 h 14"/>
            <a:gd name="T2" fmla="*/ 0 w 10"/>
            <a:gd name="T3" fmla="*/ 2147483646 h 14"/>
            <a:gd name="T4" fmla="*/ 2147483646 w 10"/>
            <a:gd name="T5" fmla="*/ 2147483646 h 14"/>
            <a:gd name="T6" fmla="*/ 2147483646 w 10"/>
            <a:gd name="T7" fmla="*/ 0 h 14"/>
            <a:gd name="T8" fmla="*/ 2147483646 w 10"/>
            <a:gd name="T9" fmla="*/ 2147483646 h 14"/>
            <a:gd name="T10" fmla="*/ 2147483646 w 10"/>
            <a:gd name="T11" fmla="*/ 2147483646 h 14"/>
            <a:gd name="T12" fmla="*/ 2147483646 w 10"/>
            <a:gd name="T13" fmla="*/ 2147483646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0"/>
            <a:gd name="T22" fmla="*/ 0 h 14"/>
            <a:gd name="T23" fmla="*/ 10 w 10"/>
            <a:gd name="T24" fmla="*/ 14 h 1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0" h="14">
              <a:moveTo>
                <a:pt x="0" y="14"/>
              </a:moveTo>
              <a:cubicBezTo>
                <a:pt x="0" y="13"/>
                <a:pt x="0" y="9"/>
                <a:pt x="0" y="7"/>
              </a:cubicBezTo>
              <a:cubicBezTo>
                <a:pt x="0" y="5"/>
                <a:pt x="0" y="4"/>
                <a:pt x="1" y="3"/>
              </a:cubicBezTo>
              <a:cubicBezTo>
                <a:pt x="2" y="2"/>
                <a:pt x="4" y="0"/>
                <a:pt x="5" y="0"/>
              </a:cubicBezTo>
              <a:cubicBezTo>
                <a:pt x="6" y="0"/>
                <a:pt x="8" y="2"/>
                <a:pt x="9" y="3"/>
              </a:cubicBezTo>
              <a:cubicBezTo>
                <a:pt x="10" y="4"/>
                <a:pt x="10" y="5"/>
                <a:pt x="10" y="7"/>
              </a:cubicBezTo>
              <a:cubicBezTo>
                <a:pt x="10" y="9"/>
                <a:pt x="10" y="13"/>
                <a:pt x="10" y="14"/>
              </a:cubicBezTo>
            </a:path>
          </a:pathLst>
        </a:custGeom>
        <a:noFill/>
        <a:ln w="6350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276225</xdr:colOff>
      <xdr:row>68</xdr:row>
      <xdr:rowOff>257175</xdr:rowOff>
    </xdr:from>
    <xdr:to>
      <xdr:col>15</xdr:col>
      <xdr:colOff>438150</xdr:colOff>
      <xdr:row>69</xdr:row>
      <xdr:rowOff>200025</xdr:rowOff>
    </xdr:to>
    <xdr:sp macro="" textlink="">
      <xdr:nvSpPr>
        <xdr:cNvPr id="53838" name="Freeform 320" descr="Light upward diagonal">
          <a:extLst>
            <a:ext uri="{FF2B5EF4-FFF2-40B4-BE49-F238E27FC236}">
              <a16:creationId xmlns:a16="http://schemas.microsoft.com/office/drawing/2014/main" id="{9C1D6DF3-15F5-44FC-9D47-2E8413EA44C1}"/>
            </a:ext>
          </a:extLst>
        </xdr:cNvPr>
        <xdr:cNvSpPr>
          <a:spLocks/>
        </xdr:cNvSpPr>
      </xdr:nvSpPr>
      <xdr:spPr bwMode="auto">
        <a:xfrm>
          <a:off x="2847975" y="24545925"/>
          <a:ext cx="8115300" cy="219075"/>
        </a:xfrm>
        <a:custGeom>
          <a:avLst/>
          <a:gdLst>
            <a:gd name="T0" fmla="*/ 2147483646 w 741"/>
            <a:gd name="T1" fmla="*/ 2147483646 h 23"/>
            <a:gd name="T2" fmla="*/ 2147483646 w 741"/>
            <a:gd name="T3" fmla="*/ 2147483646 h 23"/>
            <a:gd name="T4" fmla="*/ 2147483646 w 741"/>
            <a:gd name="T5" fmla="*/ 0 h 23"/>
            <a:gd name="T6" fmla="*/ 2147483646 w 741"/>
            <a:gd name="T7" fmla="*/ 2147483646 h 23"/>
            <a:gd name="T8" fmla="*/ 2147483646 w 741"/>
            <a:gd name="T9" fmla="*/ 2147483646 h 23"/>
            <a:gd name="T10" fmla="*/ 2147483646 w 741"/>
            <a:gd name="T11" fmla="*/ 2147483646 h 23"/>
            <a:gd name="T12" fmla="*/ 0 w 741"/>
            <a:gd name="T13" fmla="*/ 2147483646 h 23"/>
            <a:gd name="T14" fmla="*/ 2147483646 w 741"/>
            <a:gd name="T15" fmla="*/ 2147483646 h 23"/>
            <a:gd name="T16" fmla="*/ 2147483646 w 741"/>
            <a:gd name="T17" fmla="*/ 2147483646 h 23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w 741"/>
            <a:gd name="T28" fmla="*/ 0 h 23"/>
            <a:gd name="T29" fmla="*/ 741 w 741"/>
            <a:gd name="T30" fmla="*/ 23 h 23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T27" t="T28" r="T29" b="T30"/>
          <a:pathLst>
            <a:path w="741" h="23">
              <a:moveTo>
                <a:pt x="19" y="10"/>
              </a:moveTo>
              <a:lnTo>
                <a:pt x="20" y="9"/>
              </a:lnTo>
              <a:lnTo>
                <a:pt x="374" y="0"/>
              </a:lnTo>
              <a:lnTo>
                <a:pt x="726" y="10"/>
              </a:lnTo>
              <a:lnTo>
                <a:pt x="741" y="22"/>
              </a:lnTo>
              <a:lnTo>
                <a:pt x="373" y="14"/>
              </a:lnTo>
              <a:lnTo>
                <a:pt x="0" y="23"/>
              </a:lnTo>
              <a:lnTo>
                <a:pt x="3" y="21"/>
              </a:lnTo>
              <a:lnTo>
                <a:pt x="18" y="9"/>
              </a:lnTo>
            </a:path>
          </a:pathLst>
        </a:cu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238125</xdr:colOff>
      <xdr:row>69</xdr:row>
      <xdr:rowOff>219075</xdr:rowOff>
    </xdr:from>
    <xdr:to>
      <xdr:col>12</xdr:col>
      <xdr:colOff>247650</xdr:colOff>
      <xdr:row>77</xdr:row>
      <xdr:rowOff>247650</xdr:rowOff>
    </xdr:to>
    <xdr:sp macro="" textlink="">
      <xdr:nvSpPr>
        <xdr:cNvPr id="53839" name="Line 324">
          <a:extLst>
            <a:ext uri="{FF2B5EF4-FFF2-40B4-BE49-F238E27FC236}">
              <a16:creationId xmlns:a16="http://schemas.microsoft.com/office/drawing/2014/main" id="{18D8994A-2456-484B-BA15-99AC4CC7D5C2}"/>
            </a:ext>
          </a:extLst>
        </xdr:cNvPr>
        <xdr:cNvSpPr>
          <a:spLocks noChangeShapeType="1"/>
        </xdr:cNvSpPr>
      </xdr:nvSpPr>
      <xdr:spPr bwMode="auto">
        <a:xfrm flipH="1" flipV="1">
          <a:off x="8143875" y="24784050"/>
          <a:ext cx="9525" cy="22383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542925</xdr:colOff>
      <xdr:row>69</xdr:row>
      <xdr:rowOff>28575</xdr:rowOff>
    </xdr:from>
    <xdr:to>
      <xdr:col>12</xdr:col>
      <xdr:colOff>542925</xdr:colOff>
      <xdr:row>75</xdr:row>
      <xdr:rowOff>161925</xdr:rowOff>
    </xdr:to>
    <xdr:sp macro="" textlink="">
      <xdr:nvSpPr>
        <xdr:cNvPr id="53840" name="Line 326">
          <a:extLst>
            <a:ext uri="{FF2B5EF4-FFF2-40B4-BE49-F238E27FC236}">
              <a16:creationId xmlns:a16="http://schemas.microsoft.com/office/drawing/2014/main" id="{2B9A15CA-A724-4308-958D-56639D774480}"/>
            </a:ext>
          </a:extLst>
        </xdr:cNvPr>
        <xdr:cNvSpPr>
          <a:spLocks noChangeShapeType="1"/>
        </xdr:cNvSpPr>
      </xdr:nvSpPr>
      <xdr:spPr bwMode="auto">
        <a:xfrm>
          <a:off x="8448675" y="24593550"/>
          <a:ext cx="0" cy="1790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67</xdr:row>
      <xdr:rowOff>180975</xdr:rowOff>
    </xdr:from>
    <xdr:to>
      <xdr:col>10</xdr:col>
      <xdr:colOff>0</xdr:colOff>
      <xdr:row>73</xdr:row>
      <xdr:rowOff>200025</xdr:rowOff>
    </xdr:to>
    <xdr:sp macro="" textlink="">
      <xdr:nvSpPr>
        <xdr:cNvPr id="53841" name="Line 407">
          <a:extLst>
            <a:ext uri="{FF2B5EF4-FFF2-40B4-BE49-F238E27FC236}">
              <a16:creationId xmlns:a16="http://schemas.microsoft.com/office/drawing/2014/main" id="{FB58E05E-76A3-430B-A2E0-B090B92FE04E}"/>
            </a:ext>
          </a:extLst>
        </xdr:cNvPr>
        <xdr:cNvSpPr>
          <a:spLocks noChangeShapeType="1"/>
        </xdr:cNvSpPr>
      </xdr:nvSpPr>
      <xdr:spPr bwMode="auto">
        <a:xfrm flipV="1">
          <a:off x="6572250" y="2419350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prstDash val="lgDash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219075</xdr:colOff>
      <xdr:row>82</xdr:row>
      <xdr:rowOff>152400</xdr:rowOff>
    </xdr:from>
    <xdr:to>
      <xdr:col>13</xdr:col>
      <xdr:colOff>38100</xdr:colOff>
      <xdr:row>82</xdr:row>
      <xdr:rowOff>152400</xdr:rowOff>
    </xdr:to>
    <xdr:sp macro="" textlink="">
      <xdr:nvSpPr>
        <xdr:cNvPr id="53842" name="Line 484">
          <a:extLst>
            <a:ext uri="{FF2B5EF4-FFF2-40B4-BE49-F238E27FC236}">
              <a16:creationId xmlns:a16="http://schemas.microsoft.com/office/drawing/2014/main" id="{EB1BB704-13BA-44F5-8042-AE63277372D9}"/>
            </a:ext>
          </a:extLst>
        </xdr:cNvPr>
        <xdr:cNvSpPr>
          <a:spLocks noChangeShapeType="1"/>
        </xdr:cNvSpPr>
      </xdr:nvSpPr>
      <xdr:spPr bwMode="auto">
        <a:xfrm>
          <a:off x="7458075" y="28308300"/>
          <a:ext cx="1152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219075</xdr:colOff>
      <xdr:row>71</xdr:row>
      <xdr:rowOff>28575</xdr:rowOff>
    </xdr:from>
    <xdr:to>
      <xdr:col>11</xdr:col>
      <xdr:colOff>219075</xdr:colOff>
      <xdr:row>82</xdr:row>
      <xdr:rowOff>142875</xdr:rowOff>
    </xdr:to>
    <xdr:sp macro="" textlink="">
      <xdr:nvSpPr>
        <xdr:cNvPr id="53843" name="Line 486">
          <a:extLst>
            <a:ext uri="{FF2B5EF4-FFF2-40B4-BE49-F238E27FC236}">
              <a16:creationId xmlns:a16="http://schemas.microsoft.com/office/drawing/2014/main" id="{E9557310-3B2C-47E0-ABBF-ED53A35A8E76}"/>
            </a:ext>
          </a:extLst>
        </xdr:cNvPr>
        <xdr:cNvSpPr>
          <a:spLocks noChangeShapeType="1"/>
        </xdr:cNvSpPr>
      </xdr:nvSpPr>
      <xdr:spPr bwMode="auto">
        <a:xfrm flipV="1">
          <a:off x="7458075" y="25146000"/>
          <a:ext cx="0" cy="31527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7</xdr:col>
      <xdr:colOff>342900</xdr:colOff>
      <xdr:row>2</xdr:row>
      <xdr:rowOff>123825</xdr:rowOff>
    </xdr:from>
    <xdr:to>
      <xdr:col>12</xdr:col>
      <xdr:colOff>523875</xdr:colOff>
      <xdr:row>13</xdr:row>
      <xdr:rowOff>533400</xdr:rowOff>
    </xdr:to>
    <xdr:sp macro="" textlink="">
      <xdr:nvSpPr>
        <xdr:cNvPr id="53844" name="Picture 123" descr="รูปภาพ1.png">
          <a:extLst>
            <a:ext uri="{FF2B5EF4-FFF2-40B4-BE49-F238E27FC236}">
              <a16:creationId xmlns:a16="http://schemas.microsoft.com/office/drawing/2014/main" id="{76A643D2-61DB-4348-8665-D694CC10261B}"/>
            </a:ext>
          </a:extLst>
        </xdr:cNvPr>
        <xdr:cNvSpPr>
          <a:spLocks noChangeAspect="1"/>
        </xdr:cNvSpPr>
      </xdr:nvSpPr>
      <xdr:spPr bwMode="auto">
        <a:xfrm>
          <a:off x="4914900" y="676275"/>
          <a:ext cx="3514725" cy="344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576595</xdr:colOff>
      <xdr:row>78</xdr:row>
      <xdr:rowOff>259773</xdr:rowOff>
    </xdr:from>
    <xdr:to>
      <xdr:col>7</xdr:col>
      <xdr:colOff>569268</xdr:colOff>
      <xdr:row>78</xdr:row>
      <xdr:rowOff>259773</xdr:rowOff>
    </xdr:to>
    <xdr:cxnSp macro="">
      <xdr:nvCxnSpPr>
        <xdr:cNvPr id="126" name="Straight Connector 125">
          <a:extLst>
            <a:ext uri="{FF2B5EF4-FFF2-40B4-BE49-F238E27FC236}">
              <a16:creationId xmlns:a16="http://schemas.microsoft.com/office/drawing/2014/main" id="{47F5CC35-3655-4634-BBDB-7D2ED3B1F91B}"/>
            </a:ext>
          </a:extLst>
        </xdr:cNvPr>
        <xdr:cNvCxnSpPr/>
      </xdr:nvCxnSpPr>
      <xdr:spPr>
        <a:xfrm>
          <a:off x="1792233" y="27111990"/>
          <a:ext cx="3264304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342900</xdr:colOff>
      <xdr:row>29</xdr:row>
      <xdr:rowOff>0</xdr:rowOff>
    </xdr:from>
    <xdr:to>
      <xdr:col>36</xdr:col>
      <xdr:colOff>447675</xdr:colOff>
      <xdr:row>46</xdr:row>
      <xdr:rowOff>200025</xdr:rowOff>
    </xdr:to>
    <xdr:sp macro="" textlink="">
      <xdr:nvSpPr>
        <xdr:cNvPr id="53846" name="Rectangle 483">
          <a:extLst>
            <a:ext uri="{FF2B5EF4-FFF2-40B4-BE49-F238E27FC236}">
              <a16:creationId xmlns:a16="http://schemas.microsoft.com/office/drawing/2014/main" id="{4AFA2D39-CCD5-4CF9-BEA5-896789AB2991}"/>
            </a:ext>
          </a:extLst>
        </xdr:cNvPr>
        <xdr:cNvSpPr>
          <a:spLocks noChangeArrowheads="1"/>
        </xdr:cNvSpPr>
      </xdr:nvSpPr>
      <xdr:spPr bwMode="auto">
        <a:xfrm>
          <a:off x="18249900" y="12658725"/>
          <a:ext cx="6772275" cy="5210175"/>
        </a:xfrm>
        <a:prstGeom prst="rect">
          <a:avLst/>
        </a:prstGeom>
        <a:noFill/>
        <a:ln w="2540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85725</xdr:colOff>
      <xdr:row>31</xdr:row>
      <xdr:rowOff>104775</xdr:rowOff>
    </xdr:from>
    <xdr:to>
      <xdr:col>2</xdr:col>
      <xdr:colOff>9525</xdr:colOff>
      <xdr:row>35</xdr:row>
      <xdr:rowOff>171450</xdr:rowOff>
    </xdr:to>
    <xdr:pic>
      <xdr:nvPicPr>
        <xdr:cNvPr id="53847" name="Picture 6290">
          <a:extLst>
            <a:ext uri="{FF2B5EF4-FFF2-40B4-BE49-F238E27FC236}">
              <a16:creationId xmlns:a16="http://schemas.microsoft.com/office/drawing/2014/main" id="{5268C3B9-240A-4C68-8435-AE2ED6F117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3525500"/>
          <a:ext cx="590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32</xdr:col>
      <xdr:colOff>582930</xdr:colOff>
      <xdr:row>35</xdr:row>
      <xdr:rowOff>152400</xdr:rowOff>
    </xdr:from>
    <xdr:to>
      <xdr:col>34</xdr:col>
      <xdr:colOff>613410</xdr:colOff>
      <xdr:row>37</xdr:row>
      <xdr:rowOff>238245</xdr:rowOff>
    </xdr:to>
    <xdr:sp macro="" textlink="">
      <xdr:nvSpPr>
        <xdr:cNvPr id="129" name="AutoShape 8571">
          <a:extLst>
            <a:ext uri="{FF2B5EF4-FFF2-40B4-BE49-F238E27FC236}">
              <a16:creationId xmlns:a16="http://schemas.microsoft.com/office/drawing/2014/main" id="{F2D6F65F-CD04-4A7C-A229-487051E536AC}"/>
            </a:ext>
          </a:extLst>
        </xdr:cNvPr>
        <xdr:cNvSpPr>
          <a:spLocks noChangeArrowheads="1"/>
        </xdr:cNvSpPr>
      </xdr:nvSpPr>
      <xdr:spPr bwMode="auto">
        <a:xfrm>
          <a:off x="4486275" y="14773275"/>
          <a:ext cx="1371600" cy="647700"/>
        </a:xfrm>
        <a:prstGeom prst="wedgeRoundRectCallout">
          <a:avLst>
            <a:gd name="adj1" fmla="val -105556"/>
            <a:gd name="adj2" fmla="val 126472"/>
            <a:gd name="adj3" fmla="val 16667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32004" rIns="27432" bIns="0" anchor="t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Cordia New"/>
              <a:cs typeface="Cordia New"/>
            </a:rPr>
            <a:t>จุดเริ่มต้นการก่อสร้าง</a:t>
          </a:r>
        </a:p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Cordia New"/>
              <a:cs typeface="Cordia New"/>
            </a:rPr>
            <a:t>กม.7+625</a:t>
          </a:r>
        </a:p>
      </xdr:txBody>
    </xdr:sp>
    <xdr:clientData/>
  </xdr:twoCellAnchor>
  <xdr:twoCellAnchor>
    <xdr:from>
      <xdr:col>10</xdr:col>
      <xdr:colOff>224832</xdr:colOff>
      <xdr:row>42</xdr:row>
      <xdr:rowOff>187574</xdr:rowOff>
    </xdr:from>
    <xdr:to>
      <xdr:col>12</xdr:col>
      <xdr:colOff>121193</xdr:colOff>
      <xdr:row>46</xdr:row>
      <xdr:rowOff>224117</xdr:rowOff>
    </xdr:to>
    <xdr:sp macro="" textlink="">
      <xdr:nvSpPr>
        <xdr:cNvPr id="130" name="AutoShape 8572">
          <a:extLst>
            <a:ext uri="{FF2B5EF4-FFF2-40B4-BE49-F238E27FC236}">
              <a16:creationId xmlns:a16="http://schemas.microsoft.com/office/drawing/2014/main" id="{7C566059-6BED-46D0-B908-8979ADF9FDA7}"/>
            </a:ext>
          </a:extLst>
        </xdr:cNvPr>
        <xdr:cNvSpPr>
          <a:spLocks noChangeArrowheads="1"/>
        </xdr:cNvSpPr>
      </xdr:nvSpPr>
      <xdr:spPr bwMode="auto">
        <a:xfrm>
          <a:off x="6731640" y="16884339"/>
          <a:ext cx="1220638" cy="1157131"/>
        </a:xfrm>
        <a:prstGeom prst="wedgeRoundRectCallout">
          <a:avLst>
            <a:gd name="adj1" fmla="val -339403"/>
            <a:gd name="adj2" fmla="val -101651"/>
            <a:gd name="adj3" fmla="val 16667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32004" rIns="27432" bIns="0" anchor="t" upright="1"/>
        <a:lstStyle/>
        <a:p>
          <a:pPr algn="ctr" rtl="0">
            <a:defRPr sz="1000"/>
          </a:pPr>
          <a:r>
            <a:rPr lang="th-TH" sz="1600" b="1" i="0" u="none" strike="noStrike" baseline="0">
              <a:solidFill>
                <a:srgbClr val="0000FF"/>
              </a:solidFill>
              <a:latin typeface="Angsana New" pitchFamily="18" charset="-34"/>
              <a:cs typeface="Angsana New" pitchFamily="18" charset="-34"/>
            </a:rPr>
            <a:t>จุดเริ่มต้นโครงการก่อสร้าง</a:t>
          </a:r>
          <a:endParaRPr lang="en-US" sz="1600" b="1" i="0" u="none" strike="noStrike" baseline="0">
            <a:solidFill>
              <a:srgbClr val="0000FF"/>
            </a:solidFill>
            <a:latin typeface="Angsana New" pitchFamily="18" charset="-34"/>
            <a:cs typeface="Angsana New" pitchFamily="18" charset="-34"/>
          </a:endParaRPr>
        </a:p>
        <a:p>
          <a:pPr algn="l" rtl="0">
            <a:defRPr sz="1000"/>
          </a:pPr>
          <a:r>
            <a:rPr lang="th-TH" sz="1600" b="1" i="0" u="none" strike="noStrike" baseline="0">
              <a:solidFill>
                <a:srgbClr val="0000FF"/>
              </a:solidFill>
              <a:latin typeface="Angsana New" pitchFamily="18" charset="-34"/>
              <a:cs typeface="Angsana New" pitchFamily="18" charset="-34"/>
            </a:rPr>
            <a:t>กม.ที่</a:t>
          </a:r>
        </a:p>
        <a:p>
          <a:pPr algn="l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Cordia New"/>
              <a:cs typeface="Cordia New"/>
            </a:rPr>
            <a:t>                  </a:t>
          </a:r>
        </a:p>
      </xdr:txBody>
    </xdr:sp>
    <xdr:clientData/>
  </xdr:twoCellAnchor>
  <xdr:twoCellAnchor>
    <xdr:from>
      <xdr:col>28</xdr:col>
      <xdr:colOff>99956</xdr:colOff>
      <xdr:row>31</xdr:row>
      <xdr:rowOff>152400</xdr:rowOff>
    </xdr:from>
    <xdr:to>
      <xdr:col>30</xdr:col>
      <xdr:colOff>14231</xdr:colOff>
      <xdr:row>34</xdr:row>
      <xdr:rowOff>9525</xdr:rowOff>
    </xdr:to>
    <xdr:sp macro="" textlink="">
      <xdr:nvSpPr>
        <xdr:cNvPr id="132" name="AutoShape 8574">
          <a:extLst>
            <a:ext uri="{FF2B5EF4-FFF2-40B4-BE49-F238E27FC236}">
              <a16:creationId xmlns:a16="http://schemas.microsoft.com/office/drawing/2014/main" id="{713DFA83-3375-47D0-B97A-A71B05DFD91D}"/>
            </a:ext>
          </a:extLst>
        </xdr:cNvPr>
        <xdr:cNvSpPr>
          <a:spLocks noChangeArrowheads="1"/>
        </xdr:cNvSpPr>
      </xdr:nvSpPr>
      <xdr:spPr bwMode="auto">
        <a:xfrm>
          <a:off x="18070605" y="13666694"/>
          <a:ext cx="1236570" cy="798419"/>
        </a:xfrm>
        <a:prstGeom prst="wedgeRoundRectCallout">
          <a:avLst>
            <a:gd name="adj1" fmla="val 140218"/>
            <a:gd name="adj2" fmla="val -18000"/>
            <a:gd name="adj3" fmla="val 16667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32004" rIns="27432" bIns="0" anchor="t" upright="1"/>
        <a:lstStyle/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Cordia New"/>
              <a:cs typeface="Cordia New"/>
            </a:rPr>
            <a:t>จุดเริ่มต้นสายทาง</a:t>
          </a:r>
        </a:p>
        <a:p>
          <a:pPr algn="ctr" rtl="0">
            <a:defRPr sz="1000"/>
          </a:pPr>
          <a:r>
            <a:rPr lang="th-TH" sz="1400" b="1" i="0" u="none" strike="noStrike" baseline="0">
              <a:solidFill>
                <a:srgbClr val="0000FF"/>
              </a:solidFill>
              <a:latin typeface="Cordia New"/>
              <a:cs typeface="Cordia New"/>
            </a:rPr>
            <a:t>กม.0+000</a:t>
          </a:r>
        </a:p>
      </xdr:txBody>
    </xdr:sp>
    <xdr:clientData/>
  </xdr:twoCellAnchor>
  <xdr:twoCellAnchor>
    <xdr:from>
      <xdr:col>31</xdr:col>
      <xdr:colOff>466725</xdr:colOff>
      <xdr:row>32</xdr:row>
      <xdr:rowOff>38100</xdr:rowOff>
    </xdr:from>
    <xdr:to>
      <xdr:col>31</xdr:col>
      <xdr:colOff>561975</xdr:colOff>
      <xdr:row>32</xdr:row>
      <xdr:rowOff>123825</xdr:rowOff>
    </xdr:to>
    <xdr:sp macro="" textlink="">
      <xdr:nvSpPr>
        <xdr:cNvPr id="53851" name="Oval 8575">
          <a:extLst>
            <a:ext uri="{FF2B5EF4-FFF2-40B4-BE49-F238E27FC236}">
              <a16:creationId xmlns:a16="http://schemas.microsoft.com/office/drawing/2014/main" id="{036625D9-8F83-4B62-AF52-8C8526E95FBE}"/>
            </a:ext>
          </a:extLst>
        </xdr:cNvPr>
        <xdr:cNvSpPr>
          <a:spLocks noChangeArrowheads="1"/>
        </xdr:cNvSpPr>
      </xdr:nvSpPr>
      <xdr:spPr bwMode="auto">
        <a:xfrm>
          <a:off x="21707475" y="13839825"/>
          <a:ext cx="95250" cy="85725"/>
        </a:xfrm>
        <a:prstGeom prst="ellipse">
          <a:avLst/>
        </a:prstGeom>
        <a:solidFill>
          <a:srgbClr val="0000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571500</xdr:colOff>
      <xdr:row>40</xdr:row>
      <xdr:rowOff>142875</xdr:rowOff>
    </xdr:from>
    <xdr:to>
      <xdr:col>4</xdr:col>
      <xdr:colOff>657225</xdr:colOff>
      <xdr:row>40</xdr:row>
      <xdr:rowOff>228600</xdr:rowOff>
    </xdr:to>
    <xdr:sp macro="" textlink="">
      <xdr:nvSpPr>
        <xdr:cNvPr id="53852" name="Oval 8576">
          <a:extLst>
            <a:ext uri="{FF2B5EF4-FFF2-40B4-BE49-F238E27FC236}">
              <a16:creationId xmlns:a16="http://schemas.microsoft.com/office/drawing/2014/main" id="{1B8045B9-DCD1-4C73-88D8-F5C4981A4BFC}"/>
            </a:ext>
          </a:extLst>
        </xdr:cNvPr>
        <xdr:cNvSpPr>
          <a:spLocks noChangeArrowheads="1"/>
        </xdr:cNvSpPr>
      </xdr:nvSpPr>
      <xdr:spPr bwMode="auto">
        <a:xfrm>
          <a:off x="3143250" y="16154400"/>
          <a:ext cx="85725" cy="85725"/>
        </a:xfrm>
        <a:prstGeom prst="ellipse">
          <a:avLst/>
        </a:prstGeom>
        <a:solidFill>
          <a:srgbClr val="0000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438150</xdr:colOff>
      <xdr:row>39</xdr:row>
      <xdr:rowOff>133350</xdr:rowOff>
    </xdr:from>
    <xdr:to>
      <xdr:col>31</xdr:col>
      <xdr:colOff>533400</xdr:colOff>
      <xdr:row>39</xdr:row>
      <xdr:rowOff>219075</xdr:rowOff>
    </xdr:to>
    <xdr:sp macro="" textlink="">
      <xdr:nvSpPr>
        <xdr:cNvPr id="53853" name="Oval 8577">
          <a:extLst>
            <a:ext uri="{FF2B5EF4-FFF2-40B4-BE49-F238E27FC236}">
              <a16:creationId xmlns:a16="http://schemas.microsoft.com/office/drawing/2014/main" id="{71093CF6-52DC-44F7-B003-A7E1148C4F47}"/>
            </a:ext>
          </a:extLst>
        </xdr:cNvPr>
        <xdr:cNvSpPr>
          <a:spLocks noChangeArrowheads="1"/>
        </xdr:cNvSpPr>
      </xdr:nvSpPr>
      <xdr:spPr bwMode="auto">
        <a:xfrm>
          <a:off x="21678900" y="15868650"/>
          <a:ext cx="95250" cy="85725"/>
        </a:xfrm>
        <a:prstGeom prst="ellipse">
          <a:avLst/>
        </a:prstGeom>
        <a:solidFill>
          <a:srgbClr val="0000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13</xdr:col>
      <xdr:colOff>200025</xdr:colOff>
      <xdr:row>69</xdr:row>
      <xdr:rowOff>38100</xdr:rowOff>
    </xdr:from>
    <xdr:to>
      <xdr:col>13</xdr:col>
      <xdr:colOff>409575</xdr:colOff>
      <xdr:row>70</xdr:row>
      <xdr:rowOff>152400</xdr:rowOff>
    </xdr:to>
    <xdr:sp macro="" textlink="">
      <xdr:nvSpPr>
        <xdr:cNvPr id="53854" name="Rectangle 143">
          <a:extLst>
            <a:ext uri="{FF2B5EF4-FFF2-40B4-BE49-F238E27FC236}">
              <a16:creationId xmlns:a16="http://schemas.microsoft.com/office/drawing/2014/main" id="{9ACE15B9-AB80-4548-9019-F74904B3B6FC}"/>
            </a:ext>
          </a:extLst>
        </xdr:cNvPr>
        <xdr:cNvSpPr>
          <a:spLocks noChangeArrowheads="1"/>
        </xdr:cNvSpPr>
      </xdr:nvSpPr>
      <xdr:spPr bwMode="auto">
        <a:xfrm>
          <a:off x="8772525" y="24603075"/>
          <a:ext cx="209550" cy="390525"/>
        </a:xfrm>
        <a:prstGeom prst="rect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333375</xdr:colOff>
      <xdr:row>70</xdr:row>
      <xdr:rowOff>133350</xdr:rowOff>
    </xdr:from>
    <xdr:to>
      <xdr:col>13</xdr:col>
      <xdr:colOff>333375</xdr:colOff>
      <xdr:row>74</xdr:row>
      <xdr:rowOff>161925</xdr:rowOff>
    </xdr:to>
    <xdr:sp macro="" textlink="">
      <xdr:nvSpPr>
        <xdr:cNvPr id="53855" name="Line 203">
          <a:extLst>
            <a:ext uri="{FF2B5EF4-FFF2-40B4-BE49-F238E27FC236}">
              <a16:creationId xmlns:a16="http://schemas.microsoft.com/office/drawing/2014/main" id="{8E43B62A-C412-4C16-A459-166A073D6C41}"/>
            </a:ext>
          </a:extLst>
        </xdr:cNvPr>
        <xdr:cNvSpPr>
          <a:spLocks noChangeShapeType="1"/>
        </xdr:cNvSpPr>
      </xdr:nvSpPr>
      <xdr:spPr bwMode="auto">
        <a:xfrm flipV="1">
          <a:off x="8905875" y="24974550"/>
          <a:ext cx="0" cy="11334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352425</xdr:colOff>
      <xdr:row>74</xdr:row>
      <xdr:rowOff>161925</xdr:rowOff>
    </xdr:from>
    <xdr:to>
      <xdr:col>13</xdr:col>
      <xdr:colOff>647700</xdr:colOff>
      <xdr:row>74</xdr:row>
      <xdr:rowOff>161925</xdr:rowOff>
    </xdr:to>
    <xdr:sp macro="" textlink="">
      <xdr:nvSpPr>
        <xdr:cNvPr id="53856" name="Line 205">
          <a:extLst>
            <a:ext uri="{FF2B5EF4-FFF2-40B4-BE49-F238E27FC236}">
              <a16:creationId xmlns:a16="http://schemas.microsoft.com/office/drawing/2014/main" id="{62B4087B-EFD3-4B8E-B205-6801553E2254}"/>
            </a:ext>
          </a:extLst>
        </xdr:cNvPr>
        <xdr:cNvSpPr>
          <a:spLocks noChangeShapeType="1"/>
        </xdr:cNvSpPr>
      </xdr:nvSpPr>
      <xdr:spPr bwMode="auto">
        <a:xfrm flipV="1">
          <a:off x="8924925" y="26108025"/>
          <a:ext cx="2952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390525</xdr:colOff>
      <xdr:row>69</xdr:row>
      <xdr:rowOff>47625</xdr:rowOff>
    </xdr:from>
    <xdr:to>
      <xdr:col>5</xdr:col>
      <xdr:colOff>390525</xdr:colOff>
      <xdr:row>75</xdr:row>
      <xdr:rowOff>180975</xdr:rowOff>
    </xdr:to>
    <xdr:sp macro="" textlink="">
      <xdr:nvSpPr>
        <xdr:cNvPr id="53857" name="Line 326">
          <a:extLst>
            <a:ext uri="{FF2B5EF4-FFF2-40B4-BE49-F238E27FC236}">
              <a16:creationId xmlns:a16="http://schemas.microsoft.com/office/drawing/2014/main" id="{3B1F7C5C-8620-4D17-85B0-2A70C525686E}"/>
            </a:ext>
          </a:extLst>
        </xdr:cNvPr>
        <xdr:cNvSpPr>
          <a:spLocks noChangeShapeType="1"/>
        </xdr:cNvSpPr>
      </xdr:nvSpPr>
      <xdr:spPr bwMode="auto">
        <a:xfrm>
          <a:off x="3629025" y="24612600"/>
          <a:ext cx="0" cy="17907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390525</xdr:colOff>
      <xdr:row>75</xdr:row>
      <xdr:rowOff>180975</xdr:rowOff>
    </xdr:from>
    <xdr:to>
      <xdr:col>5</xdr:col>
      <xdr:colOff>561975</xdr:colOff>
      <xdr:row>75</xdr:row>
      <xdr:rowOff>180975</xdr:rowOff>
    </xdr:to>
    <xdr:sp macro="" textlink="">
      <xdr:nvSpPr>
        <xdr:cNvPr id="53858" name="Line 200">
          <a:extLst>
            <a:ext uri="{FF2B5EF4-FFF2-40B4-BE49-F238E27FC236}">
              <a16:creationId xmlns:a16="http://schemas.microsoft.com/office/drawing/2014/main" id="{4F21EBEB-E7F4-43B6-BA8D-67CA3B37632D}"/>
            </a:ext>
          </a:extLst>
        </xdr:cNvPr>
        <xdr:cNvSpPr>
          <a:spLocks noChangeShapeType="1"/>
        </xdr:cNvSpPr>
      </xdr:nvSpPr>
      <xdr:spPr bwMode="auto">
        <a:xfrm>
          <a:off x="3629025" y="26403300"/>
          <a:ext cx="1714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workbookViewId="0">
      <selection activeCell="M12" sqref="M12"/>
    </sheetView>
  </sheetViews>
  <sheetFormatPr defaultColWidth="9.140625" defaultRowHeight="21"/>
  <cols>
    <col min="1" max="16384" width="9.140625" style="315"/>
  </cols>
  <sheetData>
    <row r="1" spans="1:9">
      <c r="A1" s="1327" t="str">
        <f>ค่างานต้นทุน!A1</f>
        <v>โครงการปรับปรุงถนนลาดยาง สาย สบ.ถ1 - 0039 บ้านหนองหว้า - บ้านสาธุประชาสรรค์โดยวิธี Pavement In-Place Recycling</v>
      </c>
      <c r="B1" s="1327"/>
      <c r="C1" s="1327"/>
      <c r="D1" s="1327"/>
      <c r="E1" s="1327"/>
      <c r="F1" s="1327"/>
      <c r="G1" s="1327"/>
      <c r="H1" s="1327"/>
      <c r="I1" s="1327"/>
    </row>
    <row r="2" spans="1:9">
      <c r="A2" s="1328" t="str">
        <f>ค่างานต้นทุน!A2</f>
        <v>ตำบลพุแค - ตำบลห้วยบง  อำเภอเฉลิมพระเกียรติ  จังหวัดสระบุรี</v>
      </c>
      <c r="B2" s="1328"/>
      <c r="C2" s="1328"/>
      <c r="D2" s="1328"/>
      <c r="E2" s="1328"/>
      <c r="F2" s="1328"/>
      <c r="G2" s="1328"/>
      <c r="H2" s="1328"/>
      <c r="I2" s="1328"/>
    </row>
    <row r="3" spans="1:9">
      <c r="A3" s="1328" t="e">
        <f>ค่างานต้นทุน!#REF!</f>
        <v>#REF!</v>
      </c>
      <c r="B3" s="1328"/>
      <c r="C3" s="1328"/>
      <c r="D3" s="1328"/>
      <c r="E3" s="1328"/>
      <c r="F3" s="1328"/>
      <c r="G3" s="1328"/>
      <c r="H3" s="1328"/>
      <c r="I3" s="1328"/>
    </row>
    <row r="4" spans="1:9">
      <c r="A4" s="1328" t="e">
        <f>ค่างานต้นทุน!#REF!</f>
        <v>#REF!</v>
      </c>
      <c r="B4" s="1328"/>
      <c r="C4" s="1328"/>
      <c r="D4" s="1328"/>
      <c r="E4" s="1328"/>
      <c r="F4" s="1328"/>
      <c r="G4" s="1328"/>
      <c r="H4" s="1328"/>
      <c r="I4" s="1328"/>
    </row>
    <row r="5" spans="1:9">
      <c r="B5" s="315" t="s">
        <v>505</v>
      </c>
      <c r="C5" s="315" t="s">
        <v>891</v>
      </c>
    </row>
    <row r="6" spans="1:9">
      <c r="B6" s="315" t="s">
        <v>506</v>
      </c>
      <c r="C6" s="315" t="s">
        <v>507</v>
      </c>
    </row>
    <row r="7" spans="1:9">
      <c r="B7" s="315" t="s">
        <v>412</v>
      </c>
      <c r="C7" s="316">
        <v>30.16</v>
      </c>
      <c r="D7" s="315" t="s">
        <v>71</v>
      </c>
    </row>
  </sheetData>
  <mergeCells count="4">
    <mergeCell ref="A1:I1"/>
    <mergeCell ref="A2:I2"/>
    <mergeCell ref="A3:I3"/>
    <mergeCell ref="A4:I4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5"/>
  <sheetViews>
    <sheetView workbookViewId="0">
      <selection activeCell="E12" sqref="E12"/>
    </sheetView>
  </sheetViews>
  <sheetFormatPr defaultColWidth="9.140625" defaultRowHeight="20.25"/>
  <cols>
    <col min="1" max="1" width="17.140625" style="795" customWidth="1"/>
    <col min="2" max="2" width="22.140625" style="795" customWidth="1"/>
    <col min="3" max="3" width="16.42578125" style="795" bestFit="1" customWidth="1"/>
    <col min="4" max="4" width="14.85546875" style="795" customWidth="1"/>
    <col min="5" max="6" width="15" style="795" bestFit="1" customWidth="1"/>
    <col min="7" max="7" width="16.28515625" style="795" customWidth="1"/>
    <col min="8" max="8" width="9.5703125" style="795" customWidth="1"/>
    <col min="9" max="9" width="9.140625" style="795"/>
    <col min="10" max="10" width="10.140625" style="795" bestFit="1" customWidth="1"/>
    <col min="11" max="16384" width="9.140625" style="795"/>
  </cols>
  <sheetData>
    <row r="1" spans="1:11">
      <c r="A1" s="1381" t="s">
        <v>546</v>
      </c>
      <c r="B1" s="1381"/>
      <c r="C1" s="1381"/>
      <c r="D1" s="1381"/>
      <c r="E1" s="1381"/>
    </row>
    <row r="2" spans="1:11">
      <c r="A2" s="795" t="s">
        <v>900</v>
      </c>
      <c r="B2" s="815">
        <v>0</v>
      </c>
      <c r="C2" s="795" t="s">
        <v>157</v>
      </c>
      <c r="D2" s="815">
        <v>0.05</v>
      </c>
      <c r="E2" s="795" t="s">
        <v>903</v>
      </c>
    </row>
    <row r="3" spans="1:11">
      <c r="A3" s="795" t="s">
        <v>901</v>
      </c>
      <c r="B3" s="815">
        <v>0</v>
      </c>
      <c r="C3" s="795" t="s">
        <v>902</v>
      </c>
      <c r="D3" s="815">
        <v>7.0000000000000007E-2</v>
      </c>
    </row>
    <row r="4" spans="1:11" ht="40.5">
      <c r="A4" s="797"/>
      <c r="B4" s="801" t="s">
        <v>904</v>
      </c>
      <c r="C4" s="802" t="s">
        <v>2</v>
      </c>
    </row>
    <row r="5" spans="1:11" ht="23.25">
      <c r="A5" s="798" t="s">
        <v>905</v>
      </c>
      <c r="B5" s="799">
        <v>5</v>
      </c>
      <c r="C5" s="799">
        <v>1.3607</v>
      </c>
      <c r="E5" s="810" t="s">
        <v>915</v>
      </c>
      <c r="F5" s="811" t="s">
        <v>916</v>
      </c>
      <c r="G5" s="809">
        <f>'ปร.4 (2)'!H47+'ปร.4 (2)'!J47</f>
        <v>18101536.900000002</v>
      </c>
      <c r="H5" s="808" t="str">
        <f>IF(G5&lt;F8*10^6,"NG",IF(G5&lt;F9*10^6,"OK","NG"))</f>
        <v>OK</v>
      </c>
      <c r="I5"/>
      <c r="J5"/>
    </row>
    <row r="6" spans="1:11" ht="23.25">
      <c r="A6" s="797"/>
      <c r="B6" s="799">
        <v>10</v>
      </c>
      <c r="C6" s="799">
        <v>1.3098000000000001</v>
      </c>
      <c r="E6" s="1382" t="s">
        <v>914</v>
      </c>
      <c r="F6" s="1383"/>
      <c r="G6" s="1384"/>
      <c r="H6"/>
      <c r="I6"/>
      <c r="J6"/>
    </row>
    <row r="7" spans="1:11" ht="23.25">
      <c r="A7" s="797"/>
      <c r="B7" s="799">
        <v>20</v>
      </c>
      <c r="C7" s="799">
        <v>1.2516</v>
      </c>
      <c r="E7" s="806"/>
      <c r="F7" s="807" t="s">
        <v>913</v>
      </c>
      <c r="G7" s="806"/>
      <c r="H7" s="807" t="s">
        <v>912</v>
      </c>
      <c r="I7"/>
      <c r="J7"/>
    </row>
    <row r="8" spans="1:11" ht="23.25">
      <c r="A8" s="797"/>
      <c r="B8" s="799">
        <v>30</v>
      </c>
      <c r="C8" s="799">
        <v>1.2185999999999999</v>
      </c>
      <c r="E8" s="806" t="s">
        <v>911</v>
      </c>
      <c r="F8" s="813">
        <f>IF($G$5/10^6&lt;=$B$5,$B$5,IF($G$5/10^6&lt;$B$6,$B$5,ROUNDDOWN($G$5/10^6,-1)))</f>
        <v>10</v>
      </c>
      <c r="G8" s="805" t="s">
        <v>910</v>
      </c>
      <c r="H8" s="814">
        <f>INDEX($B$5:$C$15,MATCH(F8,$B$5:$B$15,0),2)</f>
        <v>1.3098000000000001</v>
      </c>
      <c r="I8" s="648"/>
      <c r="J8" s="648"/>
    </row>
    <row r="9" spans="1:11" ht="23.25">
      <c r="A9" s="797"/>
      <c r="B9" s="799">
        <v>40</v>
      </c>
      <c r="C9" s="799">
        <v>1.2119</v>
      </c>
      <c r="E9" s="806" t="s">
        <v>909</v>
      </c>
      <c r="F9" s="813">
        <f>IF($G$5/10^6&lt;=$B$5,$B$5,ROUNDUP($G$5/10^6,-1))</f>
        <v>20</v>
      </c>
      <c r="G9" s="805" t="s">
        <v>908</v>
      </c>
      <c r="H9" s="814">
        <f>INDEX($B$5:$C$15,MATCH(F9,$B$5:$B$15,0),2)</f>
        <v>1.2516</v>
      </c>
      <c r="I9" s="648"/>
      <c r="J9" s="648"/>
    </row>
    <row r="10" spans="1:11" ht="23.25">
      <c r="A10" s="797"/>
      <c r="B10" s="799">
        <v>50</v>
      </c>
      <c r="C10" s="799">
        <v>1.2065999999999999</v>
      </c>
      <c r="E10"/>
      <c r="F10" s="648"/>
      <c r="G10" s="648"/>
      <c r="H10" s="648"/>
      <c r="I10" s="648"/>
      <c r="J10" s="804" t="s">
        <v>907</v>
      </c>
    </row>
    <row r="11" spans="1:11" ht="23.25">
      <c r="A11" s="797"/>
      <c r="B11" s="799">
        <v>60</v>
      </c>
      <c r="C11" s="799">
        <v>1.2005999999999999</v>
      </c>
      <c r="E11"/>
      <c r="F11" t="s">
        <v>906</v>
      </c>
      <c r="G11" s="812">
        <f>IF($G$5&lt;=$B$5*10^6,$C$5,ROUND(H8-((H8-H9)/(F9*10^6-F8*10^6)*(G5-F8*10^6)),4))</f>
        <v>1.2625999999999999</v>
      </c>
      <c r="H11"/>
      <c r="I11"/>
      <c r="J11" s="803">
        <f>IF($G$5&lt;=$B$5*10^6,$C$5,ROUND(H8-((H8-H9)*(G5-F8*10^6)/(F9*10^6-F8*10^6)),4))</f>
        <v>1.2625999999999999</v>
      </c>
      <c r="K11" s="808" t="str">
        <f>IF(G11=J11,"OK","NG")</f>
        <v>OK</v>
      </c>
    </row>
    <row r="12" spans="1:11">
      <c r="A12" s="797"/>
      <c r="B12" s="799">
        <v>70</v>
      </c>
      <c r="C12" s="800">
        <v>1.1950000000000001</v>
      </c>
    </row>
    <row r="13" spans="1:11">
      <c r="A13" s="797"/>
      <c r="B13" s="799">
        <v>80</v>
      </c>
      <c r="C13" s="799">
        <v>1.1916</v>
      </c>
    </row>
    <row r="14" spans="1:11">
      <c r="A14" s="797"/>
      <c r="B14" s="799">
        <v>90</v>
      </c>
      <c r="C14" s="799">
        <v>1.1857</v>
      </c>
    </row>
    <row r="15" spans="1:11">
      <c r="A15" s="797"/>
      <c r="B15" s="799">
        <v>100</v>
      </c>
      <c r="C15" s="799">
        <v>1.1823999999999999</v>
      </c>
    </row>
    <row r="16" spans="1:11">
      <c r="B16" s="796"/>
      <c r="C16" s="796"/>
    </row>
    <row r="17" spans="2:3">
      <c r="B17" s="796"/>
      <c r="C17" s="796"/>
    </row>
    <row r="18" spans="2:3">
      <c r="B18" s="796"/>
      <c r="C18" s="796"/>
    </row>
    <row r="19" spans="2:3">
      <c r="B19" s="796"/>
      <c r="C19" s="796"/>
    </row>
    <row r="20" spans="2:3">
      <c r="B20" s="796"/>
      <c r="C20" s="796"/>
    </row>
    <row r="21" spans="2:3">
      <c r="B21" s="796"/>
      <c r="C21" s="796"/>
    </row>
    <row r="22" spans="2:3">
      <c r="B22" s="796"/>
      <c r="C22" s="796"/>
    </row>
    <row r="23" spans="2:3">
      <c r="B23" s="796"/>
      <c r="C23" s="796"/>
    </row>
    <row r="24" spans="2:3">
      <c r="B24" s="796"/>
      <c r="C24" s="796"/>
    </row>
    <row r="25" spans="2:3">
      <c r="B25" s="796"/>
      <c r="C25" s="796"/>
    </row>
  </sheetData>
  <mergeCells count="2">
    <mergeCell ref="A1:E1"/>
    <mergeCell ref="E6:G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"/>
  <dimension ref="B1:BZ208"/>
  <sheetViews>
    <sheetView topLeftCell="A11" zoomScaleNormal="100" workbookViewId="0">
      <pane xSplit="8" topLeftCell="BD1" activePane="topRight" state="frozen"/>
      <selection pane="topRight" activeCell="BJ12" sqref="BJ12"/>
    </sheetView>
  </sheetViews>
  <sheetFormatPr defaultColWidth="9.140625" defaultRowHeight="20.25"/>
  <cols>
    <col min="1" max="1" width="4.7109375" style="8" customWidth="1"/>
    <col min="2" max="2" width="10.5703125" style="8" customWidth="1"/>
    <col min="3" max="3" width="9.5703125" style="8" customWidth="1"/>
    <col min="4" max="4" width="10.7109375" style="8" customWidth="1"/>
    <col min="5" max="5" width="11" style="8" customWidth="1"/>
    <col min="6" max="6" width="11.140625" style="8" customWidth="1"/>
    <col min="7" max="7" width="6" style="8" customWidth="1"/>
    <col min="8" max="8" width="29.42578125" style="8" customWidth="1"/>
    <col min="9" max="37" width="9.140625" style="8"/>
    <col min="38" max="38" width="9.140625" style="1109"/>
    <col min="39" max="55" width="9.140625" style="8"/>
    <col min="56" max="56" width="11.5703125" style="8" customWidth="1"/>
    <col min="57" max="59" width="9.140625" style="8"/>
    <col min="60" max="60" width="10.5703125" style="8" customWidth="1"/>
    <col min="61" max="62" width="9.140625" style="8"/>
    <col min="63" max="63" width="6.5703125" style="8" customWidth="1"/>
    <col min="64" max="64" width="12.140625" style="8" customWidth="1"/>
    <col min="65" max="65" width="14.7109375" style="8" customWidth="1"/>
    <col min="66" max="66" width="14.140625" style="8" customWidth="1"/>
    <col min="67" max="67" width="13.7109375" style="8" bestFit="1" customWidth="1"/>
    <col min="68" max="69" width="10.42578125" style="8" customWidth="1"/>
    <col min="70" max="70" width="10.140625" style="8" customWidth="1"/>
    <col min="71" max="71" width="9.85546875" style="8" customWidth="1"/>
    <col min="72" max="72" width="9.42578125" style="8" customWidth="1"/>
    <col min="73" max="73" width="10.85546875" style="8" customWidth="1"/>
    <col min="74" max="74" width="9.85546875" style="8" customWidth="1"/>
    <col min="75" max="75" width="11.42578125" style="8" bestFit="1" customWidth="1"/>
    <col min="76" max="76" width="13.140625" style="8" customWidth="1"/>
    <col min="77" max="77" width="12.5703125" style="8" customWidth="1"/>
    <col min="78" max="16384" width="9.140625" style="8"/>
  </cols>
  <sheetData>
    <row r="1" spans="2:78" ht="21">
      <c r="B1" s="159" t="s">
        <v>168</v>
      </c>
      <c r="C1" s="160"/>
      <c r="D1" s="161"/>
      <c r="E1" s="155" t="s">
        <v>129</v>
      </c>
      <c r="F1" s="156"/>
      <c r="H1" s="185" t="s">
        <v>86</v>
      </c>
      <c r="I1" s="10" t="s">
        <v>165</v>
      </c>
      <c r="J1" s="10"/>
      <c r="K1" s="10"/>
      <c r="L1" s="10"/>
      <c r="M1" s="10"/>
      <c r="N1" s="149"/>
      <c r="O1" s="150">
        <f>C2</f>
        <v>32.5</v>
      </c>
      <c r="P1" s="149"/>
      <c r="Q1" s="145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BM1" s="32" t="s">
        <v>111</v>
      </c>
      <c r="BN1" s="33"/>
      <c r="BO1" s="33"/>
      <c r="BP1" s="33"/>
      <c r="BQ1" s="33"/>
      <c r="BR1" s="33"/>
      <c r="BS1" s="33"/>
      <c r="BT1" s="33"/>
      <c r="BU1" s="33"/>
    </row>
    <row r="2" spans="2:78" ht="21.75" thickBot="1">
      <c r="B2" s="162" t="s">
        <v>70</v>
      </c>
      <c r="C2" s="163">
        <f>ROUNDDOWN(ข้อมูล!F100,0)+0.5</f>
        <v>32.5</v>
      </c>
      <c r="D2" s="158" t="s">
        <v>71</v>
      </c>
      <c r="E2" s="157">
        <f>C2</f>
        <v>32.5</v>
      </c>
      <c r="F2" s="158" t="s">
        <v>71</v>
      </c>
      <c r="G2" s="61"/>
      <c r="H2" s="11" t="s">
        <v>1</v>
      </c>
      <c r="I2" s="12" t="s">
        <v>25</v>
      </c>
      <c r="J2" s="964">
        <v>20.5</v>
      </c>
      <c r="K2" s="965"/>
      <c r="L2" s="964">
        <v>21.5</v>
      </c>
      <c r="M2" s="966"/>
      <c r="N2" s="967">
        <v>22.5</v>
      </c>
      <c r="O2" s="968"/>
      <c r="P2" s="969">
        <v>23.5</v>
      </c>
      <c r="Q2" s="970"/>
      <c r="R2" s="969">
        <v>24.5</v>
      </c>
      <c r="S2" s="970"/>
      <c r="T2" s="149">
        <v>25.5</v>
      </c>
      <c r="U2" s="149"/>
      <c r="V2" s="969">
        <v>26.5</v>
      </c>
      <c r="W2" s="970"/>
      <c r="X2" s="149">
        <v>27.5</v>
      </c>
      <c r="Y2" s="149"/>
      <c r="Z2" s="969">
        <v>28.5</v>
      </c>
      <c r="AA2" s="970"/>
      <c r="AB2" s="969">
        <v>29.5</v>
      </c>
      <c r="AC2" s="970"/>
      <c r="AD2" s="969">
        <v>30.5</v>
      </c>
      <c r="AE2" s="970"/>
      <c r="AF2" s="969">
        <v>31.5</v>
      </c>
      <c r="AG2" s="970"/>
      <c r="AH2" s="969">
        <v>32.5</v>
      </c>
      <c r="AI2" s="970"/>
      <c r="AJ2" s="969">
        <v>33.5</v>
      </c>
      <c r="AK2" s="971"/>
      <c r="AL2" s="1110">
        <v>34.5</v>
      </c>
      <c r="AM2" s="970"/>
      <c r="AN2" s="971">
        <v>35.5</v>
      </c>
      <c r="AO2" s="971"/>
      <c r="AP2" s="969">
        <v>36.5</v>
      </c>
      <c r="AQ2" s="970"/>
      <c r="AR2" s="1385">
        <v>37.5</v>
      </c>
      <c r="AS2" s="1386"/>
      <c r="AT2" s="969">
        <v>38.5</v>
      </c>
      <c r="AU2" s="970"/>
      <c r="AV2" s="969">
        <v>39.5</v>
      </c>
      <c r="AW2" s="970"/>
      <c r="AX2" s="964">
        <v>21.5</v>
      </c>
      <c r="AY2" s="966"/>
      <c r="AZ2" s="964">
        <v>20.5</v>
      </c>
      <c r="BA2" s="965"/>
      <c r="BB2" s="964">
        <v>19.5</v>
      </c>
      <c r="BC2" s="965"/>
      <c r="BD2" s="964">
        <v>18.5</v>
      </c>
      <c r="BE2" s="965"/>
      <c r="BF2" s="964">
        <v>17.5</v>
      </c>
      <c r="BG2" s="965"/>
      <c r="BH2" s="14" t="s">
        <v>87</v>
      </c>
      <c r="BI2" s="15"/>
      <c r="BJ2" s="764"/>
      <c r="BM2" s="34"/>
      <c r="BN2" s="26" t="s">
        <v>112</v>
      </c>
      <c r="BO2" s="26"/>
      <c r="BP2" s="26"/>
      <c r="BQ2" s="26"/>
      <c r="BR2" s="26"/>
      <c r="BS2" s="26"/>
      <c r="BT2" s="26"/>
      <c r="BU2" s="26"/>
    </row>
    <row r="3" spans="2:78">
      <c r="B3" s="714" t="s">
        <v>5</v>
      </c>
      <c r="C3" s="715" t="s">
        <v>69</v>
      </c>
      <c r="D3" s="47" t="s">
        <v>69</v>
      </c>
      <c r="E3" s="47" t="s">
        <v>69</v>
      </c>
      <c r="F3" s="47" t="s">
        <v>69</v>
      </c>
      <c r="G3" s="61"/>
      <c r="H3" s="17"/>
      <c r="I3" s="17"/>
      <c r="J3" s="697" t="s">
        <v>88</v>
      </c>
      <c r="K3" s="16" t="s">
        <v>85</v>
      </c>
      <c r="L3" s="697" t="s">
        <v>88</v>
      </c>
      <c r="M3" s="16" t="s">
        <v>85</v>
      </c>
      <c r="N3" s="697" t="s">
        <v>88</v>
      </c>
      <c r="O3" s="16" t="s">
        <v>85</v>
      </c>
      <c r="P3" s="697" t="s">
        <v>88</v>
      </c>
      <c r="Q3" s="16" t="s">
        <v>85</v>
      </c>
      <c r="R3" s="697" t="s">
        <v>88</v>
      </c>
      <c r="S3" s="16" t="s">
        <v>85</v>
      </c>
      <c r="T3" s="697" t="s">
        <v>88</v>
      </c>
      <c r="U3" s="16" t="s">
        <v>85</v>
      </c>
      <c r="V3" s="697" t="s">
        <v>88</v>
      </c>
      <c r="W3" s="16" t="s">
        <v>85</v>
      </c>
      <c r="X3" s="697" t="s">
        <v>88</v>
      </c>
      <c r="Y3" s="16" t="s">
        <v>85</v>
      </c>
      <c r="Z3" s="697" t="s">
        <v>88</v>
      </c>
      <c r="AA3" s="16" t="s">
        <v>85</v>
      </c>
      <c r="AB3" s="697" t="s">
        <v>88</v>
      </c>
      <c r="AC3" s="16" t="s">
        <v>85</v>
      </c>
      <c r="AD3" s="697" t="s">
        <v>88</v>
      </c>
      <c r="AE3" s="16" t="s">
        <v>85</v>
      </c>
      <c r="AF3" s="697" t="s">
        <v>88</v>
      </c>
      <c r="AG3" s="16" t="s">
        <v>85</v>
      </c>
      <c r="AH3" s="16" t="s">
        <v>88</v>
      </c>
      <c r="AI3" s="16" t="s">
        <v>85</v>
      </c>
      <c r="AJ3" s="16" t="s">
        <v>88</v>
      </c>
      <c r="AK3" s="16" t="s">
        <v>85</v>
      </c>
      <c r="AL3" s="1111" t="s">
        <v>88</v>
      </c>
      <c r="AM3" s="16" t="s">
        <v>85</v>
      </c>
      <c r="AN3" s="16" t="s">
        <v>88</v>
      </c>
      <c r="AO3" s="16" t="s">
        <v>85</v>
      </c>
      <c r="AP3" s="16" t="s">
        <v>88</v>
      </c>
      <c r="AQ3" s="16" t="s">
        <v>85</v>
      </c>
      <c r="AR3" s="16" t="s">
        <v>88</v>
      </c>
      <c r="AS3" s="16" t="s">
        <v>85</v>
      </c>
      <c r="AT3" s="16" t="s">
        <v>88</v>
      </c>
      <c r="AU3" s="16" t="s">
        <v>85</v>
      </c>
      <c r="AV3" s="16" t="s">
        <v>88</v>
      </c>
      <c r="AW3" s="16" t="s">
        <v>85</v>
      </c>
      <c r="AX3" s="16" t="s">
        <v>88</v>
      </c>
      <c r="AY3" s="16" t="s">
        <v>85</v>
      </c>
      <c r="AZ3" s="16" t="s">
        <v>88</v>
      </c>
      <c r="BA3" s="16" t="s">
        <v>85</v>
      </c>
      <c r="BB3" s="697" t="s">
        <v>88</v>
      </c>
      <c r="BC3" s="16" t="s">
        <v>85</v>
      </c>
      <c r="BD3" s="697" t="s">
        <v>88</v>
      </c>
      <c r="BE3" s="16" t="s">
        <v>85</v>
      </c>
      <c r="BF3" s="16" t="s">
        <v>88</v>
      </c>
      <c r="BG3" s="16" t="s">
        <v>85</v>
      </c>
      <c r="BH3" s="697" t="s">
        <v>88</v>
      </c>
      <c r="BI3" s="16" t="s">
        <v>85</v>
      </c>
      <c r="BJ3" s="765" t="str">
        <f>IF(ข้อมูล!Q13=0,BH3,IF(ข้อมูล!Q13=1,BI3,IF(ข้อมูล!Q13=2,BI3,)))</f>
        <v>ปกติ</v>
      </c>
      <c r="BM3" s="34"/>
      <c r="BN3" s="26" t="s">
        <v>73</v>
      </c>
      <c r="BO3" s="26"/>
      <c r="BP3" s="26"/>
      <c r="BQ3" s="26">
        <v>6</v>
      </c>
      <c r="BR3" s="26" t="s">
        <v>74</v>
      </c>
      <c r="BS3" s="26"/>
      <c r="BT3" s="26"/>
      <c r="BU3" s="26"/>
    </row>
    <row r="4" spans="2:78" ht="21" thickBot="1">
      <c r="B4" s="713" t="s">
        <v>46</v>
      </c>
      <c r="C4" s="716" t="s">
        <v>9</v>
      </c>
      <c r="D4" s="62" t="s">
        <v>4</v>
      </c>
      <c r="E4" s="716" t="s">
        <v>9</v>
      </c>
      <c r="F4" s="62" t="s">
        <v>4</v>
      </c>
      <c r="G4" s="60"/>
      <c r="H4" s="18" t="s">
        <v>89</v>
      </c>
      <c r="I4" s="19"/>
      <c r="J4" s="698"/>
      <c r="K4" s="23"/>
      <c r="L4" s="698"/>
      <c r="M4" s="23"/>
      <c r="N4" s="698"/>
      <c r="O4" s="23"/>
      <c r="P4" s="698"/>
      <c r="Q4" s="23"/>
      <c r="R4" s="698"/>
      <c r="S4" s="23"/>
      <c r="T4" s="698"/>
      <c r="U4" s="23"/>
      <c r="V4" s="698"/>
      <c r="W4" s="23"/>
      <c r="X4" s="698"/>
      <c r="Y4" s="23"/>
      <c r="Z4" s="698"/>
      <c r="AA4" s="23"/>
      <c r="AB4" s="698"/>
      <c r="AC4" s="23"/>
      <c r="AD4" s="698"/>
      <c r="AE4" s="23"/>
      <c r="AF4" s="698"/>
      <c r="AG4" s="23"/>
      <c r="AH4" s="23"/>
      <c r="AI4" s="23"/>
      <c r="AJ4" s="23"/>
      <c r="AK4" s="23"/>
      <c r="AL4" s="111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698"/>
      <c r="BC4" s="23"/>
      <c r="BD4" s="698"/>
      <c r="BE4" s="23"/>
      <c r="BF4" s="23"/>
      <c r="BG4" s="23"/>
      <c r="BH4" s="763"/>
      <c r="BI4" s="23"/>
      <c r="BJ4" s="698"/>
      <c r="BM4" s="34"/>
      <c r="BN4" s="26" t="s">
        <v>76</v>
      </c>
      <c r="BO4" s="26"/>
      <c r="BP4" s="26"/>
      <c r="BQ4" s="26">
        <f>ข้อมูล!Q8</f>
        <v>0</v>
      </c>
      <c r="BR4" s="26" t="s">
        <v>74</v>
      </c>
      <c r="BS4" s="26"/>
      <c r="BT4" s="26"/>
      <c r="BU4" s="26"/>
    </row>
    <row r="5" spans="2:78">
      <c r="B5" s="710">
        <v>1</v>
      </c>
      <c r="C5" s="1096">
        <v>8.2899999999999991</v>
      </c>
      <c r="D5" s="711">
        <f>ROUND(C5*1.4,2)</f>
        <v>11.61</v>
      </c>
      <c r="E5" s="1103">
        <v>4.5999999999999996</v>
      </c>
      <c r="F5" s="63">
        <f>ROUND(E5*1.4,2)</f>
        <v>6.44</v>
      </c>
      <c r="H5" s="19" t="s">
        <v>90</v>
      </c>
      <c r="I5" s="20" t="s">
        <v>91</v>
      </c>
      <c r="J5" s="699">
        <v>29.04</v>
      </c>
      <c r="K5" s="241"/>
      <c r="L5" s="699">
        <v>29.34</v>
      </c>
      <c r="M5" s="241"/>
      <c r="N5" s="699">
        <v>29.46</v>
      </c>
      <c r="O5" s="146"/>
      <c r="P5" s="699">
        <v>29.95</v>
      </c>
      <c r="Q5" s="146"/>
      <c r="R5" s="699">
        <v>30.25</v>
      </c>
      <c r="S5" s="146"/>
      <c r="T5" s="699">
        <v>30.56</v>
      </c>
      <c r="U5" s="146"/>
      <c r="V5" s="699">
        <v>30.86</v>
      </c>
      <c r="W5" s="146"/>
      <c r="X5" s="699">
        <v>31.16</v>
      </c>
      <c r="Y5" s="146"/>
      <c r="Z5" s="699">
        <v>31.47</v>
      </c>
      <c r="AA5" s="146"/>
      <c r="AB5" s="699">
        <v>31.77</v>
      </c>
      <c r="AC5" s="146"/>
      <c r="AD5" s="699">
        <v>32.07</v>
      </c>
      <c r="AE5" s="146"/>
      <c r="AF5" s="699">
        <v>32.380000000000003</v>
      </c>
      <c r="AG5" s="146"/>
      <c r="AH5" s="734">
        <v>32.270000000000003</v>
      </c>
      <c r="AI5" s="734">
        <v>33.86</v>
      </c>
      <c r="AJ5" s="734">
        <v>32.57</v>
      </c>
      <c r="AK5" s="734">
        <v>34.159999999999997</v>
      </c>
      <c r="AL5" s="1113">
        <v>32.869999999999997</v>
      </c>
      <c r="AM5" s="734">
        <v>34.46</v>
      </c>
      <c r="AN5" s="734">
        <v>33.18</v>
      </c>
      <c r="AO5" s="734">
        <v>34.770000000000003</v>
      </c>
      <c r="AP5" s="241">
        <v>30.7</v>
      </c>
      <c r="AQ5" s="241">
        <v>32.29</v>
      </c>
      <c r="AR5" s="241">
        <v>31.01</v>
      </c>
      <c r="AS5" s="241">
        <v>32.6</v>
      </c>
      <c r="AT5" s="241">
        <v>31.31</v>
      </c>
      <c r="AU5" s="241">
        <v>32.9</v>
      </c>
      <c r="AV5" s="241">
        <v>31.61</v>
      </c>
      <c r="AW5" s="241">
        <v>33.21</v>
      </c>
      <c r="AX5" s="241">
        <v>26.15</v>
      </c>
      <c r="AY5" s="241"/>
      <c r="AZ5" s="241">
        <v>25.85</v>
      </c>
      <c r="BA5" s="241"/>
      <c r="BB5" s="699">
        <v>28.73</v>
      </c>
      <c r="BC5" s="241"/>
      <c r="BD5" s="699">
        <v>28.43</v>
      </c>
      <c r="BE5" s="241"/>
      <c r="BF5" s="241">
        <v>24.93</v>
      </c>
      <c r="BG5" s="241"/>
      <c r="BH5" s="752">
        <f>INDEX(J5:BG5,MATCH($C$2,$J$2:$BG$2,0))</f>
        <v>32.270000000000003</v>
      </c>
      <c r="BI5" s="251"/>
      <c r="BJ5" s="766">
        <v>32.68</v>
      </c>
      <c r="BM5" s="34"/>
      <c r="BN5" s="26" t="s">
        <v>78</v>
      </c>
      <c r="BO5" s="26"/>
      <c r="BP5" s="26"/>
      <c r="BQ5" s="26">
        <f>ข้อมูล!Q9</f>
        <v>7</v>
      </c>
      <c r="BR5" s="26" t="s">
        <v>74</v>
      </c>
      <c r="BS5" s="26"/>
      <c r="BT5" s="26"/>
      <c r="BU5" s="26"/>
    </row>
    <row r="6" spans="2:78">
      <c r="B6" s="710">
        <v>2</v>
      </c>
      <c r="C6" s="1097">
        <v>10.26</v>
      </c>
      <c r="D6" s="712">
        <f>ROUND(C6*1.4,2)</f>
        <v>14.36</v>
      </c>
      <c r="E6" s="1104">
        <v>6.09</v>
      </c>
      <c r="F6" s="64">
        <f t="shared" ref="F6:F69" si="0">ROUND(E6*1.4,2)</f>
        <v>8.5299999999999994</v>
      </c>
      <c r="H6" s="19" t="s">
        <v>92</v>
      </c>
      <c r="I6" s="20" t="s">
        <v>93</v>
      </c>
      <c r="J6" s="699">
        <v>8.93</v>
      </c>
      <c r="K6" s="241"/>
      <c r="L6" s="699">
        <v>9.01</v>
      </c>
      <c r="M6" s="241"/>
      <c r="N6" s="699">
        <v>9.09</v>
      </c>
      <c r="O6" s="146"/>
      <c r="P6" s="699">
        <v>9.18</v>
      </c>
      <c r="Q6" s="146"/>
      <c r="R6" s="699">
        <v>9.26</v>
      </c>
      <c r="S6" s="146"/>
      <c r="T6" s="699">
        <v>9.34</v>
      </c>
      <c r="U6" s="146"/>
      <c r="V6" s="699">
        <v>9.42</v>
      </c>
      <c r="W6" s="146"/>
      <c r="X6" s="699">
        <v>9.51</v>
      </c>
      <c r="Y6" s="146"/>
      <c r="Z6" s="699">
        <v>9.59</v>
      </c>
      <c r="AA6" s="146"/>
      <c r="AB6" s="699">
        <v>9.67</v>
      </c>
      <c r="AC6" s="146"/>
      <c r="AD6" s="699">
        <v>9.76</v>
      </c>
      <c r="AE6" s="146"/>
      <c r="AF6" s="699">
        <v>9.84</v>
      </c>
      <c r="AG6" s="146"/>
      <c r="AH6" s="734">
        <v>8.08</v>
      </c>
      <c r="AI6" s="734">
        <v>8.34</v>
      </c>
      <c r="AJ6" s="734">
        <v>8.17</v>
      </c>
      <c r="AK6" s="734">
        <v>8.42</v>
      </c>
      <c r="AL6" s="1113">
        <v>8.25</v>
      </c>
      <c r="AM6" s="734">
        <v>8.5</v>
      </c>
      <c r="AN6" s="734">
        <v>8.33</v>
      </c>
      <c r="AO6" s="734">
        <v>8.59</v>
      </c>
      <c r="AP6" s="241">
        <v>8.15</v>
      </c>
      <c r="AQ6" s="241">
        <v>8.4</v>
      </c>
      <c r="AR6" s="241">
        <v>8.23</v>
      </c>
      <c r="AS6" s="241">
        <v>8.48</v>
      </c>
      <c r="AT6" s="241">
        <v>8.31</v>
      </c>
      <c r="AU6" s="241">
        <v>8.57</v>
      </c>
      <c r="AV6" s="241">
        <v>8.4</v>
      </c>
      <c r="AW6" s="241">
        <v>8.65</v>
      </c>
      <c r="AX6" s="241">
        <v>6.91</v>
      </c>
      <c r="AY6" s="241"/>
      <c r="AZ6" s="241">
        <v>6.82</v>
      </c>
      <c r="BA6" s="241"/>
      <c r="BB6" s="699">
        <v>8.85</v>
      </c>
      <c r="BC6" s="241"/>
      <c r="BD6" s="699">
        <v>8.76</v>
      </c>
      <c r="BE6" s="241"/>
      <c r="BF6" s="241">
        <v>6.57</v>
      </c>
      <c r="BG6" s="241"/>
      <c r="BH6" s="752">
        <f t="shared" ref="BH6:BH37" si="1">INDEX(J6:BG6,MATCH($C$2,$J$2:$BG$2,0))</f>
        <v>8.08</v>
      </c>
      <c r="BI6" s="251"/>
      <c r="BJ6" s="766">
        <v>9.92</v>
      </c>
      <c r="BM6" s="34"/>
      <c r="BN6" s="26" t="s">
        <v>80</v>
      </c>
      <c r="BO6" s="26"/>
      <c r="BP6" s="26"/>
      <c r="BQ6" s="26">
        <f>ข้อมูล!Q10</f>
        <v>0</v>
      </c>
      <c r="BR6" s="26" t="s">
        <v>74</v>
      </c>
      <c r="BS6" s="26"/>
      <c r="BT6" s="26"/>
      <c r="BU6" s="26"/>
    </row>
    <row r="7" spans="2:78" ht="22.5" thickBot="1">
      <c r="B7" s="710">
        <v>3</v>
      </c>
      <c r="C7" s="1097">
        <v>12.24</v>
      </c>
      <c r="D7" s="773">
        <f t="shared" ref="D7:D70" si="2">ROUND(C7*1.4,2)</f>
        <v>17.14</v>
      </c>
      <c r="E7" s="1104">
        <v>7.58</v>
      </c>
      <c r="F7" s="712">
        <f t="shared" si="0"/>
        <v>10.61</v>
      </c>
      <c r="H7" s="19" t="s">
        <v>94</v>
      </c>
      <c r="I7" s="20" t="s">
        <v>93</v>
      </c>
      <c r="J7" s="699">
        <v>49.71</v>
      </c>
      <c r="K7" s="241"/>
      <c r="L7" s="699">
        <v>50.25</v>
      </c>
      <c r="M7" s="241"/>
      <c r="N7" s="699">
        <v>50.8</v>
      </c>
      <c r="O7" s="146"/>
      <c r="P7" s="699">
        <v>51.34</v>
      </c>
      <c r="Q7" s="146"/>
      <c r="R7" s="699">
        <v>51.88</v>
      </c>
      <c r="S7" s="146"/>
      <c r="T7" s="699">
        <v>52.42</v>
      </c>
      <c r="U7" s="146"/>
      <c r="V7" s="699">
        <v>52.96</v>
      </c>
      <c r="W7" s="146"/>
      <c r="X7" s="699">
        <v>53.5</v>
      </c>
      <c r="Y7" s="146"/>
      <c r="Z7" s="699">
        <v>54.04</v>
      </c>
      <c r="AA7" s="146"/>
      <c r="AB7" s="699">
        <v>54.58</v>
      </c>
      <c r="AC7" s="146"/>
      <c r="AD7" s="699">
        <v>55.12</v>
      </c>
      <c r="AE7" s="146"/>
      <c r="AF7" s="699">
        <v>55.66</v>
      </c>
      <c r="AG7" s="146"/>
      <c r="AH7" s="734">
        <v>47.89</v>
      </c>
      <c r="AI7" s="734">
        <v>50.27</v>
      </c>
      <c r="AJ7" s="734">
        <v>48.44</v>
      </c>
      <c r="AK7" s="734">
        <v>50.81</v>
      </c>
      <c r="AL7" s="1113">
        <v>48.98</v>
      </c>
      <c r="AM7" s="734">
        <v>51.35</v>
      </c>
      <c r="AN7" s="734">
        <v>49.52</v>
      </c>
      <c r="AO7" s="734">
        <v>51.89</v>
      </c>
      <c r="AP7" s="241">
        <v>46.98</v>
      </c>
      <c r="AQ7" s="241">
        <v>49.35</v>
      </c>
      <c r="AR7" s="241">
        <v>47.52</v>
      </c>
      <c r="AS7" s="241">
        <v>49.89</v>
      </c>
      <c r="AT7" s="241">
        <v>48.06</v>
      </c>
      <c r="AU7" s="241">
        <v>50.43</v>
      </c>
      <c r="AV7" s="241">
        <v>48.6</v>
      </c>
      <c r="AW7" s="241">
        <v>50.97</v>
      </c>
      <c r="AX7" s="241">
        <v>38.86</v>
      </c>
      <c r="AY7" s="241"/>
      <c r="AZ7" s="241">
        <v>38.32</v>
      </c>
      <c r="BA7" s="241"/>
      <c r="BB7" s="699">
        <v>49.17</v>
      </c>
      <c r="BC7" s="241"/>
      <c r="BD7" s="699">
        <v>48.63</v>
      </c>
      <c r="BE7" s="241"/>
      <c r="BF7" s="241">
        <v>36.700000000000003</v>
      </c>
      <c r="BG7" s="241"/>
      <c r="BH7" s="752">
        <f t="shared" si="1"/>
        <v>47.89</v>
      </c>
      <c r="BI7" s="251"/>
      <c r="BJ7" s="766">
        <v>56.21</v>
      </c>
      <c r="BM7" s="34"/>
      <c r="BN7" s="35" t="s">
        <v>113</v>
      </c>
      <c r="BO7"/>
      <c r="BP7" s="35"/>
      <c r="BQ7" s="8">
        <v>3</v>
      </c>
      <c r="BR7" s="35" t="s">
        <v>114</v>
      </c>
      <c r="BS7" s="26"/>
      <c r="BT7" s="26"/>
      <c r="BU7" s="26"/>
    </row>
    <row r="8" spans="2:78">
      <c r="B8" s="710">
        <v>4</v>
      </c>
      <c r="C8" s="1097">
        <v>14.22</v>
      </c>
      <c r="D8" s="773">
        <f t="shared" si="2"/>
        <v>19.91</v>
      </c>
      <c r="E8" s="1104">
        <v>9.07</v>
      </c>
      <c r="F8" s="712">
        <f t="shared" si="0"/>
        <v>12.7</v>
      </c>
      <c r="H8" s="18" t="s">
        <v>95</v>
      </c>
      <c r="I8" s="21"/>
      <c r="J8" s="700"/>
      <c r="K8" s="242"/>
      <c r="L8" s="700"/>
      <c r="M8" s="242"/>
      <c r="N8" s="700"/>
      <c r="O8" s="147"/>
      <c r="P8" s="700"/>
      <c r="Q8" s="147"/>
      <c r="R8" s="700"/>
      <c r="S8" s="147"/>
      <c r="T8" s="700"/>
      <c r="U8" s="147"/>
      <c r="V8" s="700"/>
      <c r="W8" s="147"/>
      <c r="X8" s="700"/>
      <c r="Y8" s="147"/>
      <c r="Z8" s="700"/>
      <c r="AA8" s="147"/>
      <c r="AB8" s="700"/>
      <c r="AC8" s="147"/>
      <c r="AD8" s="700"/>
      <c r="AE8" s="147"/>
      <c r="AF8" s="700"/>
      <c r="AG8" s="147"/>
      <c r="AH8" s="735"/>
      <c r="AI8" s="735"/>
      <c r="AJ8" s="735"/>
      <c r="AK8" s="735"/>
      <c r="AL8" s="1114"/>
      <c r="AM8" s="735"/>
      <c r="AN8" s="735"/>
      <c r="AO8" s="735"/>
      <c r="AP8" s="242"/>
      <c r="AQ8" s="242"/>
      <c r="AR8" s="242"/>
      <c r="AS8" s="242"/>
      <c r="AT8" s="242"/>
      <c r="AU8" s="242"/>
      <c r="AV8" s="242"/>
      <c r="AW8" s="242"/>
      <c r="AX8" s="242"/>
      <c r="AY8" s="242"/>
      <c r="AZ8" s="242"/>
      <c r="BA8" s="242"/>
      <c r="BB8" s="700"/>
      <c r="BC8" s="242"/>
      <c r="BD8" s="700"/>
      <c r="BE8" s="242"/>
      <c r="BF8" s="242"/>
      <c r="BG8" s="242"/>
      <c r="BH8" s="752"/>
      <c r="BI8" s="9"/>
      <c r="BJ8" s="702"/>
      <c r="BM8" s="36" t="s">
        <v>115</v>
      </c>
      <c r="BN8" s="139" t="s">
        <v>115</v>
      </c>
      <c r="BO8" s="47" t="s">
        <v>115</v>
      </c>
      <c r="BP8" s="36" t="s">
        <v>116</v>
      </c>
      <c r="BQ8" s="5" t="s">
        <v>117</v>
      </c>
      <c r="BR8" s="5" t="s">
        <v>118</v>
      </c>
      <c r="BS8" s="5" t="s">
        <v>119</v>
      </c>
      <c r="BT8" s="5" t="s">
        <v>120</v>
      </c>
      <c r="BU8" s="5" t="s">
        <v>121</v>
      </c>
      <c r="BV8" s="5" t="s">
        <v>122</v>
      </c>
      <c r="BW8" s="139" t="s">
        <v>2</v>
      </c>
      <c r="BX8" s="139" t="s">
        <v>174</v>
      </c>
      <c r="BY8" s="6" t="s">
        <v>175</v>
      </c>
    </row>
    <row r="9" spans="2:78" ht="21" thickBot="1">
      <c r="B9" s="710">
        <v>5</v>
      </c>
      <c r="C9" s="1097">
        <v>16.2</v>
      </c>
      <c r="D9" s="773">
        <f t="shared" si="2"/>
        <v>22.68</v>
      </c>
      <c r="E9" s="1104">
        <v>10.55</v>
      </c>
      <c r="F9" s="712">
        <f>ROUND(E9*1.4,2)</f>
        <v>14.77</v>
      </c>
      <c r="H9" s="19" t="s">
        <v>96</v>
      </c>
      <c r="I9" s="20" t="s">
        <v>93</v>
      </c>
      <c r="J9" s="699">
        <v>23.28</v>
      </c>
      <c r="K9" s="241"/>
      <c r="L9" s="699">
        <v>23.43</v>
      </c>
      <c r="M9" s="241"/>
      <c r="N9" s="699">
        <v>23.57</v>
      </c>
      <c r="O9" s="146"/>
      <c r="P9" s="699">
        <v>23.71</v>
      </c>
      <c r="Q9" s="146"/>
      <c r="R9" s="699">
        <v>23.85</v>
      </c>
      <c r="S9" s="146"/>
      <c r="T9" s="699">
        <v>24</v>
      </c>
      <c r="U9" s="146"/>
      <c r="V9" s="699">
        <v>24.14</v>
      </c>
      <c r="W9" s="146"/>
      <c r="X9" s="699">
        <v>24.28</v>
      </c>
      <c r="Y9" s="146"/>
      <c r="Z9" s="699">
        <v>24.42</v>
      </c>
      <c r="AA9" s="146"/>
      <c r="AB9" s="699">
        <v>24.57</v>
      </c>
      <c r="AC9" s="146"/>
      <c r="AD9" s="699">
        <v>24.71</v>
      </c>
      <c r="AE9" s="146"/>
      <c r="AF9" s="699">
        <v>24.85</v>
      </c>
      <c r="AG9" s="146"/>
      <c r="AH9" s="734">
        <v>21.31</v>
      </c>
      <c r="AI9" s="734">
        <v>22.04</v>
      </c>
      <c r="AJ9" s="734">
        <v>21.45</v>
      </c>
      <c r="AK9" s="734">
        <v>22.18</v>
      </c>
      <c r="AL9" s="1113">
        <v>21.59</v>
      </c>
      <c r="AM9" s="734">
        <v>22.32</v>
      </c>
      <c r="AN9" s="734">
        <v>21.74</v>
      </c>
      <c r="AO9" s="734">
        <v>22.46</v>
      </c>
      <c r="AP9" s="241">
        <v>18.3</v>
      </c>
      <c r="AQ9" s="241">
        <v>19.03</v>
      </c>
      <c r="AR9" s="241">
        <v>18.440000000000001</v>
      </c>
      <c r="AS9" s="241">
        <v>19.170000000000002</v>
      </c>
      <c r="AT9" s="241">
        <v>18.59</v>
      </c>
      <c r="AU9" s="241">
        <v>19.309999999999999</v>
      </c>
      <c r="AV9" s="241">
        <v>18.73</v>
      </c>
      <c r="AW9" s="241">
        <v>19.46</v>
      </c>
      <c r="AX9" s="241">
        <v>16.16</v>
      </c>
      <c r="AY9" s="241"/>
      <c r="AZ9" s="241">
        <v>16.02</v>
      </c>
      <c r="BA9" s="241"/>
      <c r="BB9" s="699">
        <v>23.14</v>
      </c>
      <c r="BC9" s="241"/>
      <c r="BD9" s="699">
        <v>23</v>
      </c>
      <c r="BE9" s="241"/>
      <c r="BF9" s="241">
        <v>15.59</v>
      </c>
      <c r="BG9" s="241"/>
      <c r="BH9" s="752">
        <f t="shared" si="1"/>
        <v>21.31</v>
      </c>
      <c r="BI9" s="251"/>
      <c r="BJ9" s="766">
        <v>25</v>
      </c>
      <c r="BM9" s="37" t="s">
        <v>88</v>
      </c>
      <c r="BN9" s="165" t="s">
        <v>161</v>
      </c>
      <c r="BO9" s="166" t="s">
        <v>162</v>
      </c>
      <c r="BP9" s="37" t="s">
        <v>123</v>
      </c>
      <c r="BQ9" s="7" t="s">
        <v>124</v>
      </c>
      <c r="BR9" s="7" t="s">
        <v>125</v>
      </c>
      <c r="BS9" s="7" t="s">
        <v>126</v>
      </c>
      <c r="BT9" s="7"/>
      <c r="BU9" s="7" t="s">
        <v>127</v>
      </c>
      <c r="BV9" s="7">
        <v>7</v>
      </c>
      <c r="BW9" s="140" t="s">
        <v>128</v>
      </c>
      <c r="BX9" s="142" t="s">
        <v>161</v>
      </c>
      <c r="BY9" s="138" t="s">
        <v>163</v>
      </c>
    </row>
    <row r="10" spans="2:78">
      <c r="B10" s="710">
        <v>6</v>
      </c>
      <c r="C10" s="1097">
        <v>18.18</v>
      </c>
      <c r="D10" s="773">
        <f t="shared" si="2"/>
        <v>25.45</v>
      </c>
      <c r="E10" s="1104">
        <v>12.04</v>
      </c>
      <c r="F10" s="712">
        <f>ROUND(E10*1.4,2)</f>
        <v>16.86</v>
      </c>
      <c r="H10" s="19" t="s">
        <v>94</v>
      </c>
      <c r="I10" s="20" t="s">
        <v>93</v>
      </c>
      <c r="J10" s="699">
        <v>79.55</v>
      </c>
      <c r="K10" s="241"/>
      <c r="L10" s="699">
        <v>80.33</v>
      </c>
      <c r="M10" s="241"/>
      <c r="N10" s="699">
        <v>81.11</v>
      </c>
      <c r="O10" s="146"/>
      <c r="P10" s="699">
        <v>81.88</v>
      </c>
      <c r="Q10" s="146"/>
      <c r="R10" s="699">
        <v>82.66</v>
      </c>
      <c r="S10" s="146"/>
      <c r="T10" s="699">
        <v>83.44</v>
      </c>
      <c r="U10" s="146"/>
      <c r="V10" s="699">
        <v>84.22</v>
      </c>
      <c r="W10" s="146"/>
      <c r="X10" s="699">
        <v>84.99</v>
      </c>
      <c r="Y10" s="146"/>
      <c r="Z10" s="699">
        <v>85.77</v>
      </c>
      <c r="AA10" s="146"/>
      <c r="AB10" s="699">
        <v>86.55</v>
      </c>
      <c r="AC10" s="146"/>
      <c r="AD10" s="699">
        <v>87.32</v>
      </c>
      <c r="AE10" s="146"/>
      <c r="AF10" s="699">
        <v>88.1</v>
      </c>
      <c r="AG10" s="146"/>
      <c r="AH10" s="734">
        <v>75.569999999999993</v>
      </c>
      <c r="AI10" s="734">
        <v>80.34</v>
      </c>
      <c r="AJ10" s="734">
        <v>76.349999999999994</v>
      </c>
      <c r="AK10" s="734">
        <v>81.12</v>
      </c>
      <c r="AL10" s="1113">
        <v>77.12</v>
      </c>
      <c r="AM10" s="734">
        <v>81.900000000000006</v>
      </c>
      <c r="AN10" s="734">
        <v>77.900000000000006</v>
      </c>
      <c r="AO10" s="734">
        <v>82.68</v>
      </c>
      <c r="AP10" s="241">
        <v>73.56</v>
      </c>
      <c r="AQ10" s="241">
        <v>78.34</v>
      </c>
      <c r="AR10" s="241">
        <v>74.34</v>
      </c>
      <c r="AS10" s="241">
        <v>79.12</v>
      </c>
      <c r="AT10" s="241">
        <v>75.12</v>
      </c>
      <c r="AU10" s="241">
        <v>79.89</v>
      </c>
      <c r="AV10" s="241">
        <v>75.900000000000006</v>
      </c>
      <c r="AW10" s="241">
        <v>80.67</v>
      </c>
      <c r="AX10" s="241">
        <v>61.9</v>
      </c>
      <c r="AY10" s="241"/>
      <c r="AZ10" s="241">
        <v>61.13</v>
      </c>
      <c r="BA10" s="241"/>
      <c r="BB10" s="699">
        <v>78.78</v>
      </c>
      <c r="BC10" s="241"/>
      <c r="BD10" s="699">
        <v>78</v>
      </c>
      <c r="BE10" s="241"/>
      <c r="BF10" s="241">
        <v>58.8</v>
      </c>
      <c r="BG10" s="241"/>
      <c r="BH10" s="752">
        <f t="shared" si="1"/>
        <v>75.569999999999993</v>
      </c>
      <c r="BI10" s="251"/>
      <c r="BJ10" s="766">
        <v>88.88</v>
      </c>
      <c r="BM10" s="38" t="e">
        <f>ปร.4!$I$132</f>
        <v>#REF!</v>
      </c>
      <c r="BN10" s="25"/>
      <c r="BO10" s="167"/>
      <c r="BP10" s="38">
        <v>5</v>
      </c>
      <c r="BQ10" s="39">
        <v>6</v>
      </c>
      <c r="BR10" s="40">
        <v>18.2361</v>
      </c>
      <c r="BS10" s="41">
        <f>-BQ3/12*(BQ6/100+(BQ10+BQ7-1)*BQ4/100-(BQ4+BQ6)/100*(BQ10+1)/2-(BQ7-1))</f>
        <v>1</v>
      </c>
      <c r="BT10" s="41">
        <v>5.5</v>
      </c>
      <c r="BU10" s="40">
        <f>1+( BR10+BS10+BT10)/100</f>
        <v>1.2473609999999999</v>
      </c>
      <c r="BV10" s="39">
        <f>BV9/100+1</f>
        <v>1.07</v>
      </c>
      <c r="BW10" s="141">
        <f>BU10*BV10</f>
        <v>1.3346762700000001</v>
      </c>
      <c r="BX10" s="208">
        <v>1.3532</v>
      </c>
      <c r="BY10" s="209">
        <v>1.3742000000000001</v>
      </c>
      <c r="BZ10" s="207"/>
    </row>
    <row r="11" spans="2:78">
      <c r="B11" s="710">
        <v>7</v>
      </c>
      <c r="C11" s="1097">
        <v>20.16</v>
      </c>
      <c r="D11" s="773">
        <f t="shared" si="2"/>
        <v>28.22</v>
      </c>
      <c r="E11" s="1104">
        <v>13.53</v>
      </c>
      <c r="F11" s="712">
        <f>ROUND(E11*1.401,2)</f>
        <v>18.96</v>
      </c>
      <c r="H11" s="18" t="s">
        <v>97</v>
      </c>
      <c r="I11" s="21"/>
      <c r="J11" s="699"/>
      <c r="K11" s="241"/>
      <c r="L11" s="699"/>
      <c r="M11" s="241"/>
      <c r="N11" s="699"/>
      <c r="O11" s="146"/>
      <c r="P11" s="699"/>
      <c r="Q11" s="146"/>
      <c r="R11" s="699"/>
      <c r="S11" s="146"/>
      <c r="T11" s="699"/>
      <c r="U11" s="146"/>
      <c r="V11" s="699"/>
      <c r="W11" s="146"/>
      <c r="X11" s="699"/>
      <c r="Y11" s="146"/>
      <c r="Z11" s="699"/>
      <c r="AA11" s="146"/>
      <c r="AB11" s="699"/>
      <c r="AC11" s="146"/>
      <c r="AD11" s="699"/>
      <c r="AE11" s="146"/>
      <c r="AF11" s="699"/>
      <c r="AG11" s="146"/>
      <c r="AH11" s="734"/>
      <c r="AI11" s="734"/>
      <c r="AJ11" s="734"/>
      <c r="AK11" s="734"/>
      <c r="AL11" s="1113"/>
      <c r="AM11" s="734"/>
      <c r="AN11" s="734"/>
      <c r="AO11" s="734"/>
      <c r="AP11" s="241"/>
      <c r="AQ11" s="241"/>
      <c r="AR11" s="241"/>
      <c r="AS11" s="241"/>
      <c r="AT11" s="241"/>
      <c r="AU11" s="241"/>
      <c r="AV11" s="241"/>
      <c r="AW11" s="241"/>
      <c r="AX11" s="241"/>
      <c r="AY11" s="241"/>
      <c r="AZ11" s="241"/>
      <c r="BA11" s="241"/>
      <c r="BB11" s="699"/>
      <c r="BC11" s="241"/>
      <c r="BD11" s="699"/>
      <c r="BE11" s="241"/>
      <c r="BF11" s="241"/>
      <c r="BG11" s="241"/>
      <c r="BH11" s="752"/>
      <c r="BI11" s="24"/>
      <c r="BJ11" s="767"/>
      <c r="BM11" s="168" t="e">
        <f>BM10/1000000</f>
        <v>#REF!</v>
      </c>
      <c r="BN11" s="25"/>
      <c r="BO11" s="167"/>
      <c r="BP11" s="38">
        <v>10</v>
      </c>
      <c r="BQ11" s="39">
        <v>9</v>
      </c>
      <c r="BR11" s="40">
        <v>14.041</v>
      </c>
      <c r="BS11" s="42">
        <f>-BQ3/12*(BQ6/100+(BQ11+BQ7-1)*BQ4/100-(BQ4+BQ6)/100*(BQ11+1)/2-(BQ7-1))</f>
        <v>1</v>
      </c>
      <c r="BT11" s="43">
        <v>5.5</v>
      </c>
      <c r="BU11" s="40">
        <f>1+( BR11+BS11+BT11)/100</f>
        <v>1.2054100000000001</v>
      </c>
      <c r="BV11" s="39">
        <f>BV9/100+1</f>
        <v>1.07</v>
      </c>
      <c r="BW11" s="141">
        <f t="shared" ref="BW11:BW20" si="3">BU11*BV11</f>
        <v>1.2897887000000001</v>
      </c>
      <c r="BX11" s="211">
        <v>1.3081</v>
      </c>
      <c r="BY11" s="210">
        <v>1.3303</v>
      </c>
      <c r="BZ11" s="207"/>
    </row>
    <row r="12" spans="2:78">
      <c r="B12" s="710">
        <v>8</v>
      </c>
      <c r="C12" s="1097">
        <v>22.37</v>
      </c>
      <c r="D12" s="773">
        <f t="shared" si="2"/>
        <v>31.32</v>
      </c>
      <c r="E12" s="1104">
        <v>15.02</v>
      </c>
      <c r="F12" s="712">
        <f>ROUND(E12*1.401,2)</f>
        <v>21.04</v>
      </c>
      <c r="H12" s="19" t="s">
        <v>98</v>
      </c>
      <c r="I12" s="20" t="s">
        <v>33</v>
      </c>
      <c r="J12" s="699">
        <v>9.93</v>
      </c>
      <c r="K12" s="241"/>
      <c r="L12" s="699">
        <v>10.029999999999999</v>
      </c>
      <c r="M12" s="241"/>
      <c r="N12" s="699">
        <v>10.130000000000001</v>
      </c>
      <c r="O12" s="146"/>
      <c r="P12" s="699">
        <v>10.23</v>
      </c>
      <c r="Q12" s="146"/>
      <c r="R12" s="699">
        <v>10.33</v>
      </c>
      <c r="S12" s="146"/>
      <c r="T12" s="699">
        <v>10.43</v>
      </c>
      <c r="U12" s="146"/>
      <c r="V12" s="699">
        <v>10.53</v>
      </c>
      <c r="W12" s="146"/>
      <c r="X12" s="699">
        <v>10.63</v>
      </c>
      <c r="Y12" s="146"/>
      <c r="Z12" s="699">
        <v>10.74</v>
      </c>
      <c r="AA12" s="146"/>
      <c r="AB12" s="699">
        <v>10.84</v>
      </c>
      <c r="AC12" s="146"/>
      <c r="AD12" s="699">
        <v>10.94</v>
      </c>
      <c r="AE12" s="146"/>
      <c r="AF12" s="699">
        <v>11.04</v>
      </c>
      <c r="AG12" s="146"/>
      <c r="AH12" s="734">
        <v>9.2799999999999994</v>
      </c>
      <c r="AI12" s="734">
        <v>9.66</v>
      </c>
      <c r="AJ12" s="734">
        <v>9.3800000000000008</v>
      </c>
      <c r="AK12" s="734">
        <v>9.76</v>
      </c>
      <c r="AL12" s="1113">
        <v>9.48</v>
      </c>
      <c r="AM12" s="734">
        <v>9.86</v>
      </c>
      <c r="AN12" s="734">
        <v>9.58</v>
      </c>
      <c r="AO12" s="734">
        <v>9.9600000000000009</v>
      </c>
      <c r="AP12" s="241">
        <v>9.2200000000000006</v>
      </c>
      <c r="AQ12" s="241">
        <v>9.6</v>
      </c>
      <c r="AR12" s="241">
        <v>9.32</v>
      </c>
      <c r="AS12" s="241">
        <v>9.6999999999999993</v>
      </c>
      <c r="AT12" s="241">
        <v>9.42</v>
      </c>
      <c r="AU12" s="241">
        <v>9.8000000000000007</v>
      </c>
      <c r="AV12" s="241">
        <v>9.52</v>
      </c>
      <c r="AW12" s="241">
        <v>9.9</v>
      </c>
      <c r="AX12" s="241">
        <v>7.22</v>
      </c>
      <c r="AY12" s="241"/>
      <c r="AZ12" s="241">
        <v>7.62</v>
      </c>
      <c r="BA12" s="241"/>
      <c r="BB12" s="699">
        <v>9.83</v>
      </c>
      <c r="BC12" s="241"/>
      <c r="BD12" s="699">
        <v>9.73</v>
      </c>
      <c r="BE12" s="241"/>
      <c r="BF12" s="241">
        <v>7.32</v>
      </c>
      <c r="BG12" s="241"/>
      <c r="BH12" s="752">
        <f t="shared" si="1"/>
        <v>9.2799999999999994</v>
      </c>
      <c r="BI12" s="251"/>
      <c r="BJ12" s="766">
        <v>11.14</v>
      </c>
      <c r="BM12" s="169" t="e">
        <f>BM11/10</f>
        <v>#REF!</v>
      </c>
      <c r="BN12" s="25"/>
      <c r="BO12" s="167"/>
      <c r="BP12" s="38">
        <v>20</v>
      </c>
      <c r="BQ12" s="39">
        <v>12</v>
      </c>
      <c r="BR12" s="40">
        <v>9.7858000000000001</v>
      </c>
      <c r="BS12" s="42">
        <f>-BQ3/12*(BQ6/100+(BQ12+BQ7-1)*BQ4/100-(BQ4+BQ6)/100*(BQ12+1)/2-(BQ7-1))</f>
        <v>1</v>
      </c>
      <c r="BT12" s="43">
        <v>5.5</v>
      </c>
      <c r="BU12" s="40">
        <f>1+( BR12+BS12+BT12)/100</f>
        <v>1.1628579999999999</v>
      </c>
      <c r="BV12" s="39">
        <f>BV9/100+1</f>
        <v>1.07</v>
      </c>
      <c r="BW12" s="141">
        <f t="shared" si="3"/>
        <v>1.2442580599999999</v>
      </c>
      <c r="BX12" s="211">
        <v>1.2605</v>
      </c>
      <c r="BY12" s="210">
        <v>1.2819</v>
      </c>
      <c r="BZ12" s="207"/>
    </row>
    <row r="13" spans="2:78">
      <c r="B13" s="710">
        <v>9</v>
      </c>
      <c r="C13" s="1097">
        <v>25.01</v>
      </c>
      <c r="D13" s="773">
        <f t="shared" si="2"/>
        <v>35.01</v>
      </c>
      <c r="E13" s="1104">
        <v>16.510000000000002</v>
      </c>
      <c r="F13" s="712">
        <f>ROUND(E13*1.3999,2)</f>
        <v>23.11</v>
      </c>
      <c r="H13" s="19" t="s">
        <v>99</v>
      </c>
      <c r="I13" s="20" t="s">
        <v>33</v>
      </c>
      <c r="J13" s="699">
        <v>12.91</v>
      </c>
      <c r="K13" s="241"/>
      <c r="L13" s="699">
        <v>13.04</v>
      </c>
      <c r="M13" s="241"/>
      <c r="N13" s="699">
        <v>13.16</v>
      </c>
      <c r="O13" s="146"/>
      <c r="P13" s="699">
        <v>13.28</v>
      </c>
      <c r="Q13" s="146"/>
      <c r="R13" s="699">
        <v>13.41</v>
      </c>
      <c r="S13" s="146"/>
      <c r="T13" s="699">
        <v>13.53</v>
      </c>
      <c r="U13" s="146"/>
      <c r="V13" s="699">
        <v>13.66</v>
      </c>
      <c r="W13" s="146"/>
      <c r="X13" s="699">
        <v>13.78</v>
      </c>
      <c r="Y13" s="146"/>
      <c r="Z13" s="699">
        <v>13.9</v>
      </c>
      <c r="AA13" s="146"/>
      <c r="AB13" s="699">
        <v>14.03</v>
      </c>
      <c r="AC13" s="146"/>
      <c r="AD13" s="699">
        <v>14.15</v>
      </c>
      <c r="AE13" s="146"/>
      <c r="AF13" s="699">
        <v>14.27</v>
      </c>
      <c r="AG13" s="146"/>
      <c r="AH13" s="734">
        <v>12.05</v>
      </c>
      <c r="AI13" s="734">
        <v>12.67</v>
      </c>
      <c r="AJ13" s="734">
        <v>12.17</v>
      </c>
      <c r="AK13" s="734">
        <v>12.79</v>
      </c>
      <c r="AL13" s="1113">
        <v>12.3</v>
      </c>
      <c r="AM13" s="734">
        <v>12.91</v>
      </c>
      <c r="AN13" s="734">
        <v>12.42</v>
      </c>
      <c r="AO13" s="734">
        <v>13.04</v>
      </c>
      <c r="AP13" s="241">
        <v>11.88</v>
      </c>
      <c r="AQ13" s="241">
        <v>12.5</v>
      </c>
      <c r="AR13" s="241">
        <v>12.01</v>
      </c>
      <c r="AS13" s="241">
        <v>12.62</v>
      </c>
      <c r="AT13" s="241">
        <v>12.13</v>
      </c>
      <c r="AU13" s="241">
        <v>12.75</v>
      </c>
      <c r="AV13" s="241">
        <v>12.25</v>
      </c>
      <c r="AW13" s="241">
        <v>12.87</v>
      </c>
      <c r="AX13" s="241">
        <v>10.029999999999999</v>
      </c>
      <c r="AY13" s="241"/>
      <c r="AZ13" s="241">
        <v>9.9</v>
      </c>
      <c r="BA13" s="241"/>
      <c r="BB13" s="699">
        <v>12.79</v>
      </c>
      <c r="BC13" s="241"/>
      <c r="BD13" s="699">
        <v>12.67</v>
      </c>
      <c r="BE13" s="241"/>
      <c r="BF13" s="241">
        <v>9.5299999999999994</v>
      </c>
      <c r="BG13" s="241"/>
      <c r="BH13" s="752">
        <f t="shared" si="1"/>
        <v>12.05</v>
      </c>
      <c r="BI13" s="251"/>
      <c r="BJ13" s="766">
        <v>14.4</v>
      </c>
      <c r="BM13" s="38" t="e">
        <f>IF(BM12&gt;=1,((ROUND(BM12-0.5,0))*10),5)</f>
        <v>#REF!</v>
      </c>
      <c r="BN13" s="25"/>
      <c r="BO13" s="167"/>
      <c r="BP13" s="38">
        <v>30</v>
      </c>
      <c r="BQ13" s="39">
        <v>12</v>
      </c>
      <c r="BR13" s="40">
        <v>6.9081999999999999</v>
      </c>
      <c r="BS13" s="42">
        <f>-BQ3/12*(BQ6/100+(BQ13+BQ7-1)*BQ4/100-(BQ4+BQ6)/100*(BQ13+1)/2-(BQ7-1))</f>
        <v>1</v>
      </c>
      <c r="BT13" s="43">
        <v>5.5</v>
      </c>
      <c r="BU13" s="40">
        <f t="shared" ref="BU13:BU20" si="4">1+( BR13+BS13+BT13)/100</f>
        <v>1.134082</v>
      </c>
      <c r="BV13" s="39">
        <f>BV9/100+1</f>
        <v>1.07</v>
      </c>
      <c r="BW13" s="141">
        <f t="shared" si="3"/>
        <v>1.21346774</v>
      </c>
      <c r="BX13" s="211">
        <v>1.2271000000000001</v>
      </c>
      <c r="BY13" s="210">
        <v>1.246</v>
      </c>
      <c r="BZ13" s="207"/>
    </row>
    <row r="14" spans="2:78">
      <c r="B14" s="710">
        <v>10</v>
      </c>
      <c r="C14" s="1097">
        <v>27.65</v>
      </c>
      <c r="D14" s="773">
        <f t="shared" si="2"/>
        <v>38.71</v>
      </c>
      <c r="E14" s="1104">
        <v>17.989999999999998</v>
      </c>
      <c r="F14" s="712">
        <f t="shared" si="0"/>
        <v>25.19</v>
      </c>
      <c r="H14" s="19" t="s">
        <v>840</v>
      </c>
      <c r="I14" s="20" t="s">
        <v>33</v>
      </c>
      <c r="J14" s="699">
        <v>10.39</v>
      </c>
      <c r="K14" s="241"/>
      <c r="L14" s="699">
        <v>10.48</v>
      </c>
      <c r="M14" s="241"/>
      <c r="N14" s="699">
        <v>10.58</v>
      </c>
      <c r="O14" s="146"/>
      <c r="P14" s="699">
        <v>10.68</v>
      </c>
      <c r="Q14" s="146"/>
      <c r="R14" s="699">
        <v>10.78</v>
      </c>
      <c r="S14" s="146"/>
      <c r="T14" s="699">
        <v>10.87</v>
      </c>
      <c r="U14" s="146"/>
      <c r="V14" s="699">
        <v>10.97</v>
      </c>
      <c r="W14" s="146"/>
      <c r="X14" s="699">
        <v>11.07</v>
      </c>
      <c r="Y14" s="146"/>
      <c r="Z14" s="699">
        <v>11.17</v>
      </c>
      <c r="AA14" s="146"/>
      <c r="AB14" s="699">
        <v>11.26</v>
      </c>
      <c r="AC14" s="146"/>
      <c r="AD14" s="699">
        <v>11.36</v>
      </c>
      <c r="AE14" s="146"/>
      <c r="AF14" s="699">
        <v>11.46</v>
      </c>
      <c r="AG14" s="146"/>
      <c r="AH14" s="734">
        <v>9.51</v>
      </c>
      <c r="AI14" s="734">
        <v>9.82</v>
      </c>
      <c r="AJ14" s="734">
        <v>9.61</v>
      </c>
      <c r="AK14" s="734">
        <v>9.92</v>
      </c>
      <c r="AL14" s="1113">
        <v>9.6999999999999993</v>
      </c>
      <c r="AM14" s="734">
        <v>10.02</v>
      </c>
      <c r="AN14" s="734">
        <v>9.8000000000000007</v>
      </c>
      <c r="AO14" s="734">
        <v>10.11</v>
      </c>
      <c r="AP14" s="241">
        <v>9.59</v>
      </c>
      <c r="AQ14" s="241">
        <v>9.9</v>
      </c>
      <c r="AR14" s="241">
        <v>9.68</v>
      </c>
      <c r="AS14" s="241">
        <v>10</v>
      </c>
      <c r="AT14" s="241">
        <v>9.7799999999999994</v>
      </c>
      <c r="AU14" s="241">
        <v>10.09</v>
      </c>
      <c r="AV14" s="241">
        <v>9.8800000000000008</v>
      </c>
      <c r="AW14" s="241">
        <v>10.19</v>
      </c>
      <c r="AX14" s="241">
        <v>8.1199999999999992</v>
      </c>
      <c r="AY14" s="241"/>
      <c r="AZ14" s="241">
        <v>8.02</v>
      </c>
      <c r="BA14" s="241"/>
      <c r="BB14" s="699">
        <v>10.29</v>
      </c>
      <c r="BC14" s="241"/>
      <c r="BD14" s="699">
        <v>10.19</v>
      </c>
      <c r="BE14" s="241"/>
      <c r="BF14" s="241">
        <v>7.73</v>
      </c>
      <c r="BG14" s="241"/>
      <c r="BH14" s="752">
        <f t="shared" si="1"/>
        <v>9.51</v>
      </c>
      <c r="BI14" s="251"/>
      <c r="BJ14" s="766">
        <v>11.56</v>
      </c>
      <c r="BM14" s="38" t="e">
        <f>(ROUND(BM12+0.5,0))*10</f>
        <v>#REF!</v>
      </c>
      <c r="BN14" s="25"/>
      <c r="BO14" s="167"/>
      <c r="BP14" s="38">
        <v>40</v>
      </c>
      <c r="BQ14" s="39">
        <v>16</v>
      </c>
      <c r="BR14" s="40">
        <v>6.9898999999999996</v>
      </c>
      <c r="BS14" s="42">
        <f>-BQ3/12*(BQ6/100+(BQ14+BQ7-1)*BQ4/100-(BQ4+BQ6)/100*(BQ14+1)/2-(BQ7-1))</f>
        <v>1</v>
      </c>
      <c r="BT14" s="43">
        <v>5</v>
      </c>
      <c r="BU14" s="40">
        <f t="shared" si="4"/>
        <v>1.129899</v>
      </c>
      <c r="BV14" s="39">
        <f>BV9/100+1</f>
        <v>1.07</v>
      </c>
      <c r="BW14" s="141">
        <f t="shared" si="3"/>
        <v>1.20899193</v>
      </c>
      <c r="BX14" s="211">
        <v>1.2228000000000001</v>
      </c>
      <c r="BY14" s="210">
        <v>1.2437</v>
      </c>
      <c r="BZ14" s="207"/>
    </row>
    <row r="15" spans="2:78">
      <c r="B15" s="710">
        <v>11</v>
      </c>
      <c r="C15" s="1097">
        <v>30.29</v>
      </c>
      <c r="D15" s="773">
        <f t="shared" si="2"/>
        <v>42.41</v>
      </c>
      <c r="E15" s="1104">
        <v>19.48</v>
      </c>
      <c r="F15" s="712">
        <f t="shared" si="0"/>
        <v>27.27</v>
      </c>
      <c r="H15" s="18" t="s">
        <v>100</v>
      </c>
      <c r="I15" s="20" t="s">
        <v>33</v>
      </c>
      <c r="J15" s="699">
        <v>5.99</v>
      </c>
      <c r="K15" s="241"/>
      <c r="L15" s="699">
        <v>6.12</v>
      </c>
      <c r="M15" s="241"/>
      <c r="N15" s="699">
        <v>6.25</v>
      </c>
      <c r="O15" s="146"/>
      <c r="P15" s="699">
        <v>6.38</v>
      </c>
      <c r="Q15" s="146"/>
      <c r="R15" s="699">
        <v>6.51</v>
      </c>
      <c r="S15" s="146"/>
      <c r="T15" s="699">
        <v>6.63</v>
      </c>
      <c r="U15" s="146"/>
      <c r="V15" s="699">
        <v>6.76</v>
      </c>
      <c r="W15" s="146"/>
      <c r="X15" s="699">
        <v>6.89</v>
      </c>
      <c r="Y15" s="146"/>
      <c r="Z15" s="699">
        <v>7.02</v>
      </c>
      <c r="AA15" s="146"/>
      <c r="AB15" s="699">
        <v>7.15</v>
      </c>
      <c r="AC15" s="146"/>
      <c r="AD15" s="699">
        <v>7.28</v>
      </c>
      <c r="AE15" s="146"/>
      <c r="AF15" s="699">
        <v>7.41</v>
      </c>
      <c r="AG15" s="146"/>
      <c r="AH15" s="734">
        <v>7.38</v>
      </c>
      <c r="AI15" s="734">
        <v>7.51</v>
      </c>
      <c r="AJ15" s="734">
        <v>7.51</v>
      </c>
      <c r="AK15" s="734">
        <v>7.64</v>
      </c>
      <c r="AL15" s="1113">
        <v>7.64</v>
      </c>
      <c r="AM15" s="734">
        <v>7.77</v>
      </c>
      <c r="AN15" s="734">
        <v>7.76</v>
      </c>
      <c r="AO15" s="734">
        <v>7.9</v>
      </c>
      <c r="AP15" s="241">
        <v>7.28</v>
      </c>
      <c r="AQ15" s="241">
        <v>7.42</v>
      </c>
      <c r="AR15" s="241">
        <v>7.41</v>
      </c>
      <c r="AS15" s="241">
        <v>7.55</v>
      </c>
      <c r="AT15" s="241">
        <v>7.54</v>
      </c>
      <c r="AU15" s="241">
        <v>7.68</v>
      </c>
      <c r="AV15" s="241">
        <v>7.67</v>
      </c>
      <c r="AW15" s="241">
        <v>7.81</v>
      </c>
      <c r="AX15" s="241">
        <v>5.35</v>
      </c>
      <c r="AY15" s="241"/>
      <c r="AZ15" s="241">
        <v>5.22</v>
      </c>
      <c r="BA15" s="241"/>
      <c r="BB15" s="699">
        <v>5.86</v>
      </c>
      <c r="BC15" s="241"/>
      <c r="BD15" s="699">
        <v>5.73</v>
      </c>
      <c r="BE15" s="241"/>
      <c r="BF15" s="241">
        <v>4.84</v>
      </c>
      <c r="BG15" s="241"/>
      <c r="BH15" s="752">
        <f t="shared" si="1"/>
        <v>7.38</v>
      </c>
      <c r="BI15" s="251"/>
      <c r="BJ15" s="766">
        <v>7.54</v>
      </c>
      <c r="BM15" s="169" t="e">
        <f>VLOOKUP(BM13,BP10:BW20,8)</f>
        <v>#REF!</v>
      </c>
      <c r="BN15" s="141" t="e">
        <f>VLOOKUP(BM13,BP10:BX20,9)</f>
        <v>#REF!</v>
      </c>
      <c r="BO15" s="170" t="e">
        <f>VLOOKUP(BM13,BP10:BY20,10)</f>
        <v>#REF!</v>
      </c>
      <c r="BP15" s="38">
        <v>50</v>
      </c>
      <c r="BQ15" s="39">
        <v>18</v>
      </c>
      <c r="BR15" s="40">
        <v>6.4551999999999996</v>
      </c>
      <c r="BS15" s="42">
        <f>-BQ3/12*(BQ6/100+(BQ15+BQ7-1)*BQ4/100-(BQ4+BQ6)/100*(BQ15+1)/2-(BQ7-1))</f>
        <v>1</v>
      </c>
      <c r="BT15" s="43">
        <v>5</v>
      </c>
      <c r="BU15" s="40">
        <f t="shared" si="4"/>
        <v>1.124552</v>
      </c>
      <c r="BV15" s="39">
        <f>BV9/100+1</f>
        <v>1.07</v>
      </c>
      <c r="BW15" s="141">
        <f t="shared" si="3"/>
        <v>1.2032706400000002</v>
      </c>
      <c r="BX15" s="211">
        <v>1.2163999999999999</v>
      </c>
      <c r="BY15" s="210">
        <v>1.2376</v>
      </c>
      <c r="BZ15" s="207"/>
    </row>
    <row r="16" spans="2:78">
      <c r="B16" s="710">
        <v>12</v>
      </c>
      <c r="C16" s="1097">
        <v>32.93</v>
      </c>
      <c r="D16" s="773">
        <f t="shared" si="2"/>
        <v>46.1</v>
      </c>
      <c r="E16" s="1104">
        <v>20.97</v>
      </c>
      <c r="F16" s="712">
        <f>ROUND(E16*1.4001,2)</f>
        <v>29.36</v>
      </c>
      <c r="H16" s="18" t="s">
        <v>101</v>
      </c>
      <c r="I16" s="20" t="s">
        <v>33</v>
      </c>
      <c r="J16" s="699">
        <v>5.86</v>
      </c>
      <c r="K16" s="241"/>
      <c r="L16" s="699">
        <v>5.98</v>
      </c>
      <c r="M16" s="241"/>
      <c r="N16" s="699">
        <v>6.1</v>
      </c>
      <c r="O16" s="146"/>
      <c r="P16" s="699">
        <v>6.22</v>
      </c>
      <c r="Q16" s="146"/>
      <c r="R16" s="699">
        <v>6.34</v>
      </c>
      <c r="S16" s="146"/>
      <c r="T16" s="699">
        <v>6.45</v>
      </c>
      <c r="U16" s="146"/>
      <c r="V16" s="699">
        <v>6.57</v>
      </c>
      <c r="W16" s="146"/>
      <c r="X16" s="699">
        <v>6.69</v>
      </c>
      <c r="Y16" s="146"/>
      <c r="Z16" s="699">
        <v>6.81</v>
      </c>
      <c r="AA16" s="146"/>
      <c r="AB16" s="699">
        <v>6.93</v>
      </c>
      <c r="AC16" s="146"/>
      <c r="AD16" s="699">
        <v>7.05</v>
      </c>
      <c r="AE16" s="146"/>
      <c r="AF16" s="699">
        <v>7.17</v>
      </c>
      <c r="AG16" s="146"/>
      <c r="AH16" s="734">
        <v>7.09</v>
      </c>
      <c r="AI16" s="734">
        <v>7.28</v>
      </c>
      <c r="AJ16" s="734">
        <v>7.21</v>
      </c>
      <c r="AK16" s="734">
        <v>7.4</v>
      </c>
      <c r="AL16" s="1113">
        <v>7.33</v>
      </c>
      <c r="AM16" s="734">
        <v>7.52</v>
      </c>
      <c r="AN16" s="734">
        <v>7.45</v>
      </c>
      <c r="AO16" s="734">
        <v>7.64</v>
      </c>
      <c r="AP16" s="241">
        <v>6.91</v>
      </c>
      <c r="AQ16" s="241">
        <v>7.11</v>
      </c>
      <c r="AR16" s="241">
        <v>7.03</v>
      </c>
      <c r="AS16" s="241">
        <v>7.23</v>
      </c>
      <c r="AT16" s="241">
        <v>7.15</v>
      </c>
      <c r="AU16" s="241">
        <v>7.35</v>
      </c>
      <c r="AV16" s="241">
        <v>7.27</v>
      </c>
      <c r="AW16" s="241">
        <v>7.47</v>
      </c>
      <c r="AX16" s="241">
        <v>5.12</v>
      </c>
      <c r="AY16" s="241"/>
      <c r="AZ16" s="241">
        <v>5</v>
      </c>
      <c r="BA16" s="241"/>
      <c r="BB16" s="699">
        <v>5.74</v>
      </c>
      <c r="BC16" s="241"/>
      <c r="BD16" s="699">
        <v>5.62</v>
      </c>
      <c r="BE16" s="241"/>
      <c r="BF16" s="241">
        <v>4.6500000000000004</v>
      </c>
      <c r="BG16" s="241"/>
      <c r="BH16" s="752">
        <f t="shared" si="1"/>
        <v>7.09</v>
      </c>
      <c r="BI16" s="251"/>
      <c r="BJ16" s="766">
        <v>7.29</v>
      </c>
      <c r="BM16" s="169" t="e">
        <f>VLOOKUP(BM14,BP10:BW20,8)</f>
        <v>#REF!</v>
      </c>
      <c r="BN16" s="141" t="e">
        <f>VLOOKUP(BM14,BP10:BX20,9)</f>
        <v>#REF!</v>
      </c>
      <c r="BO16" s="170" t="e">
        <f>VLOOKUP(BM14,BP10:BY20,10)</f>
        <v>#REF!</v>
      </c>
      <c r="BP16" s="38">
        <v>60</v>
      </c>
      <c r="BQ16" s="39">
        <v>18</v>
      </c>
      <c r="BR16" s="40">
        <v>5.5918999999999999</v>
      </c>
      <c r="BS16" s="42">
        <f>-BQ3/12*(BQ6/100+(BQ16+BQ7-1)*BQ4/100-(BQ4+BQ6)/100*(BQ16+1)/2-(BQ7-1))</f>
        <v>1</v>
      </c>
      <c r="BT16" s="43">
        <v>5</v>
      </c>
      <c r="BU16" s="40">
        <f t="shared" si="4"/>
        <v>1.1159189999999999</v>
      </c>
      <c r="BV16" s="39">
        <f>BV9/100+1</f>
        <v>1.07</v>
      </c>
      <c r="BW16" s="141">
        <f t="shared" si="3"/>
        <v>1.1940333299999999</v>
      </c>
      <c r="BX16" s="211">
        <v>1.206</v>
      </c>
      <c r="BY16" s="210">
        <v>1.226</v>
      </c>
      <c r="BZ16" s="207"/>
    </row>
    <row r="17" spans="2:78">
      <c r="B17" s="710">
        <v>13</v>
      </c>
      <c r="C17" s="1097">
        <v>35.57</v>
      </c>
      <c r="D17" s="773">
        <f t="shared" si="2"/>
        <v>49.8</v>
      </c>
      <c r="E17" s="1104">
        <v>22.46</v>
      </c>
      <c r="F17" s="712">
        <f>ROUND(E17*1.3998,2)</f>
        <v>31.44</v>
      </c>
      <c r="H17" s="18" t="s">
        <v>102</v>
      </c>
      <c r="I17" s="21"/>
      <c r="J17" s="701"/>
      <c r="K17" s="243"/>
      <c r="L17" s="701"/>
      <c r="M17" s="243"/>
      <c r="N17" s="701"/>
      <c r="O17" s="148"/>
      <c r="P17" s="701"/>
      <c r="Q17" s="148"/>
      <c r="R17" s="701"/>
      <c r="S17" s="148"/>
      <c r="T17" s="701"/>
      <c r="U17" s="148"/>
      <c r="V17" s="701"/>
      <c r="W17" s="148"/>
      <c r="X17" s="701"/>
      <c r="Y17" s="148"/>
      <c r="Z17" s="701"/>
      <c r="AA17" s="148"/>
      <c r="AB17" s="701"/>
      <c r="AC17" s="148"/>
      <c r="AD17" s="701"/>
      <c r="AE17" s="148"/>
      <c r="AF17" s="701"/>
      <c r="AG17" s="148"/>
      <c r="AH17" s="736"/>
      <c r="AI17" s="736"/>
      <c r="AJ17" s="736"/>
      <c r="AK17" s="736"/>
      <c r="AL17" s="1115"/>
      <c r="AM17" s="736"/>
      <c r="AN17" s="736"/>
      <c r="AO17" s="736"/>
      <c r="AP17" s="243"/>
      <c r="AQ17" s="243"/>
      <c r="AR17" s="243"/>
      <c r="AS17" s="243"/>
      <c r="AT17" s="243"/>
      <c r="AU17" s="243"/>
      <c r="AV17" s="243"/>
      <c r="AW17" s="243"/>
      <c r="AX17" s="243"/>
      <c r="AY17" s="243"/>
      <c r="AZ17" s="243"/>
      <c r="BA17" s="243"/>
      <c r="BB17" s="701"/>
      <c r="BC17" s="243"/>
      <c r="BD17" s="701"/>
      <c r="BE17" s="243"/>
      <c r="BF17" s="243"/>
      <c r="BG17" s="243"/>
      <c r="BH17" s="752"/>
      <c r="BI17" s="9"/>
      <c r="BJ17" s="702"/>
      <c r="BM17" s="171" t="e">
        <f>ROUND(IF(BM11&gt;5,BM15-((BM15-BM16)/(BM14-BM13)*(BM11-BM13)),BM15),4)</f>
        <v>#REF!</v>
      </c>
      <c r="BN17" s="172" t="e">
        <f>ROUND(IF(BM11&gt;5,BN15-((BN15-BN16)/(BM14-BM13)*(BM11-BM13)),BN15),4)</f>
        <v>#REF!</v>
      </c>
      <c r="BO17" s="173" t="e">
        <f>ROUND(IF(BM11&gt;5,BO15-((BO15-BO16)/(BM14-BM13)*(BM11-BM13)),BO15),4)</f>
        <v>#REF!</v>
      </c>
      <c r="BP17" s="38">
        <v>70</v>
      </c>
      <c r="BQ17" s="39">
        <v>19</v>
      </c>
      <c r="BR17" s="40">
        <v>5.4047999999999998</v>
      </c>
      <c r="BS17" s="42">
        <f>-BQ3/12*(BQ6/100+(BQ17+BQ7-1)*BQ4/100-(BQ4+BQ6)/100*(BQ17+1)/2-(BQ7-1))</f>
        <v>1</v>
      </c>
      <c r="BT17" s="43">
        <v>4.5</v>
      </c>
      <c r="BU17" s="40">
        <f t="shared" si="4"/>
        <v>1.109048</v>
      </c>
      <c r="BV17" s="39">
        <f>BV9/100+1</f>
        <v>1.07</v>
      </c>
      <c r="BW17" s="141">
        <f t="shared" si="3"/>
        <v>1.1866813600000001</v>
      </c>
      <c r="BX17" s="211">
        <v>1.1982999999999999</v>
      </c>
      <c r="BY17" s="210">
        <v>1.2183999999999999</v>
      </c>
      <c r="BZ17" s="207"/>
    </row>
    <row r="18" spans="2:78">
      <c r="B18" s="710">
        <v>14</v>
      </c>
      <c r="C18" s="1097">
        <v>38.21</v>
      </c>
      <c r="D18" s="773">
        <f t="shared" si="2"/>
        <v>53.49</v>
      </c>
      <c r="E18" s="1104">
        <v>23.95</v>
      </c>
      <c r="F18" s="712">
        <f t="shared" si="0"/>
        <v>33.53</v>
      </c>
      <c r="H18" s="19" t="s">
        <v>169</v>
      </c>
      <c r="I18" s="20"/>
      <c r="J18" s="699"/>
      <c r="K18" s="241"/>
      <c r="L18" s="699"/>
      <c r="M18" s="241"/>
      <c r="N18" s="699"/>
      <c r="O18" s="146"/>
      <c r="P18" s="699"/>
      <c r="Q18" s="146"/>
      <c r="R18" s="699"/>
      <c r="S18" s="146"/>
      <c r="T18" s="699"/>
      <c r="U18" s="146"/>
      <c r="V18" s="699"/>
      <c r="W18" s="146"/>
      <c r="X18" s="699"/>
      <c r="Y18" s="146"/>
      <c r="Z18" s="699"/>
      <c r="AA18" s="146"/>
      <c r="AB18" s="699"/>
      <c r="AC18" s="146"/>
      <c r="AD18" s="699"/>
      <c r="AE18" s="146"/>
      <c r="AF18" s="699"/>
      <c r="AG18" s="146"/>
      <c r="AH18" s="734"/>
      <c r="AI18" s="734"/>
      <c r="AJ18" s="734"/>
      <c r="AK18" s="734"/>
      <c r="AL18" s="1113"/>
      <c r="AM18" s="734"/>
      <c r="AN18" s="734"/>
      <c r="AO18" s="734"/>
      <c r="AP18" s="241"/>
      <c r="AQ18" s="241"/>
      <c r="AR18" s="241"/>
      <c r="AS18" s="241"/>
      <c r="AT18" s="241"/>
      <c r="AU18" s="241"/>
      <c r="AV18" s="241"/>
      <c r="AW18" s="241"/>
      <c r="AX18" s="241"/>
      <c r="AY18" s="241"/>
      <c r="AZ18" s="241"/>
      <c r="BA18" s="241"/>
      <c r="BB18" s="699"/>
      <c r="BC18" s="146"/>
      <c r="BD18" s="699"/>
      <c r="BE18" s="241"/>
      <c r="BF18" s="241"/>
      <c r="BG18" s="241"/>
      <c r="BH18" s="752"/>
      <c r="BI18" s="9"/>
      <c r="BJ18" s="702"/>
      <c r="BM18" s="174"/>
      <c r="BN18" s="175"/>
      <c r="BO18" s="176"/>
      <c r="BP18" s="38">
        <v>80</v>
      </c>
      <c r="BQ18" s="39">
        <v>20</v>
      </c>
      <c r="BR18" s="40">
        <v>5.1508000000000003</v>
      </c>
      <c r="BS18" s="42">
        <f>-BQ3/12*(BQ6/100+(BQ18+BQ7-1)*BQ4/100-(BQ4+BQ6)/100*(BQ18+1)/2-(BQ7-1))</f>
        <v>1</v>
      </c>
      <c r="BT18" s="43">
        <v>4.5</v>
      </c>
      <c r="BU18" s="40">
        <f t="shared" si="4"/>
        <v>1.106508</v>
      </c>
      <c r="BV18" s="39">
        <f>BV9/100+1</f>
        <v>1.07</v>
      </c>
      <c r="BW18" s="141">
        <f t="shared" si="3"/>
        <v>1.18396356</v>
      </c>
      <c r="BX18" s="211">
        <v>1.1951000000000001</v>
      </c>
      <c r="BY18" s="210">
        <v>1.2152000000000001</v>
      </c>
      <c r="BZ18" s="207"/>
    </row>
    <row r="19" spans="2:78">
      <c r="B19" s="710">
        <v>15</v>
      </c>
      <c r="C19" s="1097">
        <v>40.85</v>
      </c>
      <c r="D19" s="773">
        <f t="shared" si="2"/>
        <v>57.19</v>
      </c>
      <c r="E19" s="1104">
        <v>25.49</v>
      </c>
      <c r="F19" s="712">
        <f t="shared" si="0"/>
        <v>35.69</v>
      </c>
      <c r="H19" s="19" t="s">
        <v>170</v>
      </c>
      <c r="I19" s="20" t="s">
        <v>33</v>
      </c>
      <c r="J19" s="699">
        <v>13.37</v>
      </c>
      <c r="K19" s="241"/>
      <c r="L19" s="699">
        <v>13.53</v>
      </c>
      <c r="M19" s="241"/>
      <c r="N19" s="699">
        <v>13.7</v>
      </c>
      <c r="O19" s="146"/>
      <c r="P19" s="699">
        <v>13.86</v>
      </c>
      <c r="Q19" s="146"/>
      <c r="R19" s="699">
        <v>14.03</v>
      </c>
      <c r="S19" s="146"/>
      <c r="T19" s="699">
        <v>14.19</v>
      </c>
      <c r="U19" s="146"/>
      <c r="V19" s="699">
        <v>14.36</v>
      </c>
      <c r="W19" s="146"/>
      <c r="X19" s="699">
        <v>14.52</v>
      </c>
      <c r="Y19" s="146"/>
      <c r="Z19" s="699">
        <v>14.69</v>
      </c>
      <c r="AA19" s="146"/>
      <c r="AB19" s="699">
        <v>14.85</v>
      </c>
      <c r="AC19" s="146"/>
      <c r="AD19" s="699">
        <v>15.02</v>
      </c>
      <c r="AE19" s="146"/>
      <c r="AF19" s="699">
        <v>15.18</v>
      </c>
      <c r="AG19" s="146"/>
      <c r="AH19" s="734">
        <v>14.57</v>
      </c>
      <c r="AI19" s="734">
        <v>15.21</v>
      </c>
      <c r="AJ19" s="734">
        <v>14.74</v>
      </c>
      <c r="AK19" s="734">
        <v>15.38</v>
      </c>
      <c r="AL19" s="1113">
        <v>14.9</v>
      </c>
      <c r="AM19" s="734">
        <v>15.54</v>
      </c>
      <c r="AN19" s="734">
        <v>15.07</v>
      </c>
      <c r="AO19" s="734">
        <v>15.71</v>
      </c>
      <c r="AP19" s="241">
        <v>14.31</v>
      </c>
      <c r="AQ19" s="241">
        <v>14.95</v>
      </c>
      <c r="AR19" s="241">
        <v>14.48</v>
      </c>
      <c r="AS19" s="241">
        <v>15.12</v>
      </c>
      <c r="AT19" s="241">
        <v>14.64</v>
      </c>
      <c r="AU19" s="241">
        <v>15.28</v>
      </c>
      <c r="AV19" s="241">
        <v>14.81</v>
      </c>
      <c r="AW19" s="241">
        <v>15.45</v>
      </c>
      <c r="AX19" s="241">
        <v>11.83</v>
      </c>
      <c r="AY19" s="241"/>
      <c r="AZ19" s="241">
        <v>11.66</v>
      </c>
      <c r="BA19" s="241"/>
      <c r="BB19" s="699">
        <v>13.2</v>
      </c>
      <c r="BC19" s="241"/>
      <c r="BD19" s="699">
        <v>13.03</v>
      </c>
      <c r="BE19" s="241"/>
      <c r="BF19" s="241">
        <v>11.17</v>
      </c>
      <c r="BG19" s="241"/>
      <c r="BH19" s="752">
        <f t="shared" si="1"/>
        <v>14.57</v>
      </c>
      <c r="BI19" s="251"/>
      <c r="BJ19" s="766">
        <v>15.35</v>
      </c>
      <c r="BM19" s="177"/>
      <c r="BN19" s="19"/>
      <c r="BO19" s="178"/>
      <c r="BP19" s="38">
        <v>90</v>
      </c>
      <c r="BQ19" s="39">
        <v>20</v>
      </c>
      <c r="BR19" s="40">
        <v>4.7691999999999997</v>
      </c>
      <c r="BS19" s="42">
        <f>-BQ3/12*(BQ6/100+(BQ19+BQ7-1)*BQ4/100-(BQ4+BQ6)/100*(BQ19+1)/2-(BQ7-1))</f>
        <v>1</v>
      </c>
      <c r="BT19" s="43">
        <v>4.5</v>
      </c>
      <c r="BU19" s="40">
        <f t="shared" si="4"/>
        <v>1.102692</v>
      </c>
      <c r="BV19" s="39">
        <f>BV9/100+1</f>
        <v>1.07</v>
      </c>
      <c r="BW19" s="141">
        <f t="shared" si="3"/>
        <v>1.17988044</v>
      </c>
      <c r="BX19" s="211">
        <v>1.1904999999999999</v>
      </c>
      <c r="BY19" s="210">
        <v>1.21</v>
      </c>
      <c r="BZ19" s="207"/>
    </row>
    <row r="20" spans="2:78" ht="21" thickBot="1">
      <c r="B20" s="710">
        <v>16</v>
      </c>
      <c r="C20" s="1097">
        <v>43.49</v>
      </c>
      <c r="D20" s="773">
        <f t="shared" si="2"/>
        <v>60.89</v>
      </c>
      <c r="E20" s="1104">
        <v>27.15</v>
      </c>
      <c r="F20" s="712">
        <f t="shared" si="0"/>
        <v>38.01</v>
      </c>
      <c r="H20" s="19" t="s">
        <v>171</v>
      </c>
      <c r="I20" s="20" t="s">
        <v>33</v>
      </c>
      <c r="J20" s="699">
        <v>10.64</v>
      </c>
      <c r="K20" s="241"/>
      <c r="L20" s="699">
        <v>10.75</v>
      </c>
      <c r="M20" s="241"/>
      <c r="N20" s="699">
        <v>10.86</v>
      </c>
      <c r="O20" s="146"/>
      <c r="P20" s="699">
        <v>10.97</v>
      </c>
      <c r="Q20" s="146"/>
      <c r="R20" s="699">
        <v>11.08</v>
      </c>
      <c r="S20" s="146"/>
      <c r="T20" s="699">
        <v>11.19</v>
      </c>
      <c r="U20" s="146"/>
      <c r="V20" s="699">
        <v>11.3</v>
      </c>
      <c r="W20" s="146"/>
      <c r="X20" s="699">
        <v>11.41</v>
      </c>
      <c r="Y20" s="146"/>
      <c r="Z20" s="699">
        <v>11.52</v>
      </c>
      <c r="AA20" s="146"/>
      <c r="AB20" s="699">
        <v>11.63</v>
      </c>
      <c r="AC20" s="146"/>
      <c r="AD20" s="699">
        <v>11.74</v>
      </c>
      <c r="AE20" s="146"/>
      <c r="AF20" s="699">
        <v>11.85</v>
      </c>
      <c r="AG20" s="146"/>
      <c r="AH20" s="734">
        <v>11.4</v>
      </c>
      <c r="AI20" s="734">
        <v>11.93</v>
      </c>
      <c r="AJ20" s="734">
        <v>11.51</v>
      </c>
      <c r="AK20" s="734">
        <v>12.04</v>
      </c>
      <c r="AL20" s="1113">
        <v>11.62</v>
      </c>
      <c r="AM20" s="734">
        <v>12.15</v>
      </c>
      <c r="AN20" s="734">
        <v>11.73</v>
      </c>
      <c r="AO20" s="734">
        <v>12.26</v>
      </c>
      <c r="AP20" s="241">
        <v>11.04</v>
      </c>
      <c r="AQ20" s="241">
        <v>11.57</v>
      </c>
      <c r="AR20" s="241">
        <v>11.15</v>
      </c>
      <c r="AS20" s="241">
        <v>11.68</v>
      </c>
      <c r="AT20" s="241">
        <v>11.26</v>
      </c>
      <c r="AU20" s="241">
        <v>11.79</v>
      </c>
      <c r="AV20" s="241">
        <v>11.38</v>
      </c>
      <c r="AW20" s="241">
        <v>11.9</v>
      </c>
      <c r="AX20" s="241">
        <v>9.39</v>
      </c>
      <c r="AY20" s="241"/>
      <c r="AZ20" s="241">
        <v>9.2799999999999994</v>
      </c>
      <c r="BA20" s="241"/>
      <c r="BB20" s="699">
        <v>10.53</v>
      </c>
      <c r="BC20" s="241"/>
      <c r="BD20" s="699">
        <v>10.42</v>
      </c>
      <c r="BE20" s="241"/>
      <c r="BF20" s="241">
        <v>8.9499999999999993</v>
      </c>
      <c r="BG20" s="241"/>
      <c r="BH20" s="752">
        <f t="shared" si="1"/>
        <v>11.4</v>
      </c>
      <c r="BI20" s="251"/>
      <c r="BJ20" s="766">
        <v>11.96</v>
      </c>
      <c r="BM20" s="179"/>
      <c r="BN20" s="180"/>
      <c r="BO20" s="181"/>
      <c r="BP20" s="37">
        <v>100</v>
      </c>
      <c r="BQ20" s="7">
        <v>20</v>
      </c>
      <c r="BR20" s="144">
        <v>4.4638999999999998</v>
      </c>
      <c r="BS20" s="44">
        <f>-BQ3/12*(BQ6/100+(BQ20+BQ7-1)*BQ4/100-(BQ4+BQ6)/100*(BQ20+1)/2-(BQ7-1))</f>
        <v>1</v>
      </c>
      <c r="BT20" s="45">
        <v>4.5</v>
      </c>
      <c r="BU20" s="46">
        <f t="shared" si="4"/>
        <v>1.099639</v>
      </c>
      <c r="BV20" s="140">
        <f>BV9/100+1</f>
        <v>1.07</v>
      </c>
      <c r="BW20" s="46">
        <f t="shared" si="3"/>
        <v>1.1766137300000001</v>
      </c>
      <c r="BX20" s="212">
        <v>1.1867000000000001</v>
      </c>
      <c r="BY20" s="213">
        <v>1.2058</v>
      </c>
      <c r="BZ20" s="207"/>
    </row>
    <row r="21" spans="2:78">
      <c r="B21" s="710">
        <v>17</v>
      </c>
      <c r="C21" s="1097">
        <v>46.13</v>
      </c>
      <c r="D21" s="773">
        <f t="shared" si="2"/>
        <v>64.58</v>
      </c>
      <c r="E21" s="1104">
        <v>28.81</v>
      </c>
      <c r="F21" s="712">
        <f t="shared" si="0"/>
        <v>40.33</v>
      </c>
      <c r="H21" s="19" t="s">
        <v>172</v>
      </c>
      <c r="I21" s="20" t="s">
        <v>103</v>
      </c>
      <c r="J21" s="699">
        <v>275.38</v>
      </c>
      <c r="K21" s="241"/>
      <c r="L21" s="699">
        <v>286.16000000000003</v>
      </c>
      <c r="M21" s="241"/>
      <c r="N21" s="699">
        <v>296.94</v>
      </c>
      <c r="O21" s="146"/>
      <c r="P21" s="699">
        <v>307.73</v>
      </c>
      <c r="Q21" s="146"/>
      <c r="R21" s="699">
        <v>318.51</v>
      </c>
      <c r="S21" s="146"/>
      <c r="T21" s="699">
        <v>329.29</v>
      </c>
      <c r="U21" s="146"/>
      <c r="V21" s="699">
        <v>340.08</v>
      </c>
      <c r="W21" s="146"/>
      <c r="X21" s="699">
        <v>350.86</v>
      </c>
      <c r="Y21" s="146"/>
      <c r="Z21" s="699">
        <v>361.64</v>
      </c>
      <c r="AA21" s="146"/>
      <c r="AB21" s="699">
        <v>372.43</v>
      </c>
      <c r="AC21" s="146"/>
      <c r="AD21" s="699">
        <v>383.21</v>
      </c>
      <c r="AE21" s="146"/>
      <c r="AF21" s="699">
        <v>393.99</v>
      </c>
      <c r="AG21" s="146"/>
      <c r="AH21" s="734">
        <v>404.35</v>
      </c>
      <c r="AI21" s="734">
        <v>408.55</v>
      </c>
      <c r="AJ21" s="734">
        <v>415.14</v>
      </c>
      <c r="AK21" s="734">
        <v>419.33</v>
      </c>
      <c r="AL21" s="1113">
        <v>425.92</v>
      </c>
      <c r="AM21" s="734">
        <v>430.11</v>
      </c>
      <c r="AN21" s="734">
        <v>436.7</v>
      </c>
      <c r="AO21" s="734">
        <v>440.9</v>
      </c>
      <c r="AP21" s="241">
        <v>445.64</v>
      </c>
      <c r="AQ21" s="241">
        <v>449.84</v>
      </c>
      <c r="AR21" s="241">
        <v>456.43</v>
      </c>
      <c r="AS21" s="241">
        <v>460.62</v>
      </c>
      <c r="AT21" s="241">
        <v>467.21</v>
      </c>
      <c r="AU21" s="241">
        <v>471.4</v>
      </c>
      <c r="AV21" s="241">
        <v>478</v>
      </c>
      <c r="AW21" s="241">
        <v>482.19</v>
      </c>
      <c r="AX21" s="241">
        <v>283.89</v>
      </c>
      <c r="AY21" s="241"/>
      <c r="AZ21" s="241">
        <v>273.11</v>
      </c>
      <c r="BA21" s="241"/>
      <c r="BB21" s="699">
        <v>264.58999999999997</v>
      </c>
      <c r="BC21" s="241"/>
      <c r="BD21" s="699">
        <v>253.81</v>
      </c>
      <c r="BE21" s="241"/>
      <c r="BF21" s="241">
        <v>240.76</v>
      </c>
      <c r="BG21" s="241"/>
      <c r="BH21" s="752">
        <f t="shared" si="1"/>
        <v>404.35</v>
      </c>
      <c r="BI21" s="251"/>
      <c r="BJ21" s="766">
        <v>404.78</v>
      </c>
    </row>
    <row r="22" spans="2:78">
      <c r="B22" s="710">
        <v>18</v>
      </c>
      <c r="C22" s="1097">
        <v>48.76</v>
      </c>
      <c r="D22" s="773">
        <f t="shared" si="2"/>
        <v>68.260000000000005</v>
      </c>
      <c r="E22" s="1104">
        <v>30.46</v>
      </c>
      <c r="F22" s="712">
        <f t="shared" si="0"/>
        <v>42.64</v>
      </c>
      <c r="H22" s="18" t="s">
        <v>104</v>
      </c>
      <c r="I22" s="21"/>
      <c r="J22" s="699"/>
      <c r="K22" s="241"/>
      <c r="L22" s="699"/>
      <c r="M22" s="241"/>
      <c r="N22" s="699"/>
      <c r="O22" s="146"/>
      <c r="P22" s="699"/>
      <c r="Q22" s="146"/>
      <c r="R22" s="699"/>
      <c r="S22" s="146"/>
      <c r="T22" s="699"/>
      <c r="U22" s="146"/>
      <c r="V22" s="699"/>
      <c r="W22" s="146"/>
      <c r="X22" s="699"/>
      <c r="Y22" s="146"/>
      <c r="Z22" s="699"/>
      <c r="AA22" s="146"/>
      <c r="AB22" s="699"/>
      <c r="AC22" s="146"/>
      <c r="AD22" s="699"/>
      <c r="AE22" s="146"/>
      <c r="AF22" s="699"/>
      <c r="AG22" s="146"/>
      <c r="AH22" s="734"/>
      <c r="AI22" s="734"/>
      <c r="AJ22" s="734"/>
      <c r="AK22" s="734"/>
      <c r="AL22" s="1113"/>
      <c r="AM22" s="734"/>
      <c r="AN22" s="734"/>
      <c r="AO22" s="734"/>
      <c r="AP22" s="241"/>
      <c r="AQ22" s="241"/>
      <c r="AR22" s="241"/>
      <c r="AS22" s="241"/>
      <c r="AT22" s="241"/>
      <c r="AU22" s="241"/>
      <c r="AV22" s="241"/>
      <c r="AW22" s="241"/>
      <c r="AX22" s="241"/>
      <c r="AY22" s="241"/>
      <c r="AZ22" s="241"/>
      <c r="BA22" s="241"/>
      <c r="BB22" s="699"/>
      <c r="BC22" s="241"/>
      <c r="BD22" s="699"/>
      <c r="BE22" s="241"/>
      <c r="BF22" s="241"/>
      <c r="BG22" s="241"/>
      <c r="BH22" s="752"/>
      <c r="BI22" s="9"/>
      <c r="BJ22" s="702"/>
      <c r="BM22" s="164" t="s">
        <v>109</v>
      </c>
      <c r="BN22" s="28" t="s">
        <v>110</v>
      </c>
      <c r="BO22" s="13" t="s">
        <v>109</v>
      </c>
      <c r="BQ22" s="143"/>
    </row>
    <row r="23" spans="2:78">
      <c r="B23" s="710">
        <v>19</v>
      </c>
      <c r="C23" s="1097">
        <v>51.41</v>
      </c>
      <c r="D23" s="773">
        <f t="shared" si="2"/>
        <v>71.97</v>
      </c>
      <c r="E23" s="1104">
        <v>32.119999999999997</v>
      </c>
      <c r="F23" s="712">
        <f t="shared" si="0"/>
        <v>44.97</v>
      </c>
      <c r="H23" s="19" t="s">
        <v>105</v>
      </c>
      <c r="I23" s="20" t="s">
        <v>106</v>
      </c>
      <c r="J23" s="701">
        <v>12.14</v>
      </c>
      <c r="K23" s="243"/>
      <c r="L23" s="701">
        <v>12.4</v>
      </c>
      <c r="M23" s="243"/>
      <c r="N23" s="701">
        <v>12.66</v>
      </c>
      <c r="O23" s="148"/>
      <c r="P23" s="701">
        <v>12.92</v>
      </c>
      <c r="Q23" s="148"/>
      <c r="R23" s="701">
        <v>13.18</v>
      </c>
      <c r="S23" s="148"/>
      <c r="T23" s="701">
        <v>14.45</v>
      </c>
      <c r="U23" s="148"/>
      <c r="V23" s="701">
        <v>14.71</v>
      </c>
      <c r="W23" s="148"/>
      <c r="X23" s="701">
        <v>14.97</v>
      </c>
      <c r="Y23" s="148"/>
      <c r="Z23" s="701">
        <v>15.23</v>
      </c>
      <c r="AA23" s="148"/>
      <c r="AB23" s="701">
        <v>15.49</v>
      </c>
      <c r="AC23" s="148"/>
      <c r="AD23" s="701">
        <v>15.75</v>
      </c>
      <c r="AE23" s="148"/>
      <c r="AF23" s="701">
        <v>16.010000000000002</v>
      </c>
      <c r="AG23" s="148"/>
      <c r="AH23" s="736">
        <v>16.27</v>
      </c>
      <c r="AI23" s="736">
        <v>16.760000000000002</v>
      </c>
      <c r="AJ23" s="736">
        <v>16.53</v>
      </c>
      <c r="AK23" s="736">
        <v>17.02</v>
      </c>
      <c r="AL23" s="1115">
        <v>16.79</v>
      </c>
      <c r="AM23" s="736">
        <v>17.28</v>
      </c>
      <c r="AN23" s="736">
        <v>17.05</v>
      </c>
      <c r="AO23" s="736">
        <v>17.54</v>
      </c>
      <c r="AP23" s="243">
        <v>16.3</v>
      </c>
      <c r="AQ23" s="243">
        <v>16.78</v>
      </c>
      <c r="AR23" s="243">
        <v>16.559999999999999</v>
      </c>
      <c r="AS23" s="243">
        <v>17.04</v>
      </c>
      <c r="AT23" s="243">
        <v>16.82</v>
      </c>
      <c r="AU23" s="243">
        <v>17.3</v>
      </c>
      <c r="AV23" s="243">
        <v>17.079999999999998</v>
      </c>
      <c r="AW23" s="243">
        <v>17.559999999999999</v>
      </c>
      <c r="AX23" s="243">
        <v>12.4</v>
      </c>
      <c r="AY23" s="243"/>
      <c r="AZ23" s="243">
        <v>12.14</v>
      </c>
      <c r="BA23" s="243"/>
      <c r="BB23" s="701">
        <v>11.88</v>
      </c>
      <c r="BC23" s="243"/>
      <c r="BD23" s="701">
        <v>11.62</v>
      </c>
      <c r="BE23" s="243"/>
      <c r="BF23" s="243">
        <v>11.36</v>
      </c>
      <c r="BG23" s="243"/>
      <c r="BH23" s="752">
        <f t="shared" si="1"/>
        <v>16.27</v>
      </c>
      <c r="BI23" s="251"/>
      <c r="BJ23" s="766">
        <f>IF(ข้อมูล!$Q$13=0,BH23,IF(ข้อมูล!$Q$13=1,BI23,IF(ข้อมูล!$Q$13=2,BI23,)))</f>
        <v>16.27</v>
      </c>
      <c r="BM23" s="25" t="e">
        <f>ข้อมูล!#REF!</f>
        <v>#REF!</v>
      </c>
      <c r="BN23" s="25">
        <v>30</v>
      </c>
      <c r="BO23" s="29">
        <v>0.8</v>
      </c>
      <c r="BP23" s="27"/>
    </row>
    <row r="24" spans="2:78">
      <c r="B24" s="710">
        <v>20</v>
      </c>
      <c r="C24" s="1097">
        <v>54.05</v>
      </c>
      <c r="D24" s="773">
        <f t="shared" si="2"/>
        <v>75.67</v>
      </c>
      <c r="E24" s="1104">
        <v>33.78</v>
      </c>
      <c r="F24" s="712">
        <f t="shared" si="0"/>
        <v>47.29</v>
      </c>
      <c r="H24" s="19" t="s">
        <v>107</v>
      </c>
      <c r="I24" s="20" t="s">
        <v>106</v>
      </c>
      <c r="J24" s="701">
        <v>2.31</v>
      </c>
      <c r="K24" s="243"/>
      <c r="L24" s="701">
        <v>2.35</v>
      </c>
      <c r="M24" s="243"/>
      <c r="N24" s="701">
        <v>2.4</v>
      </c>
      <c r="O24" s="148"/>
      <c r="P24" s="701">
        <v>2.44</v>
      </c>
      <c r="Q24" s="148"/>
      <c r="R24" s="701">
        <v>2.48</v>
      </c>
      <c r="S24" s="148"/>
      <c r="T24" s="701">
        <v>2.5299999999999998</v>
      </c>
      <c r="U24" s="148"/>
      <c r="V24" s="701">
        <v>2.57</v>
      </c>
      <c r="W24" s="148"/>
      <c r="X24" s="701">
        <v>2.62</v>
      </c>
      <c r="Y24" s="148"/>
      <c r="Z24" s="701">
        <v>2.66</v>
      </c>
      <c r="AA24" s="148"/>
      <c r="AB24" s="701">
        <v>2.7</v>
      </c>
      <c r="AC24" s="148"/>
      <c r="AD24" s="701">
        <v>2.75</v>
      </c>
      <c r="AE24" s="148"/>
      <c r="AF24" s="701">
        <v>2.79</v>
      </c>
      <c r="AG24" s="148"/>
      <c r="AH24" s="736">
        <v>2.77</v>
      </c>
      <c r="AI24" s="736">
        <v>2.86</v>
      </c>
      <c r="AJ24" s="736">
        <v>2.81</v>
      </c>
      <c r="AK24" s="736">
        <v>2.9</v>
      </c>
      <c r="AL24" s="1115">
        <v>2.85</v>
      </c>
      <c r="AM24" s="736">
        <v>2.94</v>
      </c>
      <c r="AN24" s="736">
        <v>2.9</v>
      </c>
      <c r="AO24" s="736">
        <v>2.99</v>
      </c>
      <c r="AP24" s="243">
        <v>2.8</v>
      </c>
      <c r="AQ24" s="243">
        <v>2.89</v>
      </c>
      <c r="AR24" s="243">
        <v>2.84</v>
      </c>
      <c r="AS24" s="243">
        <v>2.93</v>
      </c>
      <c r="AT24" s="243">
        <v>2.89</v>
      </c>
      <c r="AU24" s="243">
        <v>2.98</v>
      </c>
      <c r="AV24" s="243">
        <v>2.93</v>
      </c>
      <c r="AW24" s="243">
        <v>3.02</v>
      </c>
      <c r="AX24" s="243">
        <v>2.14</v>
      </c>
      <c r="AY24" s="243"/>
      <c r="AZ24" s="243">
        <v>2.1</v>
      </c>
      <c r="BA24" s="243"/>
      <c r="BB24" s="701">
        <v>2.2599999999999998</v>
      </c>
      <c r="BC24" s="243"/>
      <c r="BD24" s="701">
        <v>2.2200000000000002</v>
      </c>
      <c r="BE24" s="243"/>
      <c r="BF24" s="243">
        <v>1.97</v>
      </c>
      <c r="BG24" s="243"/>
      <c r="BH24" s="752">
        <f t="shared" si="1"/>
        <v>2.77</v>
      </c>
      <c r="BI24" s="251"/>
      <c r="BJ24" s="766">
        <v>2.92</v>
      </c>
      <c r="BM24" s="25" t="e">
        <f>BM23*10</f>
        <v>#REF!</v>
      </c>
      <c r="BN24" s="25">
        <v>40</v>
      </c>
      <c r="BO24" s="29">
        <v>0.9</v>
      </c>
    </row>
    <row r="25" spans="2:78">
      <c r="B25" s="710">
        <v>21</v>
      </c>
      <c r="C25" s="1097">
        <v>56.68</v>
      </c>
      <c r="D25" s="773">
        <f t="shared" si="2"/>
        <v>79.349999999999994</v>
      </c>
      <c r="E25" s="1104">
        <v>35.44</v>
      </c>
      <c r="F25" s="712">
        <f t="shared" si="0"/>
        <v>49.62</v>
      </c>
      <c r="H25" s="19" t="s">
        <v>108</v>
      </c>
      <c r="I25" s="20" t="s">
        <v>106</v>
      </c>
      <c r="J25" s="701">
        <v>10.62</v>
      </c>
      <c r="K25" s="243"/>
      <c r="L25" s="701">
        <v>10.79</v>
      </c>
      <c r="M25" s="243"/>
      <c r="N25" s="701">
        <v>10.96</v>
      </c>
      <c r="O25" s="148"/>
      <c r="P25" s="701">
        <v>11.13</v>
      </c>
      <c r="Q25" s="148"/>
      <c r="R25" s="701">
        <v>11.31</v>
      </c>
      <c r="S25" s="148"/>
      <c r="T25" s="701">
        <v>11.48</v>
      </c>
      <c r="U25" s="148"/>
      <c r="V25" s="701">
        <v>11.65</v>
      </c>
      <c r="W25" s="148"/>
      <c r="X25" s="701">
        <v>11.83</v>
      </c>
      <c r="Y25" s="148"/>
      <c r="Z25" s="701">
        <v>12</v>
      </c>
      <c r="AA25" s="148"/>
      <c r="AB25" s="701">
        <v>12.17</v>
      </c>
      <c r="AC25" s="148"/>
      <c r="AD25" s="701">
        <v>12.34</v>
      </c>
      <c r="AE25" s="148"/>
      <c r="AF25" s="701">
        <v>12.52</v>
      </c>
      <c r="AG25" s="148"/>
      <c r="AH25" s="736">
        <v>12.28</v>
      </c>
      <c r="AI25" s="736">
        <v>12.76</v>
      </c>
      <c r="AJ25" s="736">
        <v>12.45</v>
      </c>
      <c r="AK25" s="736">
        <v>12.93</v>
      </c>
      <c r="AL25" s="1115">
        <v>12.62</v>
      </c>
      <c r="AM25" s="736">
        <v>13.1</v>
      </c>
      <c r="AN25" s="736">
        <v>12.79</v>
      </c>
      <c r="AO25" s="736">
        <v>13.28</v>
      </c>
      <c r="AP25" s="243">
        <v>12.35</v>
      </c>
      <c r="AQ25" s="243">
        <v>12.84</v>
      </c>
      <c r="AR25" s="243">
        <v>12.53</v>
      </c>
      <c r="AS25" s="243">
        <v>13.01</v>
      </c>
      <c r="AT25" s="243">
        <v>12.7</v>
      </c>
      <c r="AU25" s="243">
        <v>13.18</v>
      </c>
      <c r="AV25" s="243">
        <v>12.87</v>
      </c>
      <c r="AW25" s="243">
        <v>13.35</v>
      </c>
      <c r="AX25" s="243">
        <v>9.77</v>
      </c>
      <c r="AY25" s="243"/>
      <c r="AZ25" s="243">
        <v>9.59</v>
      </c>
      <c r="BA25" s="243"/>
      <c r="BB25" s="701">
        <v>10.44</v>
      </c>
      <c r="BC25" s="243"/>
      <c r="BD25" s="701">
        <v>10.27</v>
      </c>
      <c r="BE25" s="243"/>
      <c r="BF25" s="243">
        <v>9.08</v>
      </c>
      <c r="BG25" s="243"/>
      <c r="BH25" s="752">
        <f t="shared" si="1"/>
        <v>12.28</v>
      </c>
      <c r="BI25" s="251"/>
      <c r="BJ25" s="766">
        <v>13.03</v>
      </c>
      <c r="BM25" s="25" t="e">
        <f>VLOOKUP(BM24,BN23:BO28,2)</f>
        <v>#REF!</v>
      </c>
      <c r="BN25" s="25">
        <v>50</v>
      </c>
      <c r="BO25" s="29">
        <v>1</v>
      </c>
    </row>
    <row r="26" spans="2:78">
      <c r="B26" s="710">
        <v>22</v>
      </c>
      <c r="C26" s="1097">
        <v>59.33</v>
      </c>
      <c r="D26" s="773">
        <f t="shared" si="2"/>
        <v>83.06</v>
      </c>
      <c r="E26" s="1104">
        <v>37.1</v>
      </c>
      <c r="F26" s="712">
        <f>ROUND(E26*1.4001,2)</f>
        <v>51.94</v>
      </c>
      <c r="H26" s="18" t="s">
        <v>176</v>
      </c>
      <c r="I26" s="21"/>
      <c r="J26" s="699"/>
      <c r="K26" s="241"/>
      <c r="L26" s="699"/>
      <c r="M26" s="241"/>
      <c r="N26" s="699"/>
      <c r="O26" s="146"/>
      <c r="P26" s="699"/>
      <c r="Q26" s="146"/>
      <c r="R26" s="699"/>
      <c r="S26" s="146"/>
      <c r="T26" s="699"/>
      <c r="U26" s="146"/>
      <c r="V26" s="699"/>
      <c r="W26" s="146"/>
      <c r="X26" s="699"/>
      <c r="Y26" s="146"/>
      <c r="Z26" s="699"/>
      <c r="AA26" s="146"/>
      <c r="AB26" s="699"/>
      <c r="AC26" s="146"/>
      <c r="AD26" s="699"/>
      <c r="AE26" s="146"/>
      <c r="AF26" s="699"/>
      <c r="AG26" s="146"/>
      <c r="AH26" s="734"/>
      <c r="AI26" s="734"/>
      <c r="AJ26" s="734"/>
      <c r="AK26" s="734"/>
      <c r="AL26" s="1113"/>
      <c r="AM26" s="734"/>
      <c r="AN26" s="734"/>
      <c r="AO26" s="734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1"/>
      <c r="BA26" s="241"/>
      <c r="BB26" s="699"/>
      <c r="BC26" s="241"/>
      <c r="BD26" s="699"/>
      <c r="BE26" s="241"/>
      <c r="BF26" s="241"/>
      <c r="BG26" s="241"/>
      <c r="BH26" s="752"/>
      <c r="BI26" s="9"/>
      <c r="BJ26" s="702"/>
      <c r="BM26" s="25"/>
      <c r="BN26" s="25">
        <v>60</v>
      </c>
      <c r="BO26" s="29">
        <v>1.6</v>
      </c>
    </row>
    <row r="27" spans="2:78">
      <c r="B27" s="710">
        <v>23</v>
      </c>
      <c r="C27" s="1097">
        <v>61.96</v>
      </c>
      <c r="D27" s="773">
        <f t="shared" si="2"/>
        <v>86.74</v>
      </c>
      <c r="E27" s="1104">
        <v>38.76</v>
      </c>
      <c r="F27" s="712">
        <f t="shared" si="0"/>
        <v>54.26</v>
      </c>
      <c r="H27" s="19" t="s">
        <v>177</v>
      </c>
      <c r="I27" s="20" t="s">
        <v>106</v>
      </c>
      <c r="J27" s="701">
        <v>34.22</v>
      </c>
      <c r="K27" s="243"/>
      <c r="L27" s="701">
        <v>34.4</v>
      </c>
      <c r="M27" s="243"/>
      <c r="N27" s="701">
        <v>34.58</v>
      </c>
      <c r="O27" s="148"/>
      <c r="P27" s="701">
        <v>34.76</v>
      </c>
      <c r="Q27" s="148"/>
      <c r="R27" s="701">
        <v>34.93</v>
      </c>
      <c r="S27" s="148"/>
      <c r="T27" s="701">
        <v>35.11</v>
      </c>
      <c r="U27" s="148"/>
      <c r="V27" s="701">
        <v>35.29</v>
      </c>
      <c r="W27" s="148"/>
      <c r="X27" s="701">
        <v>35.47</v>
      </c>
      <c r="Y27" s="148"/>
      <c r="Z27" s="701">
        <v>35.64</v>
      </c>
      <c r="AA27" s="148"/>
      <c r="AB27" s="701">
        <v>35.82</v>
      </c>
      <c r="AC27" s="148"/>
      <c r="AD27" s="701">
        <v>36</v>
      </c>
      <c r="AE27" s="148"/>
      <c r="AF27" s="701">
        <v>36.18</v>
      </c>
      <c r="AG27" s="148"/>
      <c r="AH27" s="736">
        <v>44.09</v>
      </c>
      <c r="AI27" s="736">
        <v>47.45</v>
      </c>
      <c r="AJ27" s="736">
        <v>44.27</v>
      </c>
      <c r="AK27" s="736">
        <v>47.62</v>
      </c>
      <c r="AL27" s="1115">
        <v>44.45</v>
      </c>
      <c r="AM27" s="736">
        <v>47.8</v>
      </c>
      <c r="AN27" s="736">
        <v>44.63</v>
      </c>
      <c r="AO27" s="736">
        <v>47.98</v>
      </c>
      <c r="AP27" s="243">
        <v>43.93</v>
      </c>
      <c r="AQ27" s="243">
        <v>47.29</v>
      </c>
      <c r="AR27" s="243">
        <v>44.11</v>
      </c>
      <c r="AS27" s="243">
        <v>47.46</v>
      </c>
      <c r="AT27" s="243">
        <v>44.29</v>
      </c>
      <c r="AU27" s="243">
        <v>47.64</v>
      </c>
      <c r="AV27" s="243">
        <v>44.47</v>
      </c>
      <c r="AW27" s="243">
        <v>47.82</v>
      </c>
      <c r="AX27" s="243">
        <v>41.27</v>
      </c>
      <c r="AY27" s="243"/>
      <c r="AZ27" s="243">
        <v>41.1</v>
      </c>
      <c r="BA27" s="243"/>
      <c r="BB27" s="701">
        <v>34.049999999999997</v>
      </c>
      <c r="BC27" s="243"/>
      <c r="BD27" s="701">
        <v>33.869999999999997</v>
      </c>
      <c r="BE27" s="243"/>
      <c r="BF27" s="243">
        <v>40.56</v>
      </c>
      <c r="BG27" s="243"/>
      <c r="BH27" s="752">
        <f t="shared" si="1"/>
        <v>44.09</v>
      </c>
      <c r="BI27" s="251"/>
      <c r="BJ27" s="766">
        <v>36.35</v>
      </c>
      <c r="BM27" s="25"/>
      <c r="BN27" s="25">
        <v>70</v>
      </c>
      <c r="BO27" s="29">
        <v>1.7</v>
      </c>
    </row>
    <row r="28" spans="2:78">
      <c r="B28" s="710">
        <v>24</v>
      </c>
      <c r="C28" s="1097">
        <v>64.61</v>
      </c>
      <c r="D28" s="773">
        <f t="shared" si="2"/>
        <v>90.45</v>
      </c>
      <c r="E28" s="1104">
        <v>40.409999999999997</v>
      </c>
      <c r="F28" s="712">
        <f t="shared" si="0"/>
        <v>56.57</v>
      </c>
      <c r="H28" s="220" t="s">
        <v>179</v>
      </c>
      <c r="I28" s="19"/>
      <c r="J28" s="702"/>
      <c r="K28" s="244"/>
      <c r="L28" s="702"/>
      <c r="M28" s="244"/>
      <c r="N28" s="702"/>
      <c r="O28" s="9"/>
      <c r="P28" s="702"/>
      <c r="Q28" s="9"/>
      <c r="R28" s="702"/>
      <c r="S28" s="9"/>
      <c r="T28" s="702"/>
      <c r="U28" s="9"/>
      <c r="V28" s="702"/>
      <c r="W28" s="9"/>
      <c r="X28" s="702"/>
      <c r="Y28" s="9"/>
      <c r="Z28" s="702"/>
      <c r="AA28" s="9"/>
      <c r="AB28" s="702"/>
      <c r="AC28" s="9"/>
      <c r="AD28" s="702"/>
      <c r="AE28" s="9"/>
      <c r="AF28" s="702"/>
      <c r="AG28" s="9"/>
      <c r="AH28" s="737"/>
      <c r="AI28" s="737"/>
      <c r="AJ28" s="737"/>
      <c r="AK28" s="737"/>
      <c r="AL28" s="1116"/>
      <c r="AM28" s="737"/>
      <c r="AN28" s="737"/>
      <c r="AO28" s="737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702"/>
      <c r="BC28" s="244"/>
      <c r="BD28" s="702"/>
      <c r="BE28" s="244"/>
      <c r="BF28" s="244"/>
      <c r="BG28" s="244"/>
      <c r="BH28" s="752"/>
      <c r="BI28" s="9"/>
      <c r="BJ28" s="702"/>
      <c r="BM28" s="22"/>
      <c r="BN28" s="30">
        <v>80</v>
      </c>
      <c r="BO28" s="31">
        <v>1.8</v>
      </c>
    </row>
    <row r="29" spans="2:78">
      <c r="B29" s="710">
        <v>25</v>
      </c>
      <c r="C29" s="1097">
        <v>67.25</v>
      </c>
      <c r="D29" s="773">
        <f t="shared" si="2"/>
        <v>94.15</v>
      </c>
      <c r="E29" s="1104">
        <v>42.07</v>
      </c>
      <c r="F29" s="712">
        <f>ROUND(E29*1.4001,2)</f>
        <v>58.9</v>
      </c>
      <c r="H29" s="147" t="s">
        <v>592</v>
      </c>
      <c r="I29" s="20" t="s">
        <v>106</v>
      </c>
      <c r="J29" s="703">
        <v>1.6</v>
      </c>
      <c r="K29" s="242"/>
      <c r="L29" s="700">
        <v>1.62</v>
      </c>
      <c r="M29" s="242"/>
      <c r="N29" s="700">
        <v>1.63</v>
      </c>
      <c r="O29" s="147"/>
      <c r="P29" s="700">
        <v>1.64</v>
      </c>
      <c r="Q29" s="147"/>
      <c r="R29" s="700">
        <v>1.65</v>
      </c>
      <c r="S29" s="147"/>
      <c r="T29" s="700">
        <v>1.67</v>
      </c>
      <c r="U29" s="147"/>
      <c r="V29" s="700">
        <v>1.68</v>
      </c>
      <c r="W29" s="147"/>
      <c r="X29" s="703">
        <v>1.69</v>
      </c>
      <c r="Y29" s="147"/>
      <c r="Z29" s="703">
        <v>1.7</v>
      </c>
      <c r="AA29" s="147"/>
      <c r="AB29" s="700">
        <v>1.72</v>
      </c>
      <c r="AC29" s="147"/>
      <c r="AD29" s="703">
        <v>1.73</v>
      </c>
      <c r="AE29" s="147"/>
      <c r="AF29" s="700">
        <v>1.74</v>
      </c>
      <c r="AG29" s="147"/>
      <c r="AH29" s="735">
        <v>1.48</v>
      </c>
      <c r="AI29" s="735">
        <v>1.52</v>
      </c>
      <c r="AJ29" s="738">
        <v>1.49</v>
      </c>
      <c r="AK29" s="735">
        <v>1.53</v>
      </c>
      <c r="AL29" s="1114">
        <v>1.5</v>
      </c>
      <c r="AM29" s="735">
        <v>1.54</v>
      </c>
      <c r="AN29" s="735">
        <v>1.52</v>
      </c>
      <c r="AO29" s="735">
        <v>1.55</v>
      </c>
      <c r="AP29" s="242">
        <v>3.29</v>
      </c>
      <c r="AQ29" s="242">
        <v>3.41</v>
      </c>
      <c r="AR29" s="242">
        <v>3.32</v>
      </c>
      <c r="AS29" s="242">
        <v>3.44</v>
      </c>
      <c r="AT29" s="242">
        <v>3.36</v>
      </c>
      <c r="AU29" s="242">
        <v>3.47</v>
      </c>
      <c r="AV29" s="242">
        <v>3.39</v>
      </c>
      <c r="AW29" s="242">
        <v>3.51</v>
      </c>
      <c r="AX29" s="242">
        <v>2.81</v>
      </c>
      <c r="AY29" s="242"/>
      <c r="AZ29" s="242">
        <v>2.78</v>
      </c>
      <c r="BA29" s="242"/>
      <c r="BB29" s="700">
        <v>1.59</v>
      </c>
      <c r="BC29" s="242"/>
      <c r="BD29" s="700">
        <v>1.58</v>
      </c>
      <c r="BE29" s="242"/>
      <c r="BF29" s="242">
        <v>2.68</v>
      </c>
      <c r="BG29" s="242"/>
      <c r="BH29" s="752">
        <f t="shared" si="1"/>
        <v>1.48</v>
      </c>
      <c r="BI29" s="251"/>
      <c r="BJ29" s="766">
        <v>1.76</v>
      </c>
    </row>
    <row r="30" spans="2:78" ht="21" thickBot="1">
      <c r="B30" s="710">
        <v>26</v>
      </c>
      <c r="C30" s="1097">
        <v>69.89</v>
      </c>
      <c r="D30" s="773">
        <f t="shared" si="2"/>
        <v>97.85</v>
      </c>
      <c r="E30" s="1104">
        <v>43.73</v>
      </c>
      <c r="F30" s="712">
        <f>ROUND(E30*1.4,2)+0.01</f>
        <v>61.23</v>
      </c>
      <c r="H30" s="221" t="s">
        <v>180</v>
      </c>
      <c r="I30" s="20" t="s">
        <v>93</v>
      </c>
      <c r="J30" s="700">
        <v>7.32</v>
      </c>
      <c r="K30" s="242"/>
      <c r="L30" s="703">
        <v>7.4</v>
      </c>
      <c r="M30" s="242"/>
      <c r="N30" s="700">
        <v>7.47</v>
      </c>
      <c r="O30" s="147"/>
      <c r="P30" s="700">
        <v>7.55</v>
      </c>
      <c r="Q30" s="147"/>
      <c r="R30" s="700">
        <v>7.63</v>
      </c>
      <c r="S30" s="187"/>
      <c r="T30" s="703">
        <v>7.7</v>
      </c>
      <c r="U30" s="147"/>
      <c r="V30" s="700">
        <v>7.78</v>
      </c>
      <c r="W30" s="147"/>
      <c r="X30" s="703">
        <v>7.86</v>
      </c>
      <c r="Y30" s="147"/>
      <c r="Z30" s="700">
        <v>7.93</v>
      </c>
      <c r="AA30" s="187"/>
      <c r="AB30" s="703">
        <v>8.01</v>
      </c>
      <c r="AC30" s="147"/>
      <c r="AD30" s="700">
        <v>8.09</v>
      </c>
      <c r="AE30" s="187"/>
      <c r="AF30" s="700">
        <v>8.16</v>
      </c>
      <c r="AG30" s="147"/>
      <c r="AH30" s="735">
        <v>7.33</v>
      </c>
      <c r="AI30" s="735">
        <v>7.65</v>
      </c>
      <c r="AJ30" s="738">
        <v>7.4</v>
      </c>
      <c r="AK30" s="735">
        <v>7.73</v>
      </c>
      <c r="AL30" s="1114">
        <v>7.48</v>
      </c>
      <c r="AM30" s="735">
        <v>7.81</v>
      </c>
      <c r="AN30" s="735">
        <v>7.56</v>
      </c>
      <c r="AO30" s="735">
        <v>7.88</v>
      </c>
      <c r="AP30" s="242">
        <v>7.09</v>
      </c>
      <c r="AQ30" s="242">
        <v>7.42</v>
      </c>
      <c r="AR30" s="242">
        <v>7.17</v>
      </c>
      <c r="AS30" s="242">
        <v>7.49</v>
      </c>
      <c r="AT30" s="242">
        <v>7.24</v>
      </c>
      <c r="AU30" s="242">
        <v>7.57</v>
      </c>
      <c r="AV30" s="242">
        <v>7.32</v>
      </c>
      <c r="AW30" s="242">
        <v>7.65</v>
      </c>
      <c r="AX30" s="242">
        <v>5.94</v>
      </c>
      <c r="AY30" s="242"/>
      <c r="AZ30" s="242">
        <v>5.86</v>
      </c>
      <c r="BA30" s="242"/>
      <c r="BB30" s="700">
        <v>7.24</v>
      </c>
      <c r="BC30" s="242"/>
      <c r="BD30" s="700">
        <v>7.17</v>
      </c>
      <c r="BE30" s="242"/>
      <c r="BF30" s="242">
        <v>5.63</v>
      </c>
      <c r="BG30" s="242"/>
      <c r="BH30" s="752">
        <f t="shared" si="1"/>
        <v>7.33</v>
      </c>
      <c r="BI30" s="251"/>
      <c r="BJ30" s="766">
        <v>8.24</v>
      </c>
    </row>
    <row r="31" spans="2:78" ht="21.75" thickBot="1">
      <c r="B31" s="710">
        <v>27</v>
      </c>
      <c r="C31" s="1097">
        <v>72.53</v>
      </c>
      <c r="D31" s="773">
        <f t="shared" si="2"/>
        <v>101.54</v>
      </c>
      <c r="E31" s="1104">
        <v>45.39</v>
      </c>
      <c r="F31" s="712">
        <f>ROUND(E31*1.4,2)</f>
        <v>63.55</v>
      </c>
      <c r="H31" s="221" t="s">
        <v>220</v>
      </c>
      <c r="I31" s="147"/>
      <c r="J31" s="700"/>
      <c r="K31" s="242"/>
      <c r="L31" s="700"/>
      <c r="M31" s="242"/>
      <c r="N31" s="700"/>
      <c r="O31" s="147"/>
      <c r="P31" s="700"/>
      <c r="Q31" s="147"/>
      <c r="R31" s="700"/>
      <c r="S31" s="147"/>
      <c r="T31" s="700"/>
      <c r="U31" s="147"/>
      <c r="V31" s="700"/>
      <c r="W31" s="147"/>
      <c r="X31" s="700"/>
      <c r="Y31" s="147"/>
      <c r="Z31" s="700"/>
      <c r="AA31" s="147"/>
      <c r="AB31" s="700"/>
      <c r="AC31" s="147"/>
      <c r="AD31" s="700"/>
      <c r="AE31" s="147"/>
      <c r="AF31" s="700"/>
      <c r="AG31" s="147"/>
      <c r="AH31" s="735"/>
      <c r="AI31" s="735"/>
      <c r="AJ31" s="735"/>
      <c r="AK31" s="735"/>
      <c r="AL31" s="1114"/>
      <c r="AM31" s="735"/>
      <c r="AN31" s="735"/>
      <c r="AO31" s="735"/>
      <c r="AP31" s="242"/>
      <c r="AQ31" s="242"/>
      <c r="AR31" s="242"/>
      <c r="AS31" s="242"/>
      <c r="AT31" s="242"/>
      <c r="AU31" s="242"/>
      <c r="AV31" s="242"/>
      <c r="AW31" s="242"/>
      <c r="AX31" s="242"/>
      <c r="AY31" s="242"/>
      <c r="AZ31" s="242"/>
      <c r="BA31" s="242"/>
      <c r="BB31" s="700"/>
      <c r="BC31" s="242"/>
      <c r="BD31" s="700"/>
      <c r="BE31" s="242"/>
      <c r="BF31" s="242"/>
      <c r="BG31" s="242"/>
      <c r="BH31" s="752"/>
      <c r="BI31" s="147"/>
      <c r="BJ31" s="700"/>
      <c r="BM31" s="1387" t="s">
        <v>198</v>
      </c>
      <c r="BN31" s="1388"/>
      <c r="BO31" s="275" t="s">
        <v>323</v>
      </c>
      <c r="BP31" s="276" t="e">
        <f>IF(ข้อมูล!$Q$13=0,'S2'!$BM$17,IF(ข้อมูล!$Q$13=1,'S2'!$BN$17,IF(ข้อมูล!$Q$13=2,'S2'!$BO$17)))</f>
        <v>#REF!</v>
      </c>
    </row>
    <row r="32" spans="2:78">
      <c r="B32" s="710">
        <v>28</v>
      </c>
      <c r="C32" s="1097">
        <v>75.17</v>
      </c>
      <c r="D32" s="773">
        <f t="shared" si="2"/>
        <v>105.24</v>
      </c>
      <c r="E32" s="1104">
        <v>47.05</v>
      </c>
      <c r="F32" s="712">
        <f t="shared" si="0"/>
        <v>65.87</v>
      </c>
      <c r="H32" s="147" t="s">
        <v>221</v>
      </c>
      <c r="I32" s="222" t="s">
        <v>222</v>
      </c>
      <c r="J32" s="700">
        <v>19.59</v>
      </c>
      <c r="K32" s="242"/>
      <c r="L32" s="700">
        <v>19.78</v>
      </c>
      <c r="M32" s="242"/>
      <c r="N32" s="700">
        <v>19.96</v>
      </c>
      <c r="O32" s="147"/>
      <c r="P32" s="703">
        <v>20.149999999999999</v>
      </c>
      <c r="Q32" s="147"/>
      <c r="R32" s="700">
        <v>20.34</v>
      </c>
      <c r="S32" s="147"/>
      <c r="T32" s="700">
        <v>20.53</v>
      </c>
      <c r="U32" s="187"/>
      <c r="V32" s="700">
        <v>20.170000000000002</v>
      </c>
      <c r="W32" s="147"/>
      <c r="X32" s="703">
        <v>20.9</v>
      </c>
      <c r="Y32" s="147"/>
      <c r="Z32" s="703">
        <v>21.09</v>
      </c>
      <c r="AA32" s="147"/>
      <c r="AB32" s="700">
        <v>21.28</v>
      </c>
      <c r="AC32" s="147"/>
      <c r="AD32" s="700">
        <v>21.47</v>
      </c>
      <c r="AE32" s="147"/>
      <c r="AF32" s="700">
        <v>21.65</v>
      </c>
      <c r="AG32" s="187"/>
      <c r="AH32" s="735">
        <v>21.15</v>
      </c>
      <c r="AI32" s="735">
        <v>21.89</v>
      </c>
      <c r="AJ32" s="735">
        <v>21.34</v>
      </c>
      <c r="AK32" s="735">
        <v>22.07</v>
      </c>
      <c r="AL32" s="1114">
        <v>21.53</v>
      </c>
      <c r="AM32" s="735">
        <v>22.26</v>
      </c>
      <c r="AN32" s="735">
        <v>21.72</v>
      </c>
      <c r="AO32" s="735">
        <v>22.45</v>
      </c>
      <c r="AP32" s="242">
        <v>19.940000000000001</v>
      </c>
      <c r="AQ32" s="242">
        <v>20.67</v>
      </c>
      <c r="AR32" s="242">
        <v>20.12</v>
      </c>
      <c r="AS32" s="242">
        <v>20.86</v>
      </c>
      <c r="AT32" s="242">
        <v>20.309999999999999</v>
      </c>
      <c r="AU32" s="242">
        <v>21.05</v>
      </c>
      <c r="AV32" s="245">
        <v>20.5</v>
      </c>
      <c r="AW32" s="242">
        <v>21.23</v>
      </c>
      <c r="AX32" s="242">
        <v>17.12</v>
      </c>
      <c r="AY32" s="242"/>
      <c r="AZ32" s="242">
        <v>16.93</v>
      </c>
      <c r="BA32" s="242"/>
      <c r="BB32" s="700">
        <v>19.399999999999999</v>
      </c>
      <c r="BC32" s="242"/>
      <c r="BD32" s="700">
        <v>19.21</v>
      </c>
      <c r="BE32" s="242"/>
      <c r="BF32" s="242">
        <v>16.37</v>
      </c>
      <c r="BG32" s="242"/>
      <c r="BH32" s="752">
        <f t="shared" si="1"/>
        <v>21.15</v>
      </c>
      <c r="BI32" s="251"/>
      <c r="BJ32" s="766">
        <v>21.84</v>
      </c>
    </row>
    <row r="33" spans="2:62">
      <c r="B33" s="710">
        <v>29</v>
      </c>
      <c r="C33" s="1097">
        <v>77.790000000000006</v>
      </c>
      <c r="D33" s="773">
        <f t="shared" si="2"/>
        <v>108.91</v>
      </c>
      <c r="E33" s="1104">
        <v>48.7</v>
      </c>
      <c r="F33" s="712">
        <f>ROUND(E33*1.4,2)</f>
        <v>68.180000000000007</v>
      </c>
      <c r="H33" s="221" t="s">
        <v>223</v>
      </c>
      <c r="I33" s="147"/>
      <c r="J33" s="700"/>
      <c r="K33" s="242"/>
      <c r="L33" s="700"/>
      <c r="M33" s="242"/>
      <c r="N33" s="700"/>
      <c r="O33" s="147"/>
      <c r="P33" s="700"/>
      <c r="Q33" s="147"/>
      <c r="R33" s="700"/>
      <c r="S33" s="147"/>
      <c r="T33" s="700"/>
      <c r="U33" s="147"/>
      <c r="V33" s="700"/>
      <c r="W33" s="147"/>
      <c r="X33" s="700"/>
      <c r="Y33" s="147"/>
      <c r="Z33" s="700"/>
      <c r="AA33" s="147"/>
      <c r="AB33" s="700"/>
      <c r="AC33" s="147"/>
      <c r="AD33" s="700"/>
      <c r="AE33" s="147"/>
      <c r="AF33" s="700"/>
      <c r="AG33" s="147"/>
      <c r="AH33" s="735"/>
      <c r="AI33" s="735"/>
      <c r="AJ33" s="735"/>
      <c r="AK33" s="735"/>
      <c r="AL33" s="1114"/>
      <c r="AM33" s="735"/>
      <c r="AN33" s="735"/>
      <c r="AO33" s="735"/>
      <c r="AP33" s="242"/>
      <c r="AQ33" s="242"/>
      <c r="AR33" s="242"/>
      <c r="AS33" s="242"/>
      <c r="AT33" s="242"/>
      <c r="AU33" s="242"/>
      <c r="AV33" s="242"/>
      <c r="AW33" s="242"/>
      <c r="AX33" s="242"/>
      <c r="AY33" s="242"/>
      <c r="AZ33" s="242"/>
      <c r="BA33" s="242"/>
      <c r="BB33" s="700"/>
      <c r="BC33" s="242"/>
      <c r="BD33" s="700"/>
      <c r="BE33" s="242"/>
      <c r="BF33" s="242"/>
      <c r="BG33" s="242"/>
      <c r="BH33" s="752"/>
      <c r="BI33" s="147"/>
      <c r="BJ33" s="700"/>
    </row>
    <row r="34" spans="2:62">
      <c r="B34" s="710">
        <v>30</v>
      </c>
      <c r="C34" s="1097">
        <v>80.45</v>
      </c>
      <c r="D34" s="773">
        <f t="shared" si="2"/>
        <v>112.63</v>
      </c>
      <c r="E34" s="1104">
        <v>50.36</v>
      </c>
      <c r="F34" s="712">
        <f>ROUND(E34*1.4,2)-0.01</f>
        <v>70.489999999999995</v>
      </c>
      <c r="H34" s="147" t="s">
        <v>224</v>
      </c>
      <c r="I34" s="20" t="s">
        <v>91</v>
      </c>
      <c r="J34" s="703">
        <v>19.61</v>
      </c>
      <c r="K34" s="245"/>
      <c r="L34" s="703">
        <v>19.829999999999998</v>
      </c>
      <c r="M34" s="245"/>
      <c r="N34" s="700">
        <v>20.04</v>
      </c>
      <c r="O34" s="147"/>
      <c r="P34" s="703">
        <v>20.260000000000002</v>
      </c>
      <c r="Q34" s="147"/>
      <c r="R34" s="700">
        <v>20.47</v>
      </c>
      <c r="S34" s="147"/>
      <c r="T34" s="700">
        <v>20.69</v>
      </c>
      <c r="U34" s="187"/>
      <c r="V34" s="700">
        <v>20.9</v>
      </c>
      <c r="W34" s="147"/>
      <c r="X34" s="700">
        <v>21.12</v>
      </c>
      <c r="Y34" s="147"/>
      <c r="Z34" s="700">
        <v>21.34</v>
      </c>
      <c r="AA34" s="187"/>
      <c r="AB34" s="700">
        <v>21.55</v>
      </c>
      <c r="AC34" s="147"/>
      <c r="AD34" s="700">
        <v>21.77</v>
      </c>
      <c r="AE34" s="147"/>
      <c r="AF34" s="700">
        <v>21.98</v>
      </c>
      <c r="AG34" s="147"/>
      <c r="AH34" s="738">
        <v>22.1</v>
      </c>
      <c r="AI34" s="735">
        <v>22.97</v>
      </c>
      <c r="AJ34" s="735">
        <v>22.31</v>
      </c>
      <c r="AK34" s="735">
        <v>23.18</v>
      </c>
      <c r="AL34" s="1114">
        <v>22.53</v>
      </c>
      <c r="AM34" s="738">
        <v>23.4</v>
      </c>
      <c r="AN34" s="735">
        <v>22.74</v>
      </c>
      <c r="AO34" s="735">
        <v>23.61</v>
      </c>
      <c r="AP34" s="242">
        <v>20.6</v>
      </c>
      <c r="AQ34" s="242">
        <v>21.47</v>
      </c>
      <c r="AR34" s="242">
        <v>20.82</v>
      </c>
      <c r="AS34" s="242">
        <v>21.69</v>
      </c>
      <c r="AT34" s="242">
        <v>21.03</v>
      </c>
      <c r="AU34" s="245">
        <v>21.9</v>
      </c>
      <c r="AV34" s="242">
        <v>21.25</v>
      </c>
      <c r="AW34" s="245">
        <v>22.12</v>
      </c>
      <c r="AX34" s="245">
        <v>17.37</v>
      </c>
      <c r="AY34" s="245"/>
      <c r="AZ34" s="245">
        <v>17.16</v>
      </c>
      <c r="BA34" s="245"/>
      <c r="BB34" s="703">
        <v>19.399999999999999</v>
      </c>
      <c r="BC34" s="245"/>
      <c r="BD34" s="703">
        <v>19.18</v>
      </c>
      <c r="BE34" s="245"/>
      <c r="BF34" s="245">
        <v>16.510000000000002</v>
      </c>
      <c r="BG34" s="245"/>
      <c r="BH34" s="752">
        <f t="shared" si="1"/>
        <v>22.1</v>
      </c>
      <c r="BI34" s="251"/>
      <c r="BJ34" s="766">
        <v>22.2</v>
      </c>
    </row>
    <row r="35" spans="2:62">
      <c r="B35" s="710">
        <v>31</v>
      </c>
      <c r="C35" s="1097">
        <v>83.07</v>
      </c>
      <c r="D35" s="773">
        <f t="shared" si="2"/>
        <v>116.3</v>
      </c>
      <c r="E35" s="1104">
        <v>52.02</v>
      </c>
      <c r="F35" s="712">
        <f>ROUND(E35*1.4,2)-0.01</f>
        <v>72.819999999999993</v>
      </c>
      <c r="H35" s="147" t="s">
        <v>225</v>
      </c>
      <c r="I35" s="20" t="s">
        <v>93</v>
      </c>
      <c r="J35" s="703">
        <v>41.43</v>
      </c>
      <c r="K35" s="245"/>
      <c r="L35" s="703">
        <v>41.88</v>
      </c>
      <c r="M35" s="245"/>
      <c r="N35" s="700">
        <v>42.33</v>
      </c>
      <c r="O35" s="147"/>
      <c r="P35" s="700">
        <v>42.78</v>
      </c>
      <c r="Q35" s="147"/>
      <c r="R35" s="700">
        <v>43.23</v>
      </c>
      <c r="S35" s="147"/>
      <c r="T35" s="700">
        <v>43.68</v>
      </c>
      <c r="U35" s="147"/>
      <c r="V35" s="700">
        <v>44.13</v>
      </c>
      <c r="W35" s="147"/>
      <c r="X35" s="700">
        <v>44.58</v>
      </c>
      <c r="Y35" s="147"/>
      <c r="Z35" s="700">
        <v>45.03</v>
      </c>
      <c r="AA35" s="147"/>
      <c r="AB35" s="700">
        <v>45.49</v>
      </c>
      <c r="AC35" s="147"/>
      <c r="AD35" s="700">
        <v>45.94</v>
      </c>
      <c r="AE35" s="147"/>
      <c r="AF35" s="700">
        <v>46.39</v>
      </c>
      <c r="AG35" s="147"/>
      <c r="AH35" s="735">
        <v>39.909999999999997</v>
      </c>
      <c r="AI35" s="735">
        <v>41.89</v>
      </c>
      <c r="AJ35" s="735">
        <v>40.36</v>
      </c>
      <c r="AK35" s="735">
        <v>42.34</v>
      </c>
      <c r="AL35" s="1114">
        <v>40.81</v>
      </c>
      <c r="AM35" s="735">
        <v>42.79</v>
      </c>
      <c r="AN35" s="735">
        <v>41.26</v>
      </c>
      <c r="AO35" s="735">
        <v>43.24</v>
      </c>
      <c r="AP35" s="242">
        <v>39.15</v>
      </c>
      <c r="AQ35" s="242">
        <v>41.13</v>
      </c>
      <c r="AR35" s="245">
        <v>39.6</v>
      </c>
      <c r="AS35" s="242">
        <v>41.58</v>
      </c>
      <c r="AT35" s="242">
        <v>40.049999999999997</v>
      </c>
      <c r="AU35" s="242">
        <v>42.03</v>
      </c>
      <c r="AV35" s="245">
        <v>40.5</v>
      </c>
      <c r="AW35" s="242">
        <v>42.48</v>
      </c>
      <c r="AX35" s="245">
        <v>32.380000000000003</v>
      </c>
      <c r="AY35" s="245"/>
      <c r="AZ35" s="245">
        <v>31.93</v>
      </c>
      <c r="BA35" s="245"/>
      <c r="BB35" s="703">
        <v>40.98</v>
      </c>
      <c r="BC35" s="245"/>
      <c r="BD35" s="703">
        <v>40.53</v>
      </c>
      <c r="BE35" s="245"/>
      <c r="BF35" s="245">
        <v>30.58</v>
      </c>
      <c r="BG35" s="245"/>
      <c r="BH35" s="752">
        <f t="shared" si="1"/>
        <v>39.909999999999997</v>
      </c>
      <c r="BI35" s="251"/>
      <c r="BJ35" s="766">
        <v>46.84</v>
      </c>
    </row>
    <row r="36" spans="2:62">
      <c r="B36" s="710">
        <v>32</v>
      </c>
      <c r="C36" s="1097">
        <v>85.73</v>
      </c>
      <c r="D36" s="773">
        <f t="shared" si="2"/>
        <v>120.02</v>
      </c>
      <c r="E36" s="1104">
        <v>53.68</v>
      </c>
      <c r="F36" s="712">
        <f>ROUND(E36*1.4,2)-0.001</f>
        <v>75.149000000000001</v>
      </c>
      <c r="H36" s="774" t="s">
        <v>855</v>
      </c>
      <c r="I36" s="147"/>
      <c r="J36" s="700"/>
      <c r="K36" s="147"/>
      <c r="L36" s="700"/>
      <c r="M36" s="147"/>
      <c r="N36" s="700"/>
      <c r="O36" s="147"/>
      <c r="P36" s="700"/>
      <c r="Q36" s="147"/>
      <c r="R36" s="700"/>
      <c r="S36" s="147"/>
      <c r="T36" s="700"/>
      <c r="U36" s="147"/>
      <c r="V36" s="700"/>
      <c r="W36" s="147"/>
      <c r="X36" s="700"/>
      <c r="Y36" s="147"/>
      <c r="Z36" s="700"/>
      <c r="AA36" s="147"/>
      <c r="AB36" s="700"/>
      <c r="AC36" s="147"/>
      <c r="AD36" s="700"/>
      <c r="AE36" s="147"/>
      <c r="AF36" s="147"/>
      <c r="AG36" s="147"/>
      <c r="AH36" s="147"/>
      <c r="AI36" s="147"/>
      <c r="AJ36" s="147"/>
      <c r="AK36" s="147"/>
      <c r="AL36" s="111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752"/>
      <c r="BI36" s="147"/>
      <c r="BJ36" s="766"/>
    </row>
    <row r="37" spans="2:62">
      <c r="B37" s="710">
        <v>33</v>
      </c>
      <c r="C37" s="1097">
        <v>88.37</v>
      </c>
      <c r="D37" s="773">
        <f t="shared" si="2"/>
        <v>123.72</v>
      </c>
      <c r="E37" s="1104">
        <v>55.33</v>
      </c>
      <c r="F37" s="712">
        <f t="shared" si="0"/>
        <v>77.459999999999994</v>
      </c>
      <c r="H37" s="147" t="s">
        <v>856</v>
      </c>
      <c r="I37" s="147"/>
      <c r="J37" s="703">
        <v>39.6</v>
      </c>
      <c r="K37" s="147"/>
      <c r="L37" s="700">
        <v>40.28</v>
      </c>
      <c r="M37" s="147"/>
      <c r="N37" s="700">
        <v>40.950000000000003</v>
      </c>
      <c r="O37" s="147"/>
      <c r="P37" s="700">
        <v>41.63</v>
      </c>
      <c r="Q37" s="147"/>
      <c r="R37" s="703">
        <v>42.3</v>
      </c>
      <c r="S37" s="147"/>
      <c r="T37" s="700">
        <v>42.98</v>
      </c>
      <c r="U37" s="147"/>
      <c r="V37" s="700">
        <v>43.66</v>
      </c>
      <c r="W37" s="147"/>
      <c r="X37" s="700">
        <v>44.33</v>
      </c>
      <c r="Y37" s="147"/>
      <c r="Z37" s="700">
        <v>45.01</v>
      </c>
      <c r="AA37" s="147"/>
      <c r="AB37" s="700">
        <v>45.69</v>
      </c>
      <c r="AC37" s="147"/>
      <c r="AD37" s="700">
        <v>46.36</v>
      </c>
      <c r="AE37" s="147"/>
      <c r="AF37" s="147"/>
      <c r="AG37" s="147"/>
      <c r="AH37" s="147"/>
      <c r="AI37" s="147"/>
      <c r="AJ37" s="147"/>
      <c r="AK37" s="147"/>
      <c r="AL37" s="111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752">
        <f t="shared" si="1"/>
        <v>0</v>
      </c>
      <c r="BI37" s="147"/>
      <c r="BJ37" s="766">
        <v>47.71</v>
      </c>
    </row>
    <row r="38" spans="2:62">
      <c r="B38" s="710">
        <v>34</v>
      </c>
      <c r="C38" s="1097">
        <v>91.01</v>
      </c>
      <c r="D38" s="773">
        <f t="shared" si="2"/>
        <v>127.41</v>
      </c>
      <c r="E38" s="1104">
        <v>56.99</v>
      </c>
      <c r="F38" s="712">
        <f>ROUND(E38*1.4,2)+0.01</f>
        <v>79.800000000000011</v>
      </c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7"/>
      <c r="AL38" s="111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  <c r="BI38" s="147"/>
      <c r="BJ38" s="147"/>
    </row>
    <row r="39" spans="2:62">
      <c r="B39" s="710">
        <v>35</v>
      </c>
      <c r="C39" s="1097">
        <v>93.63</v>
      </c>
      <c r="D39" s="773">
        <f t="shared" si="2"/>
        <v>131.08000000000001</v>
      </c>
      <c r="E39" s="1104">
        <v>58.65</v>
      </c>
      <c r="F39" s="712">
        <f>ROUND(E39*1.4,2)+0.01</f>
        <v>82.12</v>
      </c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11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  <c r="BI39" s="147"/>
      <c r="BJ39" s="147"/>
    </row>
    <row r="40" spans="2:62">
      <c r="B40" s="710">
        <v>36</v>
      </c>
      <c r="C40" s="1097">
        <v>96.28</v>
      </c>
      <c r="D40" s="773">
        <f t="shared" si="2"/>
        <v>134.79</v>
      </c>
      <c r="E40" s="1104">
        <v>60.31</v>
      </c>
      <c r="F40" s="712">
        <f t="shared" si="0"/>
        <v>84.43</v>
      </c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7"/>
      <c r="AJ40" s="147"/>
      <c r="AK40" s="147"/>
      <c r="AL40" s="111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  <c r="BI40" s="147"/>
      <c r="BJ40" s="147"/>
    </row>
    <row r="41" spans="2:62">
      <c r="B41" s="710">
        <v>37</v>
      </c>
      <c r="C41" s="1097">
        <v>98.93</v>
      </c>
      <c r="D41" s="773">
        <f t="shared" si="2"/>
        <v>138.5</v>
      </c>
      <c r="E41" s="1104">
        <v>61.96</v>
      </c>
      <c r="F41" s="712">
        <f t="shared" si="0"/>
        <v>86.74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118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</row>
    <row r="42" spans="2:62" ht="40.5">
      <c r="B42" s="710">
        <v>38</v>
      </c>
      <c r="C42" s="1097">
        <v>101.57</v>
      </c>
      <c r="D42" s="773">
        <f t="shared" si="2"/>
        <v>142.19999999999999</v>
      </c>
      <c r="E42" s="1104">
        <v>63.62</v>
      </c>
      <c r="F42" s="712">
        <f t="shared" si="0"/>
        <v>89.07</v>
      </c>
    </row>
    <row r="43" spans="2:62" ht="40.5">
      <c r="B43" s="710">
        <v>39</v>
      </c>
      <c r="C43" s="1097">
        <v>104.21</v>
      </c>
      <c r="D43" s="773">
        <f t="shared" si="2"/>
        <v>145.88999999999999</v>
      </c>
      <c r="E43" s="1104">
        <v>65.290000000000006</v>
      </c>
      <c r="F43" s="712">
        <f t="shared" si="0"/>
        <v>91.41</v>
      </c>
    </row>
    <row r="44" spans="2:62" ht="40.5">
      <c r="B44" s="710">
        <v>40</v>
      </c>
      <c r="C44" s="1098">
        <v>106.84</v>
      </c>
      <c r="D44" s="773">
        <f t="shared" si="2"/>
        <v>149.58000000000001</v>
      </c>
      <c r="E44" s="1105">
        <v>66.94</v>
      </c>
      <c r="F44" s="712">
        <f t="shared" si="0"/>
        <v>93.72</v>
      </c>
    </row>
    <row r="45" spans="2:62" ht="40.5">
      <c r="B45" s="710">
        <v>41</v>
      </c>
      <c r="C45" s="1099">
        <v>109.49</v>
      </c>
      <c r="D45" s="773">
        <f t="shared" si="2"/>
        <v>153.29</v>
      </c>
      <c r="E45" s="1106">
        <v>68.599999999999994</v>
      </c>
      <c r="F45" s="712">
        <f t="shared" si="0"/>
        <v>96.04</v>
      </c>
    </row>
    <row r="46" spans="2:62" ht="40.5">
      <c r="B46" s="710">
        <v>42</v>
      </c>
      <c r="C46" s="1100">
        <v>112.13</v>
      </c>
      <c r="D46" s="773">
        <f t="shared" si="2"/>
        <v>156.97999999999999</v>
      </c>
      <c r="E46" s="1107">
        <v>70.260000000000005</v>
      </c>
      <c r="F46" s="712">
        <f t="shared" si="0"/>
        <v>98.36</v>
      </c>
    </row>
    <row r="47" spans="2:62" ht="40.5">
      <c r="B47" s="710">
        <v>43</v>
      </c>
      <c r="C47" s="1100">
        <v>114.76</v>
      </c>
      <c r="D47" s="773">
        <f t="shared" si="2"/>
        <v>160.66</v>
      </c>
      <c r="E47" s="1107">
        <v>71.91</v>
      </c>
      <c r="F47" s="712">
        <f t="shared" si="0"/>
        <v>100.67</v>
      </c>
    </row>
    <row r="48" spans="2:62" ht="40.5">
      <c r="B48" s="710">
        <v>44</v>
      </c>
      <c r="C48" s="1100">
        <v>117.41</v>
      </c>
      <c r="D48" s="773">
        <f t="shared" si="2"/>
        <v>164.37</v>
      </c>
      <c r="E48" s="1107">
        <v>73.569999999999993</v>
      </c>
      <c r="F48" s="712">
        <f t="shared" si="0"/>
        <v>103</v>
      </c>
    </row>
    <row r="49" spans="2:6" ht="40.5">
      <c r="B49" s="710">
        <v>45</v>
      </c>
      <c r="C49" s="1100">
        <v>120.04</v>
      </c>
      <c r="D49" s="773">
        <f t="shared" si="2"/>
        <v>168.06</v>
      </c>
      <c r="E49" s="1107">
        <v>75.23</v>
      </c>
      <c r="F49" s="712">
        <f t="shared" si="0"/>
        <v>105.32</v>
      </c>
    </row>
    <row r="50" spans="2:6" ht="40.5">
      <c r="B50" s="710">
        <v>46</v>
      </c>
      <c r="C50" s="1100">
        <v>122.69</v>
      </c>
      <c r="D50" s="773">
        <f t="shared" si="2"/>
        <v>171.77</v>
      </c>
      <c r="E50" s="1107">
        <v>76.89</v>
      </c>
      <c r="F50" s="712">
        <f t="shared" si="0"/>
        <v>107.65</v>
      </c>
    </row>
    <row r="51" spans="2:6" ht="40.5">
      <c r="B51" s="710">
        <v>47</v>
      </c>
      <c r="C51" s="1100">
        <v>125.32</v>
      </c>
      <c r="D51" s="773">
        <f t="shared" si="2"/>
        <v>175.45</v>
      </c>
      <c r="E51" s="1107">
        <v>78.55</v>
      </c>
      <c r="F51" s="712">
        <f t="shared" si="0"/>
        <v>109.97</v>
      </c>
    </row>
    <row r="52" spans="2:6" ht="40.5">
      <c r="B52" s="710">
        <v>48</v>
      </c>
      <c r="C52" s="1100">
        <v>127.96</v>
      </c>
      <c r="D52" s="773">
        <f t="shared" si="2"/>
        <v>179.14</v>
      </c>
      <c r="E52" s="1107">
        <v>80.2</v>
      </c>
      <c r="F52" s="712">
        <f>ROUND(E52*1.4,2)+0.01</f>
        <v>112.29</v>
      </c>
    </row>
    <row r="53" spans="2:6" ht="40.5">
      <c r="B53" s="710">
        <v>49</v>
      </c>
      <c r="C53" s="1100">
        <v>130.58000000000001</v>
      </c>
      <c r="D53" s="773">
        <f t="shared" si="2"/>
        <v>182.81</v>
      </c>
      <c r="E53" s="1107">
        <v>81.86</v>
      </c>
      <c r="F53" s="712">
        <f t="shared" si="0"/>
        <v>114.6</v>
      </c>
    </row>
    <row r="54" spans="2:6" ht="40.5">
      <c r="B54" s="710">
        <v>50</v>
      </c>
      <c r="C54" s="1100">
        <v>133.22</v>
      </c>
      <c r="D54" s="773">
        <f t="shared" si="2"/>
        <v>186.51</v>
      </c>
      <c r="E54" s="1107">
        <v>83.52</v>
      </c>
      <c r="F54" s="712">
        <f>ROUND(E54*1.4,2)</f>
        <v>116.93</v>
      </c>
    </row>
    <row r="55" spans="2:6" ht="40.5">
      <c r="B55" s="710">
        <v>51</v>
      </c>
      <c r="C55" s="1100">
        <v>135.88</v>
      </c>
      <c r="D55" s="773">
        <f t="shared" si="2"/>
        <v>190.23</v>
      </c>
      <c r="E55" s="1107">
        <v>85.18</v>
      </c>
      <c r="F55" s="712">
        <f t="shared" si="0"/>
        <v>119.25</v>
      </c>
    </row>
    <row r="56" spans="2:6" ht="40.5">
      <c r="B56" s="710">
        <v>52</v>
      </c>
      <c r="C56" s="1100">
        <v>138.5</v>
      </c>
      <c r="D56" s="773">
        <f t="shared" si="2"/>
        <v>193.9</v>
      </c>
      <c r="E56" s="1107">
        <v>86.83</v>
      </c>
      <c r="F56" s="712">
        <f>ROUND(E56*1.4,2)+0.01</f>
        <v>121.57000000000001</v>
      </c>
    </row>
    <row r="57" spans="2:6" ht="40.5">
      <c r="B57" s="710">
        <v>53</v>
      </c>
      <c r="C57" s="1100">
        <v>141.13999999999999</v>
      </c>
      <c r="D57" s="773">
        <f t="shared" si="2"/>
        <v>197.6</v>
      </c>
      <c r="E57" s="1107">
        <v>88.49</v>
      </c>
      <c r="F57" s="712">
        <f>ROUND(E57*1.4,2)+0.01</f>
        <v>123.9</v>
      </c>
    </row>
    <row r="58" spans="2:6" ht="40.5">
      <c r="B58" s="710">
        <v>54</v>
      </c>
      <c r="C58" s="1100">
        <v>143.80000000000001</v>
      </c>
      <c r="D58" s="773">
        <f t="shared" si="2"/>
        <v>201.32</v>
      </c>
      <c r="E58" s="1107">
        <v>90.15</v>
      </c>
      <c r="F58" s="712">
        <f t="shared" si="0"/>
        <v>126.21</v>
      </c>
    </row>
    <row r="59" spans="2:6" ht="40.5">
      <c r="B59" s="710">
        <v>55</v>
      </c>
      <c r="C59" s="1100">
        <v>146.41999999999999</v>
      </c>
      <c r="D59" s="773">
        <f t="shared" si="2"/>
        <v>204.99</v>
      </c>
      <c r="E59" s="1107">
        <v>91.81</v>
      </c>
      <c r="F59" s="712">
        <f>ROUND(E59*1.4,2)-0.01</f>
        <v>128.52000000000001</v>
      </c>
    </row>
    <row r="60" spans="2:6" ht="40.5">
      <c r="B60" s="710">
        <v>56</v>
      </c>
      <c r="C60" s="1100">
        <v>149.06</v>
      </c>
      <c r="D60" s="773">
        <f t="shared" si="2"/>
        <v>208.68</v>
      </c>
      <c r="E60" s="1107">
        <v>93.46</v>
      </c>
      <c r="F60" s="712">
        <f>ROUND(E60*1.4,2)+0.01</f>
        <v>130.85</v>
      </c>
    </row>
    <row r="61" spans="2:6" ht="40.5">
      <c r="B61" s="710">
        <v>57</v>
      </c>
      <c r="C61" s="1100">
        <v>151.71</v>
      </c>
      <c r="D61" s="773">
        <f t="shared" si="2"/>
        <v>212.39</v>
      </c>
      <c r="E61" s="1107">
        <v>95.12</v>
      </c>
      <c r="F61" s="712">
        <f t="shared" si="0"/>
        <v>133.16999999999999</v>
      </c>
    </row>
    <row r="62" spans="2:6" ht="40.5">
      <c r="B62" s="710">
        <v>58</v>
      </c>
      <c r="C62" s="1100">
        <v>154.37</v>
      </c>
      <c r="D62" s="773">
        <f t="shared" si="2"/>
        <v>216.12</v>
      </c>
      <c r="E62" s="1107">
        <v>96.78</v>
      </c>
      <c r="F62" s="712">
        <f t="shared" si="0"/>
        <v>135.49</v>
      </c>
    </row>
    <row r="63" spans="2:6" ht="40.5">
      <c r="B63" s="710">
        <v>59</v>
      </c>
      <c r="C63" s="1100">
        <v>157</v>
      </c>
      <c r="D63" s="773">
        <f t="shared" si="2"/>
        <v>219.8</v>
      </c>
      <c r="E63" s="1107">
        <v>98.44</v>
      </c>
      <c r="F63" s="712">
        <f t="shared" si="0"/>
        <v>137.82</v>
      </c>
    </row>
    <row r="64" spans="2:6" ht="40.5">
      <c r="B64" s="710">
        <v>60</v>
      </c>
      <c r="C64" s="1100">
        <v>159.63</v>
      </c>
      <c r="D64" s="773">
        <f t="shared" si="2"/>
        <v>223.48</v>
      </c>
      <c r="E64" s="1107">
        <v>100.11</v>
      </c>
      <c r="F64" s="712">
        <f t="shared" si="0"/>
        <v>140.15</v>
      </c>
    </row>
    <row r="65" spans="2:6" ht="40.5">
      <c r="B65" s="710">
        <v>61</v>
      </c>
      <c r="C65" s="1100">
        <v>162.28</v>
      </c>
      <c r="D65" s="773">
        <f t="shared" si="2"/>
        <v>227.19</v>
      </c>
      <c r="E65" s="1107">
        <v>101.76</v>
      </c>
      <c r="F65" s="712">
        <f t="shared" si="0"/>
        <v>142.46</v>
      </c>
    </row>
    <row r="66" spans="2:6" ht="40.5">
      <c r="B66" s="710">
        <v>62</v>
      </c>
      <c r="C66" s="1100">
        <v>164.95</v>
      </c>
      <c r="D66" s="773">
        <f t="shared" si="2"/>
        <v>230.93</v>
      </c>
      <c r="E66" s="1107">
        <v>103.42</v>
      </c>
      <c r="F66" s="712">
        <f t="shared" si="0"/>
        <v>144.79</v>
      </c>
    </row>
    <row r="67" spans="2:6" ht="40.5">
      <c r="B67" s="710">
        <v>63</v>
      </c>
      <c r="C67" s="1100">
        <v>167.56</v>
      </c>
      <c r="D67" s="773">
        <f t="shared" si="2"/>
        <v>234.58</v>
      </c>
      <c r="E67" s="1107">
        <v>105.08</v>
      </c>
      <c r="F67" s="712">
        <f t="shared" si="0"/>
        <v>147.11000000000001</v>
      </c>
    </row>
    <row r="68" spans="2:6" ht="40.5">
      <c r="B68" s="710">
        <v>64</v>
      </c>
      <c r="C68" s="1100">
        <v>170.18</v>
      </c>
      <c r="D68" s="773">
        <f t="shared" si="2"/>
        <v>238.25</v>
      </c>
      <c r="E68" s="1107">
        <v>106.74</v>
      </c>
      <c r="F68" s="712">
        <f t="shared" si="0"/>
        <v>149.44</v>
      </c>
    </row>
    <row r="69" spans="2:6" ht="40.5">
      <c r="B69" s="710">
        <v>65</v>
      </c>
      <c r="C69" s="1100">
        <v>172.81</v>
      </c>
      <c r="D69" s="773">
        <f t="shared" si="2"/>
        <v>241.93</v>
      </c>
      <c r="E69" s="1107">
        <v>108.38</v>
      </c>
      <c r="F69" s="712">
        <f t="shared" si="0"/>
        <v>151.72999999999999</v>
      </c>
    </row>
    <row r="70" spans="2:6" ht="40.5">
      <c r="B70" s="710">
        <v>66</v>
      </c>
      <c r="C70" s="1100">
        <v>175.46</v>
      </c>
      <c r="D70" s="773">
        <f t="shared" si="2"/>
        <v>245.64</v>
      </c>
      <c r="E70" s="1107">
        <v>110.05</v>
      </c>
      <c r="F70" s="712">
        <f t="shared" ref="F70:F133" si="5">ROUND(E70*1.4,2)</f>
        <v>154.07</v>
      </c>
    </row>
    <row r="71" spans="2:6" ht="40.5">
      <c r="B71" s="710">
        <v>67</v>
      </c>
      <c r="C71" s="1100">
        <v>178.12</v>
      </c>
      <c r="D71" s="773">
        <f t="shared" ref="D71:D134" si="6">ROUND(C71*1.4,2)</f>
        <v>249.37</v>
      </c>
      <c r="E71" s="1107">
        <v>111.7</v>
      </c>
      <c r="F71" s="712">
        <f t="shared" si="5"/>
        <v>156.38</v>
      </c>
    </row>
    <row r="72" spans="2:6" ht="40.5">
      <c r="B72" s="710">
        <v>68</v>
      </c>
      <c r="C72" s="1100">
        <v>180.72</v>
      </c>
      <c r="D72" s="773">
        <f t="shared" si="6"/>
        <v>253.01</v>
      </c>
      <c r="E72" s="1107">
        <v>113.36</v>
      </c>
      <c r="F72" s="712">
        <f t="shared" si="5"/>
        <v>158.69999999999999</v>
      </c>
    </row>
    <row r="73" spans="2:6" ht="40.5">
      <c r="B73" s="710">
        <v>69</v>
      </c>
      <c r="C73" s="1100">
        <v>183.41</v>
      </c>
      <c r="D73" s="773">
        <f t="shared" si="6"/>
        <v>256.77</v>
      </c>
      <c r="E73" s="1107">
        <v>115.02</v>
      </c>
      <c r="F73" s="712">
        <f t="shared" si="5"/>
        <v>161.03</v>
      </c>
    </row>
    <row r="74" spans="2:6" ht="40.5">
      <c r="B74" s="710">
        <v>70</v>
      </c>
      <c r="C74" s="1100">
        <v>186.03</v>
      </c>
      <c r="D74" s="773">
        <f t="shared" si="6"/>
        <v>260.44</v>
      </c>
      <c r="E74" s="1107">
        <v>116.68</v>
      </c>
      <c r="F74" s="712">
        <f t="shared" si="5"/>
        <v>163.35</v>
      </c>
    </row>
    <row r="75" spans="2:6" ht="40.5">
      <c r="B75" s="710">
        <v>71</v>
      </c>
      <c r="C75" s="1100">
        <v>188.66</v>
      </c>
      <c r="D75" s="773">
        <f t="shared" si="6"/>
        <v>264.12</v>
      </c>
      <c r="E75" s="1107">
        <v>118.34</v>
      </c>
      <c r="F75" s="712">
        <f t="shared" si="5"/>
        <v>165.68</v>
      </c>
    </row>
    <row r="76" spans="2:6" ht="40.5">
      <c r="B76" s="710">
        <v>72</v>
      </c>
      <c r="C76" s="1100">
        <v>191.3</v>
      </c>
      <c r="D76" s="773">
        <f t="shared" si="6"/>
        <v>267.82</v>
      </c>
      <c r="E76" s="1107">
        <v>120.01</v>
      </c>
      <c r="F76" s="712">
        <f t="shared" si="5"/>
        <v>168.01</v>
      </c>
    </row>
    <row r="77" spans="2:6" ht="40.5">
      <c r="B77" s="710">
        <v>73</v>
      </c>
      <c r="C77" s="1100">
        <v>193.96</v>
      </c>
      <c r="D77" s="773">
        <f t="shared" si="6"/>
        <v>271.54000000000002</v>
      </c>
      <c r="E77" s="1107">
        <v>121.65</v>
      </c>
      <c r="F77" s="712">
        <f t="shared" si="5"/>
        <v>170.31</v>
      </c>
    </row>
    <row r="78" spans="2:6" ht="40.5">
      <c r="B78" s="710">
        <v>74</v>
      </c>
      <c r="C78" s="1100">
        <v>196.62</v>
      </c>
      <c r="D78" s="773">
        <f t="shared" si="6"/>
        <v>275.27</v>
      </c>
      <c r="E78" s="1107">
        <v>123.33</v>
      </c>
      <c r="F78" s="712">
        <f t="shared" si="5"/>
        <v>172.66</v>
      </c>
    </row>
    <row r="79" spans="2:6" ht="40.5">
      <c r="B79" s="710">
        <v>75</v>
      </c>
      <c r="C79" s="1100">
        <v>199.21</v>
      </c>
      <c r="D79" s="773">
        <f t="shared" si="6"/>
        <v>278.89</v>
      </c>
      <c r="E79" s="1107">
        <v>124.98</v>
      </c>
      <c r="F79" s="712">
        <f t="shared" si="5"/>
        <v>174.97</v>
      </c>
    </row>
    <row r="80" spans="2:6" ht="40.5">
      <c r="B80" s="710">
        <v>76</v>
      </c>
      <c r="C80" s="1100">
        <v>201.9</v>
      </c>
      <c r="D80" s="773">
        <f t="shared" si="6"/>
        <v>282.66000000000003</v>
      </c>
      <c r="E80" s="1107">
        <v>126.63</v>
      </c>
      <c r="F80" s="712">
        <f t="shared" si="5"/>
        <v>177.28</v>
      </c>
    </row>
    <row r="81" spans="2:6" ht="40.5">
      <c r="B81" s="710">
        <v>77</v>
      </c>
      <c r="C81" s="1100">
        <v>204.5</v>
      </c>
      <c r="D81" s="773">
        <f t="shared" si="6"/>
        <v>286.3</v>
      </c>
      <c r="E81" s="1107">
        <v>128.29</v>
      </c>
      <c r="F81" s="712">
        <f t="shared" si="5"/>
        <v>179.61</v>
      </c>
    </row>
    <row r="82" spans="2:6" ht="40.5">
      <c r="B82" s="710">
        <v>78</v>
      </c>
      <c r="C82" s="1100">
        <v>207.11</v>
      </c>
      <c r="D82" s="773">
        <f t="shared" si="6"/>
        <v>289.95</v>
      </c>
      <c r="E82" s="1107">
        <v>129.94</v>
      </c>
      <c r="F82" s="712">
        <f t="shared" si="5"/>
        <v>181.92</v>
      </c>
    </row>
    <row r="83" spans="2:6" ht="40.5">
      <c r="B83" s="710">
        <v>79</v>
      </c>
      <c r="C83" s="1100">
        <v>209.84</v>
      </c>
      <c r="D83" s="773">
        <f t="shared" si="6"/>
        <v>293.77999999999997</v>
      </c>
      <c r="E83" s="1107">
        <v>131.61000000000001</v>
      </c>
      <c r="F83" s="712">
        <f t="shared" si="5"/>
        <v>184.25</v>
      </c>
    </row>
    <row r="84" spans="2:6" ht="40.5">
      <c r="B84" s="710">
        <v>80</v>
      </c>
      <c r="C84" s="1101">
        <v>212.48</v>
      </c>
      <c r="D84" s="773">
        <f t="shared" si="6"/>
        <v>297.47000000000003</v>
      </c>
      <c r="E84" s="1108">
        <v>133.27000000000001</v>
      </c>
      <c r="F84" s="712">
        <f t="shared" si="5"/>
        <v>186.58</v>
      </c>
    </row>
    <row r="85" spans="2:6" ht="40.5">
      <c r="B85" s="710">
        <v>81</v>
      </c>
      <c r="C85" s="1096">
        <v>215.13</v>
      </c>
      <c r="D85" s="773">
        <f t="shared" si="6"/>
        <v>301.18</v>
      </c>
      <c r="E85" s="1103">
        <v>134.94</v>
      </c>
      <c r="F85" s="712">
        <f t="shared" si="5"/>
        <v>188.92</v>
      </c>
    </row>
    <row r="86" spans="2:6" ht="40.5">
      <c r="B86" s="710">
        <v>82</v>
      </c>
      <c r="C86" s="1097">
        <v>217.67</v>
      </c>
      <c r="D86" s="773">
        <f t="shared" si="6"/>
        <v>304.74</v>
      </c>
      <c r="E86" s="1104">
        <v>136.57</v>
      </c>
      <c r="F86" s="712">
        <f t="shared" si="5"/>
        <v>191.2</v>
      </c>
    </row>
    <row r="87" spans="2:6" ht="40.5">
      <c r="B87" s="710">
        <v>83</v>
      </c>
      <c r="C87" s="1097">
        <v>220.33</v>
      </c>
      <c r="D87" s="773">
        <f t="shared" si="6"/>
        <v>308.45999999999998</v>
      </c>
      <c r="E87" s="1104">
        <v>138.25</v>
      </c>
      <c r="F87" s="712">
        <f t="shared" si="5"/>
        <v>193.55</v>
      </c>
    </row>
    <row r="88" spans="2:6" ht="40.5">
      <c r="B88" s="710">
        <v>84</v>
      </c>
      <c r="C88" s="1097">
        <v>223.01</v>
      </c>
      <c r="D88" s="773">
        <f t="shared" si="6"/>
        <v>312.20999999999998</v>
      </c>
      <c r="E88" s="1104">
        <v>139.88999999999999</v>
      </c>
      <c r="F88" s="712">
        <f t="shared" si="5"/>
        <v>195.85</v>
      </c>
    </row>
    <row r="89" spans="2:6" ht="40.5">
      <c r="B89" s="710">
        <v>85</v>
      </c>
      <c r="C89" s="1097">
        <v>225.7</v>
      </c>
      <c r="D89" s="773">
        <f t="shared" si="6"/>
        <v>315.98</v>
      </c>
      <c r="E89" s="1104">
        <v>141.57</v>
      </c>
      <c r="F89" s="712">
        <f t="shared" si="5"/>
        <v>198.2</v>
      </c>
    </row>
    <row r="90" spans="2:6" ht="40.5">
      <c r="B90" s="710">
        <v>86</v>
      </c>
      <c r="C90" s="1097">
        <v>228.28</v>
      </c>
      <c r="D90" s="773">
        <f t="shared" si="6"/>
        <v>319.58999999999997</v>
      </c>
      <c r="E90" s="1104">
        <v>143.22</v>
      </c>
      <c r="F90" s="712">
        <f t="shared" si="5"/>
        <v>200.51</v>
      </c>
    </row>
    <row r="91" spans="2:6" ht="40.5">
      <c r="B91" s="710">
        <v>87</v>
      </c>
      <c r="C91" s="1097">
        <v>230.86</v>
      </c>
      <c r="D91" s="773">
        <f t="shared" si="6"/>
        <v>323.2</v>
      </c>
      <c r="E91" s="1104">
        <v>144.87</v>
      </c>
      <c r="F91" s="712">
        <f t="shared" si="5"/>
        <v>202.82</v>
      </c>
    </row>
    <row r="92" spans="2:6" ht="40.5">
      <c r="B92" s="710">
        <v>88</v>
      </c>
      <c r="C92" s="1097">
        <v>233.58</v>
      </c>
      <c r="D92" s="773">
        <f t="shared" si="6"/>
        <v>327.01</v>
      </c>
      <c r="E92" s="1104">
        <v>146.52000000000001</v>
      </c>
      <c r="F92" s="712">
        <f t="shared" si="5"/>
        <v>205.13</v>
      </c>
    </row>
    <row r="93" spans="2:6" ht="40.5">
      <c r="B93" s="710">
        <v>89</v>
      </c>
      <c r="C93" s="1097">
        <v>236.18</v>
      </c>
      <c r="D93" s="773">
        <f t="shared" si="6"/>
        <v>330.65</v>
      </c>
      <c r="E93" s="1104">
        <v>148.16999999999999</v>
      </c>
      <c r="F93" s="712">
        <f t="shared" si="5"/>
        <v>207.44</v>
      </c>
    </row>
    <row r="94" spans="2:6" ht="40.5">
      <c r="B94" s="710">
        <v>90</v>
      </c>
      <c r="C94" s="1097">
        <v>238.79</v>
      </c>
      <c r="D94" s="773">
        <f t="shared" si="6"/>
        <v>334.31</v>
      </c>
      <c r="E94" s="1104">
        <v>149.86000000000001</v>
      </c>
      <c r="F94" s="712">
        <f t="shared" si="5"/>
        <v>209.8</v>
      </c>
    </row>
    <row r="95" spans="2:6" ht="40.5">
      <c r="B95" s="710">
        <v>91</v>
      </c>
      <c r="C95" s="1097">
        <v>241.55</v>
      </c>
      <c r="D95" s="773">
        <f t="shared" si="6"/>
        <v>338.17</v>
      </c>
      <c r="E95" s="1104">
        <v>151.52000000000001</v>
      </c>
      <c r="F95" s="712">
        <f t="shared" si="5"/>
        <v>212.13</v>
      </c>
    </row>
    <row r="96" spans="2:6" ht="40.5">
      <c r="B96" s="710">
        <v>92</v>
      </c>
      <c r="C96" s="1097">
        <v>244.18</v>
      </c>
      <c r="D96" s="773">
        <f t="shared" si="6"/>
        <v>341.85</v>
      </c>
      <c r="E96" s="1104">
        <v>153.15</v>
      </c>
      <c r="F96" s="712">
        <f t="shared" si="5"/>
        <v>214.41</v>
      </c>
    </row>
    <row r="97" spans="2:6" ht="40.5">
      <c r="B97" s="710">
        <v>93</v>
      </c>
      <c r="C97" s="1097">
        <v>246.82</v>
      </c>
      <c r="D97" s="773">
        <f t="shared" si="6"/>
        <v>345.55</v>
      </c>
      <c r="E97" s="1104">
        <v>154.81</v>
      </c>
      <c r="F97" s="712">
        <f t="shared" si="5"/>
        <v>216.73</v>
      </c>
    </row>
    <row r="98" spans="2:6" ht="40.5">
      <c r="B98" s="710">
        <v>94</v>
      </c>
      <c r="C98" s="1097">
        <v>249.47</v>
      </c>
      <c r="D98" s="773">
        <f t="shared" si="6"/>
        <v>349.26</v>
      </c>
      <c r="E98" s="1104">
        <v>156.47999999999999</v>
      </c>
      <c r="F98" s="712">
        <f t="shared" si="5"/>
        <v>219.07</v>
      </c>
    </row>
    <row r="99" spans="2:6" ht="40.5">
      <c r="B99" s="710">
        <v>95</v>
      </c>
      <c r="C99" s="1097">
        <v>251.97</v>
      </c>
      <c r="D99" s="773">
        <f t="shared" si="6"/>
        <v>352.76</v>
      </c>
      <c r="E99" s="1104">
        <v>158.13999999999999</v>
      </c>
      <c r="F99" s="712">
        <f t="shared" si="5"/>
        <v>221.4</v>
      </c>
    </row>
    <row r="100" spans="2:6" ht="40.5">
      <c r="B100" s="710">
        <v>96</v>
      </c>
      <c r="C100" s="1097">
        <v>254.63</v>
      </c>
      <c r="D100" s="773">
        <f t="shared" si="6"/>
        <v>356.48</v>
      </c>
      <c r="E100" s="1104">
        <v>159.82</v>
      </c>
      <c r="F100" s="712">
        <f t="shared" si="5"/>
        <v>223.75</v>
      </c>
    </row>
    <row r="101" spans="2:6" ht="40.5">
      <c r="B101" s="710">
        <v>97</v>
      </c>
      <c r="C101" s="1097">
        <v>257.31</v>
      </c>
      <c r="D101" s="773">
        <f t="shared" si="6"/>
        <v>360.23</v>
      </c>
      <c r="E101" s="1104">
        <v>161.44999999999999</v>
      </c>
      <c r="F101" s="712">
        <f t="shared" si="5"/>
        <v>226.03</v>
      </c>
    </row>
    <row r="102" spans="2:6" ht="40.5">
      <c r="B102" s="710">
        <v>98</v>
      </c>
      <c r="C102" s="1097">
        <v>259.99</v>
      </c>
      <c r="D102" s="773">
        <f t="shared" si="6"/>
        <v>363.99</v>
      </c>
      <c r="E102" s="1104">
        <v>163.12</v>
      </c>
      <c r="F102" s="712">
        <f t="shared" si="5"/>
        <v>228.37</v>
      </c>
    </row>
    <row r="103" spans="2:6" ht="40.5">
      <c r="B103" s="710">
        <v>99</v>
      </c>
      <c r="C103" s="1097">
        <v>262.69</v>
      </c>
      <c r="D103" s="773">
        <f t="shared" si="6"/>
        <v>367.77</v>
      </c>
      <c r="E103" s="1104">
        <v>164.76</v>
      </c>
      <c r="F103" s="712">
        <f t="shared" si="5"/>
        <v>230.66</v>
      </c>
    </row>
    <row r="104" spans="2:6" ht="40.5">
      <c r="B104" s="710">
        <v>100</v>
      </c>
      <c r="C104" s="1097">
        <v>265.22000000000003</v>
      </c>
      <c r="D104" s="773">
        <f t="shared" si="6"/>
        <v>371.31</v>
      </c>
      <c r="E104" s="1104">
        <v>166.44</v>
      </c>
      <c r="F104" s="712">
        <f t="shared" si="5"/>
        <v>233.02</v>
      </c>
    </row>
    <row r="105" spans="2:6" ht="40.5">
      <c r="B105" s="710">
        <v>101</v>
      </c>
      <c r="C105" s="1097">
        <v>267.94</v>
      </c>
      <c r="D105" s="773">
        <f t="shared" si="6"/>
        <v>375.12</v>
      </c>
      <c r="E105" s="1104">
        <v>168.07</v>
      </c>
      <c r="F105" s="712">
        <f t="shared" si="5"/>
        <v>235.3</v>
      </c>
    </row>
    <row r="106" spans="2:6" ht="40.5">
      <c r="B106" s="710">
        <v>102</v>
      </c>
      <c r="C106" s="1097">
        <v>270.49</v>
      </c>
      <c r="D106" s="773">
        <f t="shared" si="6"/>
        <v>378.69</v>
      </c>
      <c r="E106" s="1104">
        <v>169.76</v>
      </c>
      <c r="F106" s="712">
        <f t="shared" si="5"/>
        <v>237.66</v>
      </c>
    </row>
    <row r="107" spans="2:6" ht="40.5">
      <c r="B107" s="710">
        <v>103</v>
      </c>
      <c r="C107" s="1097">
        <v>273.22000000000003</v>
      </c>
      <c r="D107" s="773">
        <f t="shared" si="6"/>
        <v>382.51</v>
      </c>
      <c r="E107" s="1104">
        <v>171.4</v>
      </c>
      <c r="F107" s="712">
        <f t="shared" si="5"/>
        <v>239.96</v>
      </c>
    </row>
    <row r="108" spans="2:6" ht="40.5">
      <c r="B108" s="710">
        <v>104</v>
      </c>
      <c r="C108" s="1097">
        <v>275.77999999999997</v>
      </c>
      <c r="D108" s="773">
        <f t="shared" si="6"/>
        <v>386.09</v>
      </c>
      <c r="E108" s="1104">
        <v>173.05</v>
      </c>
      <c r="F108" s="712">
        <f t="shared" si="5"/>
        <v>242.27</v>
      </c>
    </row>
    <row r="109" spans="2:6" ht="40.5">
      <c r="B109" s="710">
        <v>105</v>
      </c>
      <c r="C109" s="1097">
        <v>278.54000000000002</v>
      </c>
      <c r="D109" s="773">
        <f t="shared" si="6"/>
        <v>389.96</v>
      </c>
      <c r="E109" s="1104">
        <v>174.74</v>
      </c>
      <c r="F109" s="712">
        <f t="shared" si="5"/>
        <v>244.64</v>
      </c>
    </row>
    <row r="110" spans="2:6" ht="40.5">
      <c r="B110" s="710">
        <v>106</v>
      </c>
      <c r="C110" s="1097">
        <v>281.11</v>
      </c>
      <c r="D110" s="773">
        <f t="shared" si="6"/>
        <v>393.55</v>
      </c>
      <c r="E110" s="1104">
        <v>176.39</v>
      </c>
      <c r="F110" s="712">
        <f t="shared" si="5"/>
        <v>246.95</v>
      </c>
    </row>
    <row r="111" spans="2:6" ht="40.5">
      <c r="B111" s="710">
        <v>107</v>
      </c>
      <c r="C111" s="1097">
        <v>283.7</v>
      </c>
      <c r="D111" s="773">
        <f t="shared" si="6"/>
        <v>397.18</v>
      </c>
      <c r="E111" s="1104">
        <v>178.04</v>
      </c>
      <c r="F111" s="712">
        <f t="shared" si="5"/>
        <v>249.26</v>
      </c>
    </row>
    <row r="112" spans="2:6" ht="40.5">
      <c r="B112" s="710">
        <v>108</v>
      </c>
      <c r="C112" s="1097">
        <v>286.29000000000002</v>
      </c>
      <c r="D112" s="773">
        <f t="shared" si="6"/>
        <v>400.81</v>
      </c>
      <c r="E112" s="1104">
        <v>179.69</v>
      </c>
      <c r="F112" s="712">
        <f t="shared" si="5"/>
        <v>251.57</v>
      </c>
    </row>
    <row r="113" spans="2:6" ht="40.5">
      <c r="B113" s="710">
        <v>109</v>
      </c>
      <c r="C113" s="1097">
        <v>289.08</v>
      </c>
      <c r="D113" s="773">
        <f t="shared" si="6"/>
        <v>404.71</v>
      </c>
      <c r="E113" s="1104">
        <v>181.34</v>
      </c>
      <c r="F113" s="712">
        <f t="shared" si="5"/>
        <v>253.88</v>
      </c>
    </row>
    <row r="114" spans="2:6" ht="40.5">
      <c r="B114" s="710">
        <v>110</v>
      </c>
      <c r="C114" s="1097">
        <v>291.69</v>
      </c>
      <c r="D114" s="773">
        <f t="shared" si="6"/>
        <v>408.37</v>
      </c>
      <c r="E114" s="1104">
        <v>182.99</v>
      </c>
      <c r="F114" s="712">
        <f t="shared" si="5"/>
        <v>256.19</v>
      </c>
    </row>
    <row r="115" spans="2:6" ht="40.5">
      <c r="B115" s="710">
        <v>111</v>
      </c>
      <c r="C115" s="1097">
        <v>294.3</v>
      </c>
      <c r="D115" s="773">
        <f t="shared" si="6"/>
        <v>412.02</v>
      </c>
      <c r="E115" s="1104">
        <v>184.65</v>
      </c>
      <c r="F115" s="712">
        <f t="shared" si="5"/>
        <v>258.51</v>
      </c>
    </row>
    <row r="116" spans="2:6" ht="40.5">
      <c r="B116" s="710">
        <v>112</v>
      </c>
      <c r="C116" s="1097">
        <v>296.92</v>
      </c>
      <c r="D116" s="773">
        <f t="shared" si="6"/>
        <v>415.69</v>
      </c>
      <c r="E116" s="1104">
        <v>186.3</v>
      </c>
      <c r="F116" s="712">
        <f t="shared" si="5"/>
        <v>260.82</v>
      </c>
    </row>
    <row r="117" spans="2:6" ht="40.5">
      <c r="B117" s="710">
        <v>113</v>
      </c>
      <c r="C117" s="1097">
        <v>299.55</v>
      </c>
      <c r="D117" s="773">
        <f t="shared" si="6"/>
        <v>419.37</v>
      </c>
      <c r="E117" s="1104">
        <v>187.96</v>
      </c>
      <c r="F117" s="712">
        <f t="shared" si="5"/>
        <v>263.14</v>
      </c>
    </row>
    <row r="118" spans="2:6" ht="40.5">
      <c r="B118" s="710">
        <v>114</v>
      </c>
      <c r="C118" s="1097">
        <v>302.18</v>
      </c>
      <c r="D118" s="773">
        <f t="shared" si="6"/>
        <v>423.05</v>
      </c>
      <c r="E118" s="1104">
        <v>189.62</v>
      </c>
      <c r="F118" s="712">
        <f t="shared" si="5"/>
        <v>265.47000000000003</v>
      </c>
    </row>
    <row r="119" spans="2:6" ht="40.5">
      <c r="B119" s="710">
        <v>115</v>
      </c>
      <c r="C119" s="1097">
        <v>304.82</v>
      </c>
      <c r="D119" s="773">
        <f t="shared" si="6"/>
        <v>426.75</v>
      </c>
      <c r="E119" s="1104">
        <v>191.29</v>
      </c>
      <c r="F119" s="712">
        <f t="shared" si="5"/>
        <v>267.81</v>
      </c>
    </row>
    <row r="120" spans="2:6" ht="40.5">
      <c r="B120" s="710">
        <v>116</v>
      </c>
      <c r="C120" s="1097">
        <v>307.47000000000003</v>
      </c>
      <c r="D120" s="773">
        <f t="shared" si="6"/>
        <v>430.46</v>
      </c>
      <c r="E120" s="1104">
        <v>192.95</v>
      </c>
      <c r="F120" s="712">
        <f t="shared" si="5"/>
        <v>270.13</v>
      </c>
    </row>
    <row r="121" spans="2:6" ht="40.5">
      <c r="B121" s="710">
        <v>117</v>
      </c>
      <c r="C121" s="1097">
        <v>310.13</v>
      </c>
      <c r="D121" s="773">
        <f t="shared" si="6"/>
        <v>434.18</v>
      </c>
      <c r="E121" s="1104">
        <v>194.62</v>
      </c>
      <c r="F121" s="712">
        <f t="shared" si="5"/>
        <v>272.47000000000003</v>
      </c>
    </row>
    <row r="122" spans="2:6" ht="40.5">
      <c r="B122" s="710">
        <v>118</v>
      </c>
      <c r="C122" s="1097">
        <v>312.79000000000002</v>
      </c>
      <c r="D122" s="773">
        <f t="shared" si="6"/>
        <v>437.91</v>
      </c>
      <c r="E122" s="1104">
        <v>196.29</v>
      </c>
      <c r="F122" s="712">
        <f t="shared" si="5"/>
        <v>274.81</v>
      </c>
    </row>
    <row r="123" spans="2:6" ht="40.5">
      <c r="B123" s="710">
        <v>119</v>
      </c>
      <c r="C123" s="1097">
        <v>315.45999999999998</v>
      </c>
      <c r="D123" s="773">
        <f t="shared" si="6"/>
        <v>441.64</v>
      </c>
      <c r="E123" s="1104">
        <v>197.96</v>
      </c>
      <c r="F123" s="712">
        <f t="shared" si="5"/>
        <v>277.14</v>
      </c>
    </row>
    <row r="124" spans="2:6" ht="40.5">
      <c r="B124" s="710">
        <v>120</v>
      </c>
      <c r="C124" s="1098">
        <v>318.14</v>
      </c>
      <c r="D124" s="773">
        <f t="shared" si="6"/>
        <v>445.4</v>
      </c>
      <c r="E124" s="1105">
        <v>199.57</v>
      </c>
      <c r="F124" s="712">
        <f t="shared" si="5"/>
        <v>279.39999999999998</v>
      </c>
    </row>
    <row r="125" spans="2:6" ht="40.5">
      <c r="B125" s="710">
        <v>121</v>
      </c>
      <c r="C125" s="1096">
        <v>320.58999999999997</v>
      </c>
      <c r="D125" s="773">
        <f t="shared" si="6"/>
        <v>448.83</v>
      </c>
      <c r="E125" s="1096">
        <v>201.25</v>
      </c>
      <c r="F125" s="712">
        <f t="shared" si="5"/>
        <v>281.75</v>
      </c>
    </row>
    <row r="126" spans="2:6" ht="40.5">
      <c r="B126" s="710">
        <v>122</v>
      </c>
      <c r="C126" s="1097">
        <v>323.27999999999997</v>
      </c>
      <c r="D126" s="773">
        <f t="shared" si="6"/>
        <v>452.59</v>
      </c>
      <c r="E126" s="1097">
        <v>202.93</v>
      </c>
      <c r="F126" s="712">
        <f t="shared" si="5"/>
        <v>284.10000000000002</v>
      </c>
    </row>
    <row r="127" spans="2:6" ht="40.5">
      <c r="B127" s="710">
        <v>123</v>
      </c>
      <c r="C127" s="1097">
        <v>325.99</v>
      </c>
      <c r="D127" s="773">
        <f t="shared" si="6"/>
        <v>456.39</v>
      </c>
      <c r="E127" s="1097">
        <v>204.54</v>
      </c>
      <c r="F127" s="712">
        <f t="shared" si="5"/>
        <v>286.36</v>
      </c>
    </row>
    <row r="128" spans="2:6" ht="40.5">
      <c r="B128" s="710">
        <v>124</v>
      </c>
      <c r="C128" s="1097">
        <v>328.7</v>
      </c>
      <c r="D128" s="773">
        <f t="shared" si="6"/>
        <v>460.18</v>
      </c>
      <c r="E128" s="1097">
        <v>206.22</v>
      </c>
      <c r="F128" s="712">
        <f t="shared" si="5"/>
        <v>288.70999999999998</v>
      </c>
    </row>
    <row r="129" spans="2:6" ht="40.5">
      <c r="B129" s="710">
        <v>125</v>
      </c>
      <c r="C129" s="1097">
        <v>331.16</v>
      </c>
      <c r="D129" s="773">
        <f t="shared" si="6"/>
        <v>463.62</v>
      </c>
      <c r="E129" s="1097">
        <v>207.9</v>
      </c>
      <c r="F129" s="712">
        <f t="shared" si="5"/>
        <v>291.06</v>
      </c>
    </row>
    <row r="130" spans="2:6" ht="40.5">
      <c r="B130" s="710">
        <v>126</v>
      </c>
      <c r="C130" s="1097">
        <v>333.89</v>
      </c>
      <c r="D130" s="773">
        <f t="shared" si="6"/>
        <v>467.45</v>
      </c>
      <c r="E130" s="1097">
        <v>209.52</v>
      </c>
      <c r="F130" s="712">
        <f t="shared" si="5"/>
        <v>293.33</v>
      </c>
    </row>
    <row r="131" spans="2:6" ht="40.5">
      <c r="B131" s="710">
        <v>127</v>
      </c>
      <c r="C131" s="1097">
        <v>336.62</v>
      </c>
      <c r="D131" s="773">
        <f t="shared" si="6"/>
        <v>471.27</v>
      </c>
      <c r="E131" s="1097">
        <v>211.21</v>
      </c>
      <c r="F131" s="712">
        <f t="shared" si="5"/>
        <v>295.69</v>
      </c>
    </row>
    <row r="132" spans="2:6" ht="40.5">
      <c r="B132" s="710">
        <v>128</v>
      </c>
      <c r="C132" s="1097">
        <v>339.1</v>
      </c>
      <c r="D132" s="773">
        <f t="shared" si="6"/>
        <v>474.74</v>
      </c>
      <c r="E132" s="1097">
        <v>212.9</v>
      </c>
      <c r="F132" s="712">
        <f t="shared" si="5"/>
        <v>298.06</v>
      </c>
    </row>
    <row r="133" spans="2:6" ht="40.5">
      <c r="B133" s="710">
        <v>129</v>
      </c>
      <c r="C133" s="1097">
        <v>341.85</v>
      </c>
      <c r="D133" s="773">
        <f t="shared" si="6"/>
        <v>478.59</v>
      </c>
      <c r="E133" s="1097">
        <v>214.52</v>
      </c>
      <c r="F133" s="712">
        <f t="shared" si="5"/>
        <v>300.33</v>
      </c>
    </row>
    <row r="134" spans="2:6" ht="40.5">
      <c r="B134" s="710">
        <v>130</v>
      </c>
      <c r="C134" s="1097">
        <v>344.61</v>
      </c>
      <c r="D134" s="773">
        <f t="shared" si="6"/>
        <v>482.45</v>
      </c>
      <c r="E134" s="1097">
        <v>216.21</v>
      </c>
      <c r="F134" s="712">
        <f t="shared" ref="F134:F197" si="7">ROUND(E134*1.4,2)</f>
        <v>302.69</v>
      </c>
    </row>
    <row r="135" spans="2:6" ht="40.5">
      <c r="B135" s="710">
        <v>131</v>
      </c>
      <c r="C135" s="1097">
        <v>347.1</v>
      </c>
      <c r="D135" s="773">
        <f t="shared" ref="D135:D198" si="8">ROUND(C135*1.4,2)</f>
        <v>485.94</v>
      </c>
      <c r="E135" s="1097">
        <v>217.84</v>
      </c>
      <c r="F135" s="712">
        <f t="shared" si="7"/>
        <v>304.98</v>
      </c>
    </row>
    <row r="136" spans="2:6" ht="40.5">
      <c r="B136" s="710">
        <v>132</v>
      </c>
      <c r="C136" s="1097">
        <v>349.88</v>
      </c>
      <c r="D136" s="773">
        <f t="shared" si="8"/>
        <v>489.83</v>
      </c>
      <c r="E136" s="1097">
        <v>219.46</v>
      </c>
      <c r="F136" s="712">
        <f t="shared" si="7"/>
        <v>307.24</v>
      </c>
    </row>
    <row r="137" spans="2:6" ht="40.5">
      <c r="B137" s="710">
        <v>133</v>
      </c>
      <c r="C137" s="1097">
        <v>352.37</v>
      </c>
      <c r="D137" s="773">
        <f t="shared" si="8"/>
        <v>493.32</v>
      </c>
      <c r="E137" s="1097">
        <v>221.16</v>
      </c>
      <c r="F137" s="712">
        <f t="shared" si="7"/>
        <v>309.62</v>
      </c>
    </row>
    <row r="138" spans="2:6" ht="40.5">
      <c r="B138" s="710">
        <v>134</v>
      </c>
      <c r="C138" s="1097">
        <v>355.17</v>
      </c>
      <c r="D138" s="773">
        <f t="shared" si="8"/>
        <v>497.24</v>
      </c>
      <c r="E138" s="1097">
        <v>222.78</v>
      </c>
      <c r="F138" s="712">
        <f t="shared" si="7"/>
        <v>311.89</v>
      </c>
    </row>
    <row r="139" spans="2:6" ht="40.5">
      <c r="B139" s="710">
        <v>135</v>
      </c>
      <c r="C139" s="1097">
        <v>357.67</v>
      </c>
      <c r="D139" s="773">
        <f t="shared" si="8"/>
        <v>500.74</v>
      </c>
      <c r="E139" s="1097">
        <v>224.49</v>
      </c>
      <c r="F139" s="712">
        <f t="shared" si="7"/>
        <v>314.29000000000002</v>
      </c>
    </row>
    <row r="140" spans="2:6" ht="40.5">
      <c r="B140" s="710">
        <v>136</v>
      </c>
      <c r="C140" s="1097">
        <v>360.18</v>
      </c>
      <c r="D140" s="773">
        <f t="shared" si="8"/>
        <v>504.25</v>
      </c>
      <c r="E140" s="1097">
        <v>226.12</v>
      </c>
      <c r="F140" s="712">
        <f t="shared" si="7"/>
        <v>316.57</v>
      </c>
    </row>
    <row r="141" spans="2:6" ht="40.5">
      <c r="B141" s="710">
        <v>137</v>
      </c>
      <c r="C141" s="1097">
        <v>363</v>
      </c>
      <c r="D141" s="773">
        <f t="shared" si="8"/>
        <v>508.2</v>
      </c>
      <c r="E141" s="1097">
        <v>227.83</v>
      </c>
      <c r="F141" s="712">
        <f t="shared" si="7"/>
        <v>318.95999999999998</v>
      </c>
    </row>
    <row r="142" spans="2:6" ht="40.5">
      <c r="B142" s="710">
        <v>138</v>
      </c>
      <c r="C142" s="1097">
        <v>365.52</v>
      </c>
      <c r="D142" s="773">
        <f t="shared" si="8"/>
        <v>511.73</v>
      </c>
      <c r="E142" s="1097">
        <v>229.46</v>
      </c>
      <c r="F142" s="712">
        <f t="shared" si="7"/>
        <v>321.24</v>
      </c>
    </row>
    <row r="143" spans="2:6" ht="40.5">
      <c r="B143" s="710">
        <v>139</v>
      </c>
      <c r="C143" s="1097">
        <v>368.36</v>
      </c>
      <c r="D143" s="773">
        <f t="shared" si="8"/>
        <v>515.70000000000005</v>
      </c>
      <c r="E143" s="1097">
        <v>231.09</v>
      </c>
      <c r="F143" s="712">
        <f t="shared" si="7"/>
        <v>323.52999999999997</v>
      </c>
    </row>
    <row r="144" spans="2:6" ht="40.5">
      <c r="B144" s="710">
        <v>140</v>
      </c>
      <c r="C144" s="1097">
        <v>370.89</v>
      </c>
      <c r="D144" s="773">
        <f t="shared" si="8"/>
        <v>519.25</v>
      </c>
      <c r="E144" s="1097">
        <v>232.72</v>
      </c>
      <c r="F144" s="712">
        <f t="shared" si="7"/>
        <v>325.81</v>
      </c>
    </row>
    <row r="145" spans="2:6" ht="40.5">
      <c r="B145" s="710">
        <v>141</v>
      </c>
      <c r="C145" s="1097">
        <v>373.42</v>
      </c>
      <c r="D145" s="773">
        <f t="shared" si="8"/>
        <v>522.79</v>
      </c>
      <c r="E145" s="1097">
        <v>234.44</v>
      </c>
      <c r="F145" s="712">
        <f t="shared" si="7"/>
        <v>328.22</v>
      </c>
    </row>
    <row r="146" spans="2:6" ht="40.5">
      <c r="B146" s="710">
        <v>142</v>
      </c>
      <c r="C146" s="1097">
        <v>376.28</v>
      </c>
      <c r="D146" s="773">
        <f t="shared" si="8"/>
        <v>526.79</v>
      </c>
      <c r="E146" s="1097">
        <v>236.08</v>
      </c>
      <c r="F146" s="712">
        <f t="shared" si="7"/>
        <v>330.51</v>
      </c>
    </row>
    <row r="147" spans="2:6" ht="40.5">
      <c r="B147" s="710">
        <v>143</v>
      </c>
      <c r="C147" s="1097">
        <v>378.82</v>
      </c>
      <c r="D147" s="773">
        <f t="shared" si="8"/>
        <v>530.35</v>
      </c>
      <c r="E147" s="1097">
        <v>237.71</v>
      </c>
      <c r="F147" s="712">
        <f t="shared" si="7"/>
        <v>332.79</v>
      </c>
    </row>
    <row r="148" spans="2:6" ht="40.5">
      <c r="B148" s="710">
        <v>144</v>
      </c>
      <c r="C148" s="1097">
        <v>381.37</v>
      </c>
      <c r="D148" s="773">
        <f t="shared" si="8"/>
        <v>533.91999999999996</v>
      </c>
      <c r="E148" s="1097">
        <v>239.44</v>
      </c>
      <c r="F148" s="712">
        <f t="shared" si="7"/>
        <v>335.22</v>
      </c>
    </row>
    <row r="149" spans="2:6" ht="40.5">
      <c r="B149" s="710">
        <v>145</v>
      </c>
      <c r="C149" s="1097">
        <v>384.27</v>
      </c>
      <c r="D149" s="773">
        <f t="shared" si="8"/>
        <v>537.98</v>
      </c>
      <c r="E149" s="1097">
        <v>241.08</v>
      </c>
      <c r="F149" s="712">
        <f t="shared" si="7"/>
        <v>337.51</v>
      </c>
    </row>
    <row r="150" spans="2:6" ht="40.5">
      <c r="B150" s="710">
        <v>146</v>
      </c>
      <c r="C150" s="1097">
        <v>386.82</v>
      </c>
      <c r="D150" s="773">
        <f t="shared" si="8"/>
        <v>541.54999999999995</v>
      </c>
      <c r="E150" s="1097">
        <v>242.72</v>
      </c>
      <c r="F150" s="712">
        <f t="shared" si="7"/>
        <v>339.81</v>
      </c>
    </row>
    <row r="151" spans="2:6" ht="40.5">
      <c r="B151" s="710">
        <v>147</v>
      </c>
      <c r="C151" s="1098">
        <v>389.38</v>
      </c>
      <c r="D151" s="773">
        <f t="shared" si="8"/>
        <v>545.13</v>
      </c>
      <c r="E151" s="1098">
        <v>244.36</v>
      </c>
      <c r="F151" s="712">
        <f t="shared" si="7"/>
        <v>342.1</v>
      </c>
    </row>
    <row r="152" spans="2:6" ht="40.5">
      <c r="B152" s="710">
        <v>148</v>
      </c>
      <c r="C152" s="1099">
        <v>391.94</v>
      </c>
      <c r="D152" s="773">
        <f t="shared" si="8"/>
        <v>548.72</v>
      </c>
      <c r="E152" s="1099">
        <v>246</v>
      </c>
      <c r="F152" s="712">
        <f t="shared" si="7"/>
        <v>344.4</v>
      </c>
    </row>
    <row r="153" spans="2:6" ht="40.5">
      <c r="B153" s="710">
        <v>149</v>
      </c>
      <c r="C153" s="1100">
        <v>394.51</v>
      </c>
      <c r="D153" s="773">
        <f t="shared" si="8"/>
        <v>552.30999999999995</v>
      </c>
      <c r="E153" s="1100">
        <v>247.74</v>
      </c>
      <c r="F153" s="712">
        <f t="shared" si="7"/>
        <v>346.84</v>
      </c>
    </row>
    <row r="154" spans="2:6" ht="40.5">
      <c r="B154" s="710">
        <v>150</v>
      </c>
      <c r="C154" s="1100">
        <v>397.45</v>
      </c>
      <c r="D154" s="773">
        <f t="shared" si="8"/>
        <v>556.42999999999995</v>
      </c>
      <c r="E154" s="1100">
        <v>249.38</v>
      </c>
      <c r="F154" s="712">
        <f t="shared" si="7"/>
        <v>349.13</v>
      </c>
    </row>
    <row r="155" spans="2:6" ht="40.5">
      <c r="B155" s="710">
        <v>151</v>
      </c>
      <c r="C155" s="1100">
        <v>400.03</v>
      </c>
      <c r="D155" s="773">
        <f t="shared" si="8"/>
        <v>560.04</v>
      </c>
      <c r="E155" s="1100">
        <v>251.03</v>
      </c>
      <c r="F155" s="712">
        <f t="shared" si="7"/>
        <v>351.44</v>
      </c>
    </row>
    <row r="156" spans="2:6" ht="40.5">
      <c r="B156" s="710">
        <v>152</v>
      </c>
      <c r="C156" s="1100">
        <v>402.62</v>
      </c>
      <c r="D156" s="773">
        <f t="shared" si="8"/>
        <v>563.66999999999996</v>
      </c>
      <c r="E156" s="1100">
        <v>252.68</v>
      </c>
      <c r="F156" s="712">
        <f t="shared" si="7"/>
        <v>353.75</v>
      </c>
    </row>
    <row r="157" spans="2:6" ht="40.5">
      <c r="B157" s="710">
        <v>153</v>
      </c>
      <c r="C157" s="1100">
        <v>405.2</v>
      </c>
      <c r="D157" s="773">
        <f t="shared" si="8"/>
        <v>567.28</v>
      </c>
      <c r="E157" s="1100">
        <v>254.32</v>
      </c>
      <c r="F157" s="712">
        <f t="shared" si="7"/>
        <v>356.05</v>
      </c>
    </row>
    <row r="158" spans="2:6" ht="40.5">
      <c r="B158" s="710">
        <v>154</v>
      </c>
      <c r="C158" s="1100">
        <v>407.79</v>
      </c>
      <c r="D158" s="773">
        <f t="shared" si="8"/>
        <v>570.91</v>
      </c>
      <c r="E158" s="1100">
        <v>255.97</v>
      </c>
      <c r="F158" s="712">
        <f t="shared" si="7"/>
        <v>358.36</v>
      </c>
    </row>
    <row r="159" spans="2:6" ht="40.5">
      <c r="B159" s="710">
        <v>155</v>
      </c>
      <c r="C159" s="1100">
        <v>410.39</v>
      </c>
      <c r="D159" s="773">
        <f t="shared" si="8"/>
        <v>574.54999999999995</v>
      </c>
      <c r="E159" s="1100">
        <v>257.62</v>
      </c>
      <c r="F159" s="712">
        <f t="shared" si="7"/>
        <v>360.67</v>
      </c>
    </row>
    <row r="160" spans="2:6" ht="40.5">
      <c r="B160" s="710">
        <v>156</v>
      </c>
      <c r="C160" s="1100">
        <v>412.99</v>
      </c>
      <c r="D160" s="773">
        <f t="shared" si="8"/>
        <v>578.19000000000005</v>
      </c>
      <c r="E160" s="1100">
        <v>259.27999999999997</v>
      </c>
      <c r="F160" s="712">
        <f t="shared" si="7"/>
        <v>362.99</v>
      </c>
    </row>
    <row r="161" spans="2:6" ht="40.5">
      <c r="B161" s="710">
        <v>157</v>
      </c>
      <c r="C161" s="1100">
        <v>415.6</v>
      </c>
      <c r="D161" s="773">
        <f t="shared" si="8"/>
        <v>581.84</v>
      </c>
      <c r="E161" s="1100">
        <v>260.93</v>
      </c>
      <c r="F161" s="712">
        <f t="shared" si="7"/>
        <v>365.3</v>
      </c>
    </row>
    <row r="162" spans="2:6" ht="40.5">
      <c r="B162" s="710">
        <v>158</v>
      </c>
      <c r="C162" s="1100">
        <v>418.62</v>
      </c>
      <c r="D162" s="773">
        <f t="shared" si="8"/>
        <v>586.07000000000005</v>
      </c>
      <c r="E162" s="1100">
        <v>262.58</v>
      </c>
      <c r="F162" s="712">
        <f t="shared" si="7"/>
        <v>367.61</v>
      </c>
    </row>
    <row r="163" spans="2:6" ht="40.5">
      <c r="B163" s="710">
        <v>159</v>
      </c>
      <c r="C163" s="1100">
        <v>421.24</v>
      </c>
      <c r="D163" s="773">
        <f t="shared" si="8"/>
        <v>589.74</v>
      </c>
      <c r="E163" s="1100">
        <v>264.24</v>
      </c>
      <c r="F163" s="712">
        <f t="shared" si="7"/>
        <v>369.94</v>
      </c>
    </row>
    <row r="164" spans="2:6" ht="40.5">
      <c r="B164" s="710">
        <v>160</v>
      </c>
      <c r="C164" s="1100">
        <v>423.87</v>
      </c>
      <c r="D164" s="773">
        <f t="shared" si="8"/>
        <v>593.41999999999996</v>
      </c>
      <c r="E164" s="1100">
        <v>265.89999999999998</v>
      </c>
      <c r="F164" s="712">
        <f t="shared" si="7"/>
        <v>372.26</v>
      </c>
    </row>
    <row r="165" spans="2:6" ht="40.5">
      <c r="B165" s="710">
        <v>161</v>
      </c>
      <c r="C165" s="1100">
        <v>426.5</v>
      </c>
      <c r="D165" s="773">
        <f t="shared" si="8"/>
        <v>597.1</v>
      </c>
      <c r="E165" s="1100">
        <v>267.55</v>
      </c>
      <c r="F165" s="712">
        <f t="shared" si="7"/>
        <v>374.57</v>
      </c>
    </row>
    <row r="166" spans="2:6" ht="40.5">
      <c r="B166" s="710">
        <v>162</v>
      </c>
      <c r="C166" s="1100">
        <v>429.14</v>
      </c>
      <c r="D166" s="773">
        <f t="shared" si="8"/>
        <v>600.79999999999995</v>
      </c>
      <c r="E166" s="1100">
        <v>269.20999999999998</v>
      </c>
      <c r="F166" s="712">
        <f t="shared" si="7"/>
        <v>376.89</v>
      </c>
    </row>
    <row r="167" spans="2:6" ht="40.5">
      <c r="B167" s="710">
        <v>163</v>
      </c>
      <c r="C167" s="1100">
        <v>431.78</v>
      </c>
      <c r="D167" s="773">
        <f t="shared" si="8"/>
        <v>604.49</v>
      </c>
      <c r="E167" s="1100">
        <v>270.88</v>
      </c>
      <c r="F167" s="712">
        <f t="shared" si="7"/>
        <v>379.23</v>
      </c>
    </row>
    <row r="168" spans="2:6" ht="40.5">
      <c r="B168" s="710">
        <v>164</v>
      </c>
      <c r="C168" s="1100">
        <v>434.42</v>
      </c>
      <c r="D168" s="773">
        <f t="shared" si="8"/>
        <v>608.19000000000005</v>
      </c>
      <c r="E168" s="1100">
        <v>272.54000000000002</v>
      </c>
      <c r="F168" s="712">
        <f t="shared" si="7"/>
        <v>381.56</v>
      </c>
    </row>
    <row r="169" spans="2:6" ht="40.5">
      <c r="B169" s="710">
        <v>165</v>
      </c>
      <c r="C169" s="1100">
        <v>437.07</v>
      </c>
      <c r="D169" s="773">
        <f t="shared" si="8"/>
        <v>611.9</v>
      </c>
      <c r="E169" s="1100">
        <v>274.2</v>
      </c>
      <c r="F169" s="712">
        <f t="shared" si="7"/>
        <v>383.88</v>
      </c>
    </row>
    <row r="170" spans="2:6" ht="40.5">
      <c r="B170" s="710">
        <v>166</v>
      </c>
      <c r="C170" s="1100">
        <v>439.73</v>
      </c>
      <c r="D170" s="773">
        <f t="shared" si="8"/>
        <v>615.62</v>
      </c>
      <c r="E170" s="1100">
        <v>275.87</v>
      </c>
      <c r="F170" s="712">
        <f t="shared" si="7"/>
        <v>386.22</v>
      </c>
    </row>
    <row r="171" spans="2:6" ht="40.5">
      <c r="B171" s="710">
        <v>167</v>
      </c>
      <c r="C171" s="1100">
        <v>442.39</v>
      </c>
      <c r="D171" s="773">
        <f t="shared" si="8"/>
        <v>619.35</v>
      </c>
      <c r="E171" s="1100">
        <v>277.52999999999997</v>
      </c>
      <c r="F171" s="712">
        <f t="shared" si="7"/>
        <v>388.54</v>
      </c>
    </row>
    <row r="172" spans="2:6" ht="40.5">
      <c r="B172" s="710">
        <v>168</v>
      </c>
      <c r="C172" s="1100">
        <v>445.06</v>
      </c>
      <c r="D172" s="773">
        <f t="shared" si="8"/>
        <v>623.08000000000004</v>
      </c>
      <c r="E172" s="1100">
        <v>279.2</v>
      </c>
      <c r="F172" s="712">
        <f t="shared" si="7"/>
        <v>390.88</v>
      </c>
    </row>
    <row r="173" spans="2:6" ht="40.5">
      <c r="B173" s="710">
        <v>169</v>
      </c>
      <c r="C173" s="1100">
        <v>447.26</v>
      </c>
      <c r="D173" s="773">
        <f t="shared" si="8"/>
        <v>626.16</v>
      </c>
      <c r="E173" s="1100">
        <v>280.87</v>
      </c>
      <c r="F173" s="712">
        <f t="shared" si="7"/>
        <v>393.22</v>
      </c>
    </row>
    <row r="174" spans="2:6" ht="40.5">
      <c r="B174" s="710">
        <v>170</v>
      </c>
      <c r="C174" s="1100">
        <v>449.94</v>
      </c>
      <c r="D174" s="773">
        <f t="shared" si="8"/>
        <v>629.91999999999996</v>
      </c>
      <c r="E174" s="1100">
        <v>282.54000000000002</v>
      </c>
      <c r="F174" s="712">
        <f t="shared" si="7"/>
        <v>395.56</v>
      </c>
    </row>
    <row r="175" spans="2:6" ht="40.5">
      <c r="B175" s="710">
        <v>171</v>
      </c>
      <c r="C175" s="1100">
        <v>452.62</v>
      </c>
      <c r="D175" s="773">
        <f t="shared" si="8"/>
        <v>633.66999999999996</v>
      </c>
      <c r="E175" s="1100">
        <v>284.22000000000003</v>
      </c>
      <c r="F175" s="712">
        <f t="shared" si="7"/>
        <v>397.91</v>
      </c>
    </row>
    <row r="176" spans="2:6" ht="40.5">
      <c r="B176" s="710">
        <v>172</v>
      </c>
      <c r="C176" s="1100">
        <v>455.3</v>
      </c>
      <c r="D176" s="773">
        <f t="shared" si="8"/>
        <v>637.41999999999996</v>
      </c>
      <c r="E176" s="1100">
        <v>285.89</v>
      </c>
      <c r="F176" s="712">
        <f t="shared" si="7"/>
        <v>400.25</v>
      </c>
    </row>
    <row r="177" spans="2:6" ht="40.5">
      <c r="B177" s="710">
        <v>173</v>
      </c>
      <c r="C177" s="1100">
        <v>458</v>
      </c>
      <c r="D177" s="773">
        <f t="shared" si="8"/>
        <v>641.20000000000005</v>
      </c>
      <c r="E177" s="1100">
        <v>287.44</v>
      </c>
      <c r="F177" s="712">
        <f t="shared" si="7"/>
        <v>402.42</v>
      </c>
    </row>
    <row r="178" spans="2:6" ht="40.5">
      <c r="B178" s="710">
        <v>174</v>
      </c>
      <c r="C178" s="1100">
        <v>460.7</v>
      </c>
      <c r="D178" s="773">
        <f t="shared" si="8"/>
        <v>644.98</v>
      </c>
      <c r="E178" s="1100">
        <v>289.11</v>
      </c>
      <c r="F178" s="712">
        <f t="shared" si="7"/>
        <v>404.75</v>
      </c>
    </row>
    <row r="179" spans="2:6">
      <c r="B179" s="710">
        <v>175</v>
      </c>
      <c r="C179" s="1102">
        <v>463.4</v>
      </c>
      <c r="D179" s="773">
        <f t="shared" si="8"/>
        <v>648.76</v>
      </c>
      <c r="E179" s="1102">
        <v>290.79000000000002</v>
      </c>
      <c r="F179" s="712">
        <f t="shared" si="7"/>
        <v>407.11</v>
      </c>
    </row>
    <row r="180" spans="2:6">
      <c r="B180" s="710">
        <v>176</v>
      </c>
      <c r="C180" s="1102">
        <v>466.12</v>
      </c>
      <c r="D180" s="773">
        <f t="shared" si="8"/>
        <v>652.57000000000005</v>
      </c>
      <c r="E180" s="1102">
        <v>292.47000000000003</v>
      </c>
      <c r="F180" s="712">
        <f t="shared" si="7"/>
        <v>409.46</v>
      </c>
    </row>
    <row r="181" spans="2:6">
      <c r="B181" s="710">
        <v>177</v>
      </c>
      <c r="C181" s="1102">
        <v>468.84</v>
      </c>
      <c r="D181" s="773">
        <f t="shared" si="8"/>
        <v>656.38</v>
      </c>
      <c r="E181" s="1102">
        <v>294.16000000000003</v>
      </c>
      <c r="F181" s="712">
        <f t="shared" si="7"/>
        <v>411.82</v>
      </c>
    </row>
    <row r="182" spans="2:6">
      <c r="B182" s="710">
        <v>178</v>
      </c>
      <c r="C182" s="1102">
        <v>471.03</v>
      </c>
      <c r="D182" s="773">
        <f t="shared" si="8"/>
        <v>659.44</v>
      </c>
      <c r="E182" s="1102">
        <v>295.83999999999997</v>
      </c>
      <c r="F182" s="712">
        <f t="shared" si="7"/>
        <v>414.18</v>
      </c>
    </row>
    <row r="183" spans="2:6">
      <c r="B183" s="710">
        <v>179</v>
      </c>
      <c r="C183" s="1102">
        <v>473.76</v>
      </c>
      <c r="D183" s="773">
        <f t="shared" si="8"/>
        <v>663.26</v>
      </c>
      <c r="E183" s="1102">
        <v>297.38</v>
      </c>
      <c r="F183" s="712">
        <f t="shared" si="7"/>
        <v>416.33</v>
      </c>
    </row>
    <row r="184" spans="2:6">
      <c r="B184" s="710">
        <v>180</v>
      </c>
      <c r="C184" s="1102">
        <v>476.49</v>
      </c>
      <c r="D184" s="773">
        <f t="shared" si="8"/>
        <v>667.09</v>
      </c>
      <c r="E184" s="1102">
        <v>299.07</v>
      </c>
      <c r="F184" s="712">
        <f t="shared" si="7"/>
        <v>418.7</v>
      </c>
    </row>
    <row r="185" spans="2:6">
      <c r="B185" s="710">
        <v>181</v>
      </c>
      <c r="C185" s="1102">
        <v>479.23</v>
      </c>
      <c r="D185" s="773">
        <f t="shared" si="8"/>
        <v>670.92</v>
      </c>
      <c r="E185" s="1102">
        <v>300.76</v>
      </c>
      <c r="F185" s="712">
        <f t="shared" si="7"/>
        <v>421.06</v>
      </c>
    </row>
    <row r="186" spans="2:6">
      <c r="B186" s="710">
        <v>182</v>
      </c>
      <c r="C186" s="1102">
        <v>481.98</v>
      </c>
      <c r="D186" s="773">
        <f t="shared" si="8"/>
        <v>674.77</v>
      </c>
      <c r="E186" s="1102">
        <v>302.45</v>
      </c>
      <c r="F186" s="712">
        <f t="shared" si="7"/>
        <v>423.43</v>
      </c>
    </row>
    <row r="187" spans="2:6">
      <c r="B187" s="710">
        <v>183</v>
      </c>
      <c r="C187" s="1102">
        <v>484.74</v>
      </c>
      <c r="D187" s="773">
        <f t="shared" si="8"/>
        <v>678.64</v>
      </c>
      <c r="E187" s="1102">
        <v>304.14</v>
      </c>
      <c r="F187" s="712">
        <f t="shared" si="7"/>
        <v>425.8</v>
      </c>
    </row>
    <row r="188" spans="2:6">
      <c r="B188" s="710">
        <v>184</v>
      </c>
      <c r="C188" s="1102">
        <v>486.94</v>
      </c>
      <c r="D188" s="773">
        <f t="shared" si="8"/>
        <v>681.72</v>
      </c>
      <c r="E188" s="1102">
        <v>305.68</v>
      </c>
      <c r="F188" s="712">
        <f t="shared" si="7"/>
        <v>427.95</v>
      </c>
    </row>
    <row r="189" spans="2:6">
      <c r="B189" s="710">
        <v>185</v>
      </c>
      <c r="C189" s="1102">
        <v>489.7</v>
      </c>
      <c r="D189" s="773">
        <f t="shared" si="8"/>
        <v>685.58</v>
      </c>
      <c r="E189" s="1102">
        <v>307.38</v>
      </c>
      <c r="F189" s="712">
        <f t="shared" si="7"/>
        <v>430.33</v>
      </c>
    </row>
    <row r="190" spans="2:6">
      <c r="B190" s="710">
        <v>186</v>
      </c>
      <c r="C190" s="1102">
        <v>492.47</v>
      </c>
      <c r="D190" s="773">
        <f t="shared" si="8"/>
        <v>689.46</v>
      </c>
      <c r="E190" s="1102">
        <v>309.07</v>
      </c>
      <c r="F190" s="712">
        <f t="shared" si="7"/>
        <v>432.7</v>
      </c>
    </row>
    <row r="191" spans="2:6">
      <c r="B191" s="710">
        <v>187</v>
      </c>
      <c r="C191" s="1102">
        <v>495.25</v>
      </c>
      <c r="D191" s="773">
        <f t="shared" si="8"/>
        <v>693.35</v>
      </c>
      <c r="E191" s="1102">
        <v>310.77</v>
      </c>
      <c r="F191" s="712">
        <f t="shared" si="7"/>
        <v>435.08</v>
      </c>
    </row>
    <row r="192" spans="2:6">
      <c r="B192" s="710">
        <v>188</v>
      </c>
      <c r="C192" s="1102">
        <v>497.45</v>
      </c>
      <c r="D192" s="773">
        <f t="shared" si="8"/>
        <v>696.43</v>
      </c>
      <c r="E192" s="1102">
        <v>312.32</v>
      </c>
      <c r="F192" s="712">
        <f t="shared" si="7"/>
        <v>437.25</v>
      </c>
    </row>
    <row r="193" spans="2:6">
      <c r="B193" s="710">
        <v>189</v>
      </c>
      <c r="C193" s="1102">
        <v>500.23</v>
      </c>
      <c r="D193" s="773">
        <f t="shared" si="8"/>
        <v>700.32</v>
      </c>
      <c r="E193" s="1102">
        <v>314.02</v>
      </c>
      <c r="F193" s="712">
        <f t="shared" si="7"/>
        <v>439.63</v>
      </c>
    </row>
    <row r="194" spans="2:6">
      <c r="B194" s="710">
        <v>190</v>
      </c>
      <c r="C194" s="1102">
        <v>503.03</v>
      </c>
      <c r="D194" s="773">
        <f t="shared" si="8"/>
        <v>704.24</v>
      </c>
      <c r="E194" s="1102">
        <v>315.72000000000003</v>
      </c>
      <c r="F194" s="712">
        <f t="shared" si="7"/>
        <v>442.01</v>
      </c>
    </row>
    <row r="195" spans="2:6">
      <c r="B195" s="710">
        <v>191</v>
      </c>
      <c r="C195" s="1102">
        <v>505.83</v>
      </c>
      <c r="D195" s="773">
        <f t="shared" si="8"/>
        <v>708.16</v>
      </c>
      <c r="E195" s="1102">
        <v>317.42</v>
      </c>
      <c r="F195" s="712">
        <f t="shared" si="7"/>
        <v>444.39</v>
      </c>
    </row>
    <row r="196" spans="2:6">
      <c r="B196" s="710">
        <v>192</v>
      </c>
      <c r="C196" s="1102">
        <v>508.03</v>
      </c>
      <c r="D196" s="773">
        <f t="shared" si="8"/>
        <v>711.24</v>
      </c>
      <c r="E196" s="1102">
        <v>318.97000000000003</v>
      </c>
      <c r="F196" s="712">
        <f t="shared" si="7"/>
        <v>446.56</v>
      </c>
    </row>
    <row r="197" spans="2:6">
      <c r="B197" s="710">
        <v>193</v>
      </c>
      <c r="C197" s="1102">
        <v>510.84</v>
      </c>
      <c r="D197" s="773">
        <f t="shared" si="8"/>
        <v>715.18</v>
      </c>
      <c r="E197" s="1102">
        <v>320.67</v>
      </c>
      <c r="F197" s="712">
        <f t="shared" si="7"/>
        <v>448.94</v>
      </c>
    </row>
    <row r="198" spans="2:6">
      <c r="B198" s="710">
        <v>194</v>
      </c>
      <c r="C198" s="1102">
        <v>513.66</v>
      </c>
      <c r="D198" s="773">
        <f t="shared" si="8"/>
        <v>719.12</v>
      </c>
      <c r="E198" s="1102">
        <v>322.38</v>
      </c>
      <c r="F198" s="712">
        <f t="shared" ref="F198:F204" si="9">ROUND(E198*1.4,2)</f>
        <v>451.33</v>
      </c>
    </row>
    <row r="199" spans="2:6">
      <c r="B199" s="710">
        <v>195</v>
      </c>
      <c r="C199" s="1102">
        <v>516.49</v>
      </c>
      <c r="D199" s="773">
        <f t="shared" ref="D199:D204" si="10">ROUND(C199*1.4,2)</f>
        <v>723.09</v>
      </c>
      <c r="E199" s="1102">
        <v>323.93</v>
      </c>
      <c r="F199" s="712">
        <f t="shared" si="9"/>
        <v>453.5</v>
      </c>
    </row>
    <row r="200" spans="2:6">
      <c r="B200" s="710">
        <v>196</v>
      </c>
      <c r="C200" s="1102">
        <v>518.69000000000005</v>
      </c>
      <c r="D200" s="773">
        <f t="shared" si="10"/>
        <v>726.17</v>
      </c>
      <c r="E200" s="1102">
        <v>325.64</v>
      </c>
      <c r="F200" s="712">
        <f t="shared" si="9"/>
        <v>455.9</v>
      </c>
    </row>
    <row r="201" spans="2:6">
      <c r="B201" s="710">
        <v>197</v>
      </c>
      <c r="C201" s="1102">
        <v>521.53</v>
      </c>
      <c r="D201" s="773">
        <f t="shared" si="10"/>
        <v>730.14</v>
      </c>
      <c r="E201" s="1102">
        <v>327.35000000000002</v>
      </c>
      <c r="F201" s="712">
        <f t="shared" si="9"/>
        <v>458.29</v>
      </c>
    </row>
    <row r="202" spans="2:6">
      <c r="B202" s="710">
        <v>198</v>
      </c>
      <c r="C202" s="1102">
        <v>524.38</v>
      </c>
      <c r="D202" s="773">
        <f t="shared" si="10"/>
        <v>734.13</v>
      </c>
      <c r="E202" s="1102">
        <v>328.9</v>
      </c>
      <c r="F202" s="712">
        <f t="shared" si="9"/>
        <v>460.46</v>
      </c>
    </row>
    <row r="203" spans="2:6">
      <c r="B203" s="710">
        <v>199</v>
      </c>
      <c r="C203" s="1102">
        <v>526.58000000000004</v>
      </c>
      <c r="D203" s="773">
        <f t="shared" si="10"/>
        <v>737.21</v>
      </c>
      <c r="E203" s="1102">
        <v>330.62</v>
      </c>
      <c r="F203" s="712">
        <f t="shared" si="9"/>
        <v>462.87</v>
      </c>
    </row>
    <row r="204" spans="2:6">
      <c r="B204" s="710">
        <v>200</v>
      </c>
      <c r="C204" s="1102">
        <v>529.44000000000005</v>
      </c>
      <c r="D204" s="773">
        <f t="shared" si="10"/>
        <v>741.22</v>
      </c>
      <c r="E204" s="1102">
        <v>332.33</v>
      </c>
      <c r="F204" s="712">
        <f t="shared" si="9"/>
        <v>465.26</v>
      </c>
    </row>
    <row r="205" spans="2:6" ht="21" thickBot="1">
      <c r="B205" s="938"/>
      <c r="C205" s="791">
        <f>INDEX('S4'!$A$205:$W$205,MATCH('S2'!$C$2,'S4'!$A$4:$W$4,0))</f>
        <v>2.0699999999999998</v>
      </c>
      <c r="D205" s="939">
        <f>ROUNDDOWN(C205*1.4,2)</f>
        <v>2.89</v>
      </c>
      <c r="E205" s="791">
        <f>INDEX('S4'!$Y$205:$AW$205,MATCH('S2'!$E$2,'S4'!$Y$4:$AW$4,0))</f>
        <v>1.36</v>
      </c>
      <c r="F205" s="940">
        <f>ROUNDDOWN(E205*1.4,2)</f>
        <v>1.9</v>
      </c>
    </row>
    <row r="206" spans="2:6">
      <c r="C206" s="48"/>
    </row>
    <row r="207" spans="2:6">
      <c r="C207" s="48"/>
    </row>
    <row r="208" spans="2:6">
      <c r="C208" s="48"/>
    </row>
  </sheetData>
  <mergeCells count="2">
    <mergeCell ref="AR2:AS2"/>
    <mergeCell ref="BM31:BN31"/>
  </mergeCells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"/>
  <dimension ref="A1:AW206"/>
  <sheetViews>
    <sheetView topLeftCell="S1" workbookViewId="0">
      <selection activeCell="Y29" sqref="Y29"/>
    </sheetView>
  </sheetViews>
  <sheetFormatPr defaultColWidth="9.140625" defaultRowHeight="21"/>
  <cols>
    <col min="1" max="35" width="9.140625" style="1"/>
    <col min="36" max="36" width="9.28515625" style="1" bestFit="1" customWidth="1"/>
    <col min="37" max="16384" width="9.140625" style="1"/>
  </cols>
  <sheetData>
    <row r="1" spans="1:49" ht="24" thickBot="1">
      <c r="A1" s="151" t="s">
        <v>166</v>
      </c>
      <c r="B1" s="151"/>
      <c r="C1" s="151"/>
      <c r="D1" s="151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W1" s="4"/>
      <c r="X1" s="4"/>
      <c r="Y1" s="4"/>
      <c r="Z1" s="4"/>
      <c r="AA1" s="151" t="s">
        <v>167</v>
      </c>
      <c r="AB1" s="151"/>
      <c r="AC1" s="151"/>
      <c r="AD1" s="151"/>
      <c r="AE1" s="151"/>
      <c r="AF1" s="4"/>
      <c r="AG1" s="4"/>
      <c r="AH1" s="4"/>
      <c r="AS1" s="4"/>
      <c r="AT1" s="4"/>
      <c r="AU1" s="4"/>
      <c r="AV1" s="4"/>
    </row>
    <row r="2" spans="1:49">
      <c r="A2" s="53" t="s">
        <v>69</v>
      </c>
      <c r="B2" s="54" t="s">
        <v>69</v>
      </c>
      <c r="C2" s="54" t="s">
        <v>69</v>
      </c>
      <c r="D2" s="55" t="s">
        <v>69</v>
      </c>
      <c r="E2" s="54" t="s">
        <v>69</v>
      </c>
      <c r="F2" s="254" t="s">
        <v>69</v>
      </c>
      <c r="G2" s="254" t="s">
        <v>69</v>
      </c>
      <c r="H2" s="254" t="s">
        <v>69</v>
      </c>
      <c r="I2" s="254" t="s">
        <v>69</v>
      </c>
      <c r="J2" s="254" t="s">
        <v>69</v>
      </c>
      <c r="K2" s="254" t="s">
        <v>69</v>
      </c>
      <c r="L2" s="254" t="s">
        <v>69</v>
      </c>
      <c r="M2" s="54" t="s">
        <v>69</v>
      </c>
      <c r="N2" s="54" t="s">
        <v>69</v>
      </c>
      <c r="O2" s="54" t="s">
        <v>69</v>
      </c>
      <c r="P2" s="54" t="s">
        <v>69</v>
      </c>
      <c r="Q2" s="54" t="s">
        <v>69</v>
      </c>
      <c r="R2" s="252" t="s">
        <v>69</v>
      </c>
      <c r="S2" s="252" t="s">
        <v>69</v>
      </c>
      <c r="T2" s="252" t="s">
        <v>69</v>
      </c>
      <c r="U2" s="252" t="s">
        <v>69</v>
      </c>
      <c r="V2" s="252" t="s">
        <v>69</v>
      </c>
      <c r="W2" s="252" t="s">
        <v>69</v>
      </c>
      <c r="X2" s="49" t="s">
        <v>5</v>
      </c>
      <c r="Y2" s="252" t="s">
        <v>69</v>
      </c>
      <c r="Z2" s="252" t="s">
        <v>69</v>
      </c>
      <c r="AA2" s="53" t="s">
        <v>69</v>
      </c>
      <c r="AB2" s="54" t="s">
        <v>69</v>
      </c>
      <c r="AC2" s="54" t="s">
        <v>69</v>
      </c>
      <c r="AD2" s="55" t="s">
        <v>69</v>
      </c>
      <c r="AE2" s="55" t="s">
        <v>69</v>
      </c>
      <c r="AF2" s="254" t="s">
        <v>69</v>
      </c>
      <c r="AG2" s="254" t="s">
        <v>69</v>
      </c>
      <c r="AH2" s="254" t="s">
        <v>69</v>
      </c>
      <c r="AI2" s="254" t="s">
        <v>69</v>
      </c>
      <c r="AJ2" s="254" t="s">
        <v>69</v>
      </c>
      <c r="AK2" s="254" t="s">
        <v>69</v>
      </c>
      <c r="AL2" s="254" t="s">
        <v>69</v>
      </c>
      <c r="AM2" s="54" t="s">
        <v>69</v>
      </c>
      <c r="AN2" s="54" t="s">
        <v>69</v>
      </c>
      <c r="AO2" s="54" t="s">
        <v>69</v>
      </c>
      <c r="AP2" s="54" t="s">
        <v>69</v>
      </c>
      <c r="AQ2" s="54" t="s">
        <v>69</v>
      </c>
      <c r="AR2" s="252" t="s">
        <v>69</v>
      </c>
      <c r="AS2" s="252" t="s">
        <v>69</v>
      </c>
      <c r="AT2" s="252" t="s">
        <v>69</v>
      </c>
      <c r="AU2" s="252" t="s">
        <v>69</v>
      </c>
      <c r="AV2" s="252" t="s">
        <v>69</v>
      </c>
      <c r="AW2" s="252" t="s">
        <v>69</v>
      </c>
    </row>
    <row r="3" spans="1:49" ht="21.75" thickBot="1">
      <c r="A3" s="56" t="s">
        <v>9</v>
      </c>
      <c r="B3" s="57" t="s">
        <v>9</v>
      </c>
      <c r="C3" s="57" t="s">
        <v>9</v>
      </c>
      <c r="D3" s="58" t="s">
        <v>9</v>
      </c>
      <c r="E3" s="57" t="s">
        <v>9</v>
      </c>
      <c r="F3" s="255" t="s">
        <v>9</v>
      </c>
      <c r="G3" s="255" t="s">
        <v>9</v>
      </c>
      <c r="H3" s="255" t="s">
        <v>9</v>
      </c>
      <c r="I3" s="255" t="s">
        <v>9</v>
      </c>
      <c r="J3" s="255" t="s">
        <v>9</v>
      </c>
      <c r="K3" s="255" t="s">
        <v>9</v>
      </c>
      <c r="L3" s="255" t="s">
        <v>9</v>
      </c>
      <c r="M3" s="57" t="s">
        <v>9</v>
      </c>
      <c r="N3" s="57" t="s">
        <v>9</v>
      </c>
      <c r="O3" s="57" t="s">
        <v>9</v>
      </c>
      <c r="P3" s="57" t="s">
        <v>9</v>
      </c>
      <c r="Q3" s="57" t="s">
        <v>9</v>
      </c>
      <c r="R3" s="253" t="s">
        <v>9</v>
      </c>
      <c r="S3" s="253" t="s">
        <v>9</v>
      </c>
      <c r="T3" s="253" t="s">
        <v>9</v>
      </c>
      <c r="U3" s="253" t="s">
        <v>9</v>
      </c>
      <c r="V3" s="253" t="s">
        <v>9</v>
      </c>
      <c r="W3" s="253" t="s">
        <v>9</v>
      </c>
      <c r="X3" s="50" t="s">
        <v>46</v>
      </c>
      <c r="Y3" s="253" t="s">
        <v>9</v>
      </c>
      <c r="Z3" s="253" t="s">
        <v>9</v>
      </c>
      <c r="AA3" s="56" t="s">
        <v>9</v>
      </c>
      <c r="AB3" s="57" t="s">
        <v>9</v>
      </c>
      <c r="AC3" s="57" t="s">
        <v>9</v>
      </c>
      <c r="AD3" s="58" t="s">
        <v>9</v>
      </c>
      <c r="AE3" s="58" t="s">
        <v>9</v>
      </c>
      <c r="AF3" s="255" t="s">
        <v>9</v>
      </c>
      <c r="AG3" s="255" t="s">
        <v>9</v>
      </c>
      <c r="AH3" s="255" t="s">
        <v>9</v>
      </c>
      <c r="AI3" s="255" t="s">
        <v>9</v>
      </c>
      <c r="AJ3" s="255" t="s">
        <v>9</v>
      </c>
      <c r="AK3" s="255" t="s">
        <v>9</v>
      </c>
      <c r="AL3" s="255" t="s">
        <v>9</v>
      </c>
      <c r="AM3" s="57" t="s">
        <v>9</v>
      </c>
      <c r="AN3" s="57" t="s">
        <v>9</v>
      </c>
      <c r="AO3" s="57" t="s">
        <v>9</v>
      </c>
      <c r="AP3" s="57" t="s">
        <v>9</v>
      </c>
      <c r="AQ3" s="57" t="s">
        <v>9</v>
      </c>
      <c r="AR3" s="253" t="s">
        <v>9</v>
      </c>
      <c r="AS3" s="253" t="s">
        <v>9</v>
      </c>
      <c r="AT3" s="253" t="s">
        <v>9</v>
      </c>
      <c r="AU3" s="253" t="s">
        <v>9</v>
      </c>
      <c r="AV3" s="253" t="s">
        <v>9</v>
      </c>
      <c r="AW3" s="253" t="s">
        <v>9</v>
      </c>
    </row>
    <row r="4" spans="1:49" ht="21.75" thickBot="1">
      <c r="A4" s="137">
        <v>22.5</v>
      </c>
      <c r="B4" s="128">
        <v>23.5</v>
      </c>
      <c r="C4" s="129">
        <v>24.5</v>
      </c>
      <c r="D4" s="280">
        <v>25.5</v>
      </c>
      <c r="E4" s="280">
        <v>26.5</v>
      </c>
      <c r="F4" s="280">
        <v>27.5</v>
      </c>
      <c r="G4" s="280">
        <v>28.5</v>
      </c>
      <c r="H4" s="281">
        <v>29.5</v>
      </c>
      <c r="I4" s="282">
        <v>30.5</v>
      </c>
      <c r="J4" s="283">
        <v>31.5</v>
      </c>
      <c r="K4" s="280">
        <v>32.5</v>
      </c>
      <c r="L4" s="280">
        <v>33.5</v>
      </c>
      <c r="M4" s="280">
        <v>34.5</v>
      </c>
      <c r="N4" s="280">
        <v>35.5</v>
      </c>
      <c r="O4" s="129">
        <v>36.5</v>
      </c>
      <c r="P4" s="129">
        <v>37.5</v>
      </c>
      <c r="Q4" s="129">
        <v>38.5</v>
      </c>
      <c r="R4" s="129">
        <v>39.5</v>
      </c>
      <c r="S4" s="129">
        <v>21.5</v>
      </c>
      <c r="T4" s="129">
        <v>20.5</v>
      </c>
      <c r="U4" s="129">
        <v>19.5</v>
      </c>
      <c r="V4" s="129">
        <v>18.5</v>
      </c>
      <c r="W4" s="129">
        <v>17.5</v>
      </c>
      <c r="X4" s="120"/>
      <c r="Y4" s="753">
        <v>20.5</v>
      </c>
      <c r="Z4" s="128">
        <v>21.5</v>
      </c>
      <c r="AA4" s="137">
        <v>22.5</v>
      </c>
      <c r="AB4" s="128">
        <v>23.5</v>
      </c>
      <c r="AC4" s="129">
        <v>24.5</v>
      </c>
      <c r="AD4" s="283">
        <v>25.5</v>
      </c>
      <c r="AE4" s="280">
        <v>26.5</v>
      </c>
      <c r="AF4" s="280">
        <v>27.5</v>
      </c>
      <c r="AG4" s="280">
        <v>28.5</v>
      </c>
      <c r="AH4" s="281">
        <v>29.5</v>
      </c>
      <c r="AI4" s="282">
        <v>30.5</v>
      </c>
      <c r="AJ4" s="283">
        <v>31.5</v>
      </c>
      <c r="AK4" s="283">
        <v>32.5</v>
      </c>
      <c r="AL4" s="283">
        <v>33.5</v>
      </c>
      <c r="AM4" s="283">
        <v>34.5</v>
      </c>
      <c r="AN4" s="283">
        <v>35.5</v>
      </c>
      <c r="AO4" s="128">
        <v>36.5</v>
      </c>
      <c r="AP4" s="128">
        <v>37.5</v>
      </c>
      <c r="AQ4" s="128">
        <v>38.5</v>
      </c>
      <c r="AR4" s="128">
        <v>39.5</v>
      </c>
      <c r="AS4" s="128">
        <v>21.5</v>
      </c>
      <c r="AT4" s="128">
        <v>20.5</v>
      </c>
      <c r="AU4" s="128">
        <v>19.5</v>
      </c>
      <c r="AV4" s="128">
        <v>18.5</v>
      </c>
      <c r="AW4" s="128">
        <v>17.5</v>
      </c>
    </row>
    <row r="5" spans="1:49">
      <c r="A5" s="130">
        <v>4.99</v>
      </c>
      <c r="B5" s="124">
        <v>5.03</v>
      </c>
      <c r="C5" s="125">
        <v>5.07</v>
      </c>
      <c r="D5" s="284">
        <v>6.2</v>
      </c>
      <c r="E5" s="285">
        <v>6.23</v>
      </c>
      <c r="F5" s="285">
        <v>6.27</v>
      </c>
      <c r="G5" s="285">
        <v>6.31</v>
      </c>
      <c r="H5" s="286">
        <v>6.34</v>
      </c>
      <c r="I5" s="287">
        <v>6.38</v>
      </c>
      <c r="J5" s="287">
        <v>6.42</v>
      </c>
      <c r="K5" s="287">
        <v>6.45</v>
      </c>
      <c r="L5" s="287">
        <v>6.49</v>
      </c>
      <c r="M5" s="287">
        <v>6.52</v>
      </c>
      <c r="N5" s="287">
        <v>6.56</v>
      </c>
      <c r="O5" s="234">
        <v>5.5</v>
      </c>
      <c r="P5" s="234">
        <v>5.54</v>
      </c>
      <c r="Q5" s="234">
        <v>5.58</v>
      </c>
      <c r="R5" s="234">
        <v>5.61</v>
      </c>
      <c r="S5" s="234">
        <v>4.96</v>
      </c>
      <c r="T5" s="234">
        <v>4.92</v>
      </c>
      <c r="U5" s="234">
        <v>4.8899999999999997</v>
      </c>
      <c r="V5" s="234">
        <v>4.8499999999999996</v>
      </c>
      <c r="W5" s="234">
        <v>4.8099999999999996</v>
      </c>
      <c r="X5" s="121">
        <v>1</v>
      </c>
      <c r="Y5" s="754">
        <v>2.2400000000000002</v>
      </c>
      <c r="Z5" s="234">
        <v>2.91</v>
      </c>
      <c r="AA5" s="182">
        <v>2.93</v>
      </c>
      <c r="AB5" s="183">
        <v>2.96</v>
      </c>
      <c r="AC5" s="184">
        <v>2.99</v>
      </c>
      <c r="AD5" s="306">
        <v>3.85</v>
      </c>
      <c r="AE5" s="307">
        <v>3.87</v>
      </c>
      <c r="AF5" s="307">
        <v>3.9</v>
      </c>
      <c r="AG5" s="308">
        <v>3.92</v>
      </c>
      <c r="AH5" s="309">
        <v>3.95</v>
      </c>
      <c r="AI5" s="287">
        <v>3.97</v>
      </c>
      <c r="AJ5" s="287">
        <v>4</v>
      </c>
      <c r="AK5" s="287">
        <v>4.03</v>
      </c>
      <c r="AL5" s="287">
        <v>4.05</v>
      </c>
      <c r="AM5" s="287">
        <v>4.08</v>
      </c>
      <c r="AN5" s="287">
        <v>4.0999999999999996</v>
      </c>
      <c r="AO5" s="234">
        <v>3.29</v>
      </c>
      <c r="AP5" s="234">
        <v>3.32</v>
      </c>
      <c r="AQ5" s="234">
        <v>3.35</v>
      </c>
      <c r="AR5" s="234">
        <v>3.37</v>
      </c>
      <c r="AS5" s="234">
        <v>2.91</v>
      </c>
      <c r="AT5" s="234">
        <v>2.88</v>
      </c>
      <c r="AU5" s="234">
        <v>2.86</v>
      </c>
      <c r="AV5" s="234">
        <v>2.83</v>
      </c>
      <c r="AW5" s="234">
        <v>2.81</v>
      </c>
    </row>
    <row r="6" spans="1:49">
      <c r="A6" s="131">
        <v>6.31</v>
      </c>
      <c r="B6" s="122">
        <v>6.38</v>
      </c>
      <c r="C6" s="123">
        <v>6.45</v>
      </c>
      <c r="D6" s="288">
        <v>7.66</v>
      </c>
      <c r="E6" s="289">
        <v>7.73</v>
      </c>
      <c r="F6" s="289">
        <v>7.81</v>
      </c>
      <c r="G6" s="289">
        <v>7.88</v>
      </c>
      <c r="H6" s="290">
        <v>7.95</v>
      </c>
      <c r="I6" s="291">
        <v>8.0299999999999994</v>
      </c>
      <c r="J6" s="291">
        <v>8.1</v>
      </c>
      <c r="K6" s="291">
        <v>8.17</v>
      </c>
      <c r="L6" s="291">
        <v>8.24</v>
      </c>
      <c r="M6" s="291">
        <v>8.32</v>
      </c>
      <c r="N6" s="291">
        <v>8.39</v>
      </c>
      <c r="O6" s="235">
        <v>7.33</v>
      </c>
      <c r="P6" s="235">
        <v>7.4</v>
      </c>
      <c r="Q6" s="235">
        <v>7.47</v>
      </c>
      <c r="R6" s="235">
        <v>7.55</v>
      </c>
      <c r="S6" s="235">
        <v>6.24</v>
      </c>
      <c r="T6" s="235">
        <v>6.16</v>
      </c>
      <c r="U6" s="235">
        <v>6.09</v>
      </c>
      <c r="V6" s="235">
        <v>6.02</v>
      </c>
      <c r="W6" s="235">
        <v>5.94</v>
      </c>
      <c r="X6" s="121">
        <v>2</v>
      </c>
      <c r="Y6" s="755">
        <v>5.37</v>
      </c>
      <c r="Z6" s="235">
        <v>3.87</v>
      </c>
      <c r="AA6" s="131">
        <v>3.93</v>
      </c>
      <c r="AB6" s="122">
        <v>3.98</v>
      </c>
      <c r="AC6" s="123">
        <v>4.03</v>
      </c>
      <c r="AD6" s="288">
        <v>4.9800000000000004</v>
      </c>
      <c r="AE6" s="289">
        <v>5.03</v>
      </c>
      <c r="AF6" s="289">
        <v>5.08</v>
      </c>
      <c r="AG6" s="310">
        <v>5.13</v>
      </c>
      <c r="AH6" s="290">
        <v>5.18</v>
      </c>
      <c r="AI6" s="291">
        <v>5.23</v>
      </c>
      <c r="AJ6" s="291">
        <v>5.28</v>
      </c>
      <c r="AK6" s="291">
        <v>5.34</v>
      </c>
      <c r="AL6" s="291">
        <v>5.39</v>
      </c>
      <c r="AM6" s="291">
        <v>5.44</v>
      </c>
      <c r="AN6" s="291">
        <v>5.49</v>
      </c>
      <c r="AO6" s="235">
        <v>4.6500000000000004</v>
      </c>
      <c r="AP6" s="235">
        <v>4.7</v>
      </c>
      <c r="AQ6" s="235">
        <v>4.75</v>
      </c>
      <c r="AR6" s="235">
        <v>4.8</v>
      </c>
      <c r="AS6" s="235">
        <v>3.87</v>
      </c>
      <c r="AT6" s="235">
        <v>3.82</v>
      </c>
      <c r="AU6" s="235">
        <v>3.77</v>
      </c>
      <c r="AV6" s="235">
        <v>3.72</v>
      </c>
      <c r="AW6" s="235">
        <v>3.67</v>
      </c>
    </row>
    <row r="7" spans="1:49">
      <c r="A7" s="131">
        <v>7.62</v>
      </c>
      <c r="B7" s="122">
        <v>7.73</v>
      </c>
      <c r="C7" s="123">
        <v>7.84</v>
      </c>
      <c r="D7" s="288">
        <v>9.1300000000000008</v>
      </c>
      <c r="E7" s="289">
        <v>9.24</v>
      </c>
      <c r="F7" s="289">
        <v>9.35</v>
      </c>
      <c r="G7" s="289">
        <v>9.4499999999999993</v>
      </c>
      <c r="H7" s="290">
        <v>9.56</v>
      </c>
      <c r="I7" s="292">
        <v>9.67</v>
      </c>
      <c r="J7" s="292">
        <v>9.7799999999999994</v>
      </c>
      <c r="K7" s="292">
        <v>9.89</v>
      </c>
      <c r="L7" s="292">
        <v>10</v>
      </c>
      <c r="M7" s="292">
        <v>10.11</v>
      </c>
      <c r="N7" s="292">
        <v>10.220000000000001</v>
      </c>
      <c r="O7" s="236">
        <v>9.15</v>
      </c>
      <c r="P7" s="236">
        <v>9.26</v>
      </c>
      <c r="Q7" s="236">
        <v>9.3699999999999992</v>
      </c>
      <c r="R7" s="236">
        <v>9.48</v>
      </c>
      <c r="S7" s="236">
        <v>7.51</v>
      </c>
      <c r="T7" s="236">
        <v>7.4</v>
      </c>
      <c r="U7" s="236">
        <v>7.29</v>
      </c>
      <c r="V7" s="236">
        <v>7.19</v>
      </c>
      <c r="W7" s="236">
        <v>7.08</v>
      </c>
      <c r="X7" s="132">
        <v>3</v>
      </c>
      <c r="Y7" s="756">
        <v>6.5</v>
      </c>
      <c r="Z7" s="236">
        <v>4.84</v>
      </c>
      <c r="AA7" s="131">
        <v>4.92</v>
      </c>
      <c r="AB7" s="122">
        <v>4.99</v>
      </c>
      <c r="AC7" s="123">
        <v>5.07</v>
      </c>
      <c r="AD7" s="288">
        <v>6.1</v>
      </c>
      <c r="AE7" s="289">
        <v>6.18</v>
      </c>
      <c r="AF7" s="289">
        <v>6.26</v>
      </c>
      <c r="AG7" s="310">
        <v>6.34</v>
      </c>
      <c r="AH7" s="290">
        <v>6.41</v>
      </c>
      <c r="AI7" s="292">
        <v>6.49</v>
      </c>
      <c r="AJ7" s="292">
        <v>6.57</v>
      </c>
      <c r="AK7" s="292">
        <v>6.64</v>
      </c>
      <c r="AL7" s="292">
        <v>6.72</v>
      </c>
      <c r="AM7" s="292">
        <v>6.8</v>
      </c>
      <c r="AN7" s="292">
        <v>6.88</v>
      </c>
      <c r="AO7" s="236">
        <v>6</v>
      </c>
      <c r="AP7" s="236">
        <v>6</v>
      </c>
      <c r="AQ7" s="236">
        <v>6.15</v>
      </c>
      <c r="AR7" s="236">
        <v>6.23</v>
      </c>
      <c r="AS7" s="236">
        <v>4.84</v>
      </c>
      <c r="AT7" s="236">
        <v>4.76</v>
      </c>
      <c r="AU7" s="236">
        <v>4.6900000000000004</v>
      </c>
      <c r="AV7" s="236">
        <v>4.6100000000000003</v>
      </c>
      <c r="AW7" s="236">
        <v>4.53</v>
      </c>
    </row>
    <row r="8" spans="1:49">
      <c r="A8" s="131">
        <v>8.94</v>
      </c>
      <c r="B8" s="122">
        <v>9.08</v>
      </c>
      <c r="C8" s="123">
        <v>9.23</v>
      </c>
      <c r="D8" s="288">
        <v>10.59</v>
      </c>
      <c r="E8" s="289">
        <v>10.74</v>
      </c>
      <c r="F8" s="289">
        <v>10.88</v>
      </c>
      <c r="G8" s="289">
        <v>11.03</v>
      </c>
      <c r="H8" s="290">
        <v>11.17</v>
      </c>
      <c r="I8" s="293">
        <v>11.32</v>
      </c>
      <c r="J8" s="293">
        <v>11.47</v>
      </c>
      <c r="K8" s="293">
        <v>11.61</v>
      </c>
      <c r="L8" s="293">
        <v>11.76</v>
      </c>
      <c r="M8" s="293">
        <v>11.9</v>
      </c>
      <c r="N8" s="293">
        <v>12.05</v>
      </c>
      <c r="O8" s="237">
        <v>10.97</v>
      </c>
      <c r="P8" s="237">
        <v>11.12</v>
      </c>
      <c r="Q8" s="237">
        <v>11.27</v>
      </c>
      <c r="R8" s="237">
        <v>11.41</v>
      </c>
      <c r="S8" s="237">
        <v>8.7899999999999991</v>
      </c>
      <c r="T8" s="237">
        <v>8.64</v>
      </c>
      <c r="U8" s="237">
        <v>8.5</v>
      </c>
      <c r="V8" s="237">
        <v>8.35</v>
      </c>
      <c r="W8" s="237">
        <v>8.2100000000000009</v>
      </c>
      <c r="X8" s="51">
        <v>4</v>
      </c>
      <c r="Y8" s="757">
        <v>7.63</v>
      </c>
      <c r="Z8" s="237">
        <v>5.8</v>
      </c>
      <c r="AA8" s="131">
        <v>5.91</v>
      </c>
      <c r="AB8" s="122">
        <v>6.01</v>
      </c>
      <c r="AC8" s="123">
        <v>6.11</v>
      </c>
      <c r="AD8" s="288">
        <v>7.23</v>
      </c>
      <c r="AE8" s="289">
        <v>7.34</v>
      </c>
      <c r="AF8" s="289">
        <v>7.44</v>
      </c>
      <c r="AG8" s="310">
        <v>7.54</v>
      </c>
      <c r="AH8" s="290">
        <v>7.64</v>
      </c>
      <c r="AI8" s="293">
        <v>7.75</v>
      </c>
      <c r="AJ8" s="293">
        <v>7.85</v>
      </c>
      <c r="AK8" s="293">
        <v>7.95</v>
      </c>
      <c r="AL8" s="293">
        <v>8.06</v>
      </c>
      <c r="AM8" s="293">
        <v>8.16</v>
      </c>
      <c r="AN8" s="293">
        <v>8.26</v>
      </c>
      <c r="AO8" s="237">
        <v>7.35</v>
      </c>
      <c r="AP8" s="237">
        <v>7.45</v>
      </c>
      <c r="AQ8" s="237">
        <v>7.55</v>
      </c>
      <c r="AR8" s="237">
        <v>7.66</v>
      </c>
      <c r="AS8" s="237">
        <v>5.8</v>
      </c>
      <c r="AT8" s="237">
        <v>5.7</v>
      </c>
      <c r="AU8" s="237">
        <v>5.6</v>
      </c>
      <c r="AV8" s="237">
        <v>5.5</v>
      </c>
      <c r="AW8" s="236">
        <v>5.39</v>
      </c>
    </row>
    <row r="9" spans="1:49">
      <c r="A9" s="131">
        <v>10.25</v>
      </c>
      <c r="B9" s="122">
        <v>10.43</v>
      </c>
      <c r="C9" s="123">
        <v>10.61</v>
      </c>
      <c r="D9" s="288">
        <v>12.06</v>
      </c>
      <c r="E9" s="289">
        <v>12.24</v>
      </c>
      <c r="F9" s="289">
        <v>12.42</v>
      </c>
      <c r="G9" s="289">
        <v>12.6</v>
      </c>
      <c r="H9" s="290">
        <v>12.79</v>
      </c>
      <c r="I9" s="293">
        <v>12.97</v>
      </c>
      <c r="J9" s="293">
        <v>13.15</v>
      </c>
      <c r="K9" s="293">
        <v>13.33</v>
      </c>
      <c r="L9" s="293">
        <v>13.51</v>
      </c>
      <c r="M9" s="293">
        <v>13.7</v>
      </c>
      <c r="N9" s="293">
        <v>13.88</v>
      </c>
      <c r="O9" s="237">
        <v>12.8</v>
      </c>
      <c r="P9" s="237">
        <v>12.98</v>
      </c>
      <c r="Q9" s="237">
        <v>13.16</v>
      </c>
      <c r="R9" s="237">
        <v>13.34</v>
      </c>
      <c r="S9" s="237">
        <v>10.07</v>
      </c>
      <c r="T9" s="237">
        <v>9.89</v>
      </c>
      <c r="U9" s="237">
        <v>9.6999999999999993</v>
      </c>
      <c r="V9" s="237">
        <v>9.52</v>
      </c>
      <c r="W9" s="237">
        <v>9.34</v>
      </c>
      <c r="X9" s="51">
        <v>5</v>
      </c>
      <c r="Y9" s="757">
        <v>8.75</v>
      </c>
      <c r="Z9" s="237">
        <v>6.77</v>
      </c>
      <c r="AA9" s="131">
        <v>6.9</v>
      </c>
      <c r="AB9" s="122">
        <v>7.03</v>
      </c>
      <c r="AC9" s="123">
        <v>7.16</v>
      </c>
      <c r="AD9" s="288">
        <v>8.36</v>
      </c>
      <c r="AE9" s="289">
        <v>8.49</v>
      </c>
      <c r="AF9" s="289">
        <v>8.6199999999999992</v>
      </c>
      <c r="AG9" s="310">
        <v>8.75</v>
      </c>
      <c r="AH9" s="290">
        <v>8.8800000000000008</v>
      </c>
      <c r="AI9" s="293">
        <v>9</v>
      </c>
      <c r="AJ9" s="293">
        <v>9.1300000000000008</v>
      </c>
      <c r="AK9" s="293">
        <v>9.26</v>
      </c>
      <c r="AL9" s="293">
        <v>9.39</v>
      </c>
      <c r="AM9" s="293">
        <v>9.52</v>
      </c>
      <c r="AN9" s="293">
        <v>9.65</v>
      </c>
      <c r="AO9" s="237">
        <v>8.6999999999999993</v>
      </c>
      <c r="AP9" s="237">
        <v>8.83</v>
      </c>
      <c r="AQ9" s="237">
        <v>8.9499999999999993</v>
      </c>
      <c r="AR9" s="237">
        <v>9.08</v>
      </c>
      <c r="AS9" s="237">
        <v>6.77</v>
      </c>
      <c r="AT9" s="237">
        <v>6.64</v>
      </c>
      <c r="AU9" s="237">
        <v>6.51</v>
      </c>
      <c r="AV9" s="237">
        <v>6.38</v>
      </c>
      <c r="AW9" s="236">
        <v>6.26</v>
      </c>
    </row>
    <row r="10" spans="1:49">
      <c r="A10" s="131">
        <v>11.56</v>
      </c>
      <c r="B10" s="122">
        <v>11.78</v>
      </c>
      <c r="C10" s="123">
        <v>12</v>
      </c>
      <c r="D10" s="288">
        <v>13.52</v>
      </c>
      <c r="E10" s="289">
        <v>13.74</v>
      </c>
      <c r="F10" s="289">
        <v>13.96</v>
      </c>
      <c r="G10" s="289">
        <v>14.18</v>
      </c>
      <c r="H10" s="290">
        <v>14.4</v>
      </c>
      <c r="I10" s="293">
        <v>14.61</v>
      </c>
      <c r="J10" s="293">
        <v>14.83</v>
      </c>
      <c r="K10" s="293">
        <v>15.05</v>
      </c>
      <c r="L10" s="293">
        <v>15.27</v>
      </c>
      <c r="M10" s="293">
        <v>15.49</v>
      </c>
      <c r="N10" s="293">
        <v>15.71</v>
      </c>
      <c r="O10" s="237">
        <v>14.62</v>
      </c>
      <c r="P10" s="237">
        <v>14.84</v>
      </c>
      <c r="Q10" s="237">
        <v>15.06</v>
      </c>
      <c r="R10" s="237">
        <v>15.28</v>
      </c>
      <c r="S10" s="237">
        <v>11.35</v>
      </c>
      <c r="T10" s="237">
        <v>11.13</v>
      </c>
      <c r="U10" s="237">
        <v>10.91</v>
      </c>
      <c r="V10" s="237">
        <v>10.69</v>
      </c>
      <c r="W10" s="237">
        <v>10.47</v>
      </c>
      <c r="X10" s="51">
        <v>6</v>
      </c>
      <c r="Y10" s="757">
        <v>9.8800000000000008</v>
      </c>
      <c r="Z10" s="237">
        <v>7.74</v>
      </c>
      <c r="AA10" s="131">
        <v>7.89</v>
      </c>
      <c r="AB10" s="122">
        <v>8.0399999999999991</v>
      </c>
      <c r="AC10" s="123">
        <v>8.1999999999999993</v>
      </c>
      <c r="AD10" s="288">
        <v>9.49</v>
      </c>
      <c r="AE10" s="289">
        <v>9.65</v>
      </c>
      <c r="AF10" s="289">
        <v>9.8000000000000007</v>
      </c>
      <c r="AG10" s="310">
        <v>9.9499999999999993</v>
      </c>
      <c r="AH10" s="290">
        <v>10.11</v>
      </c>
      <c r="AI10" s="293">
        <v>10.26</v>
      </c>
      <c r="AJ10" s="293">
        <v>10.42</v>
      </c>
      <c r="AK10" s="293">
        <v>10.57</v>
      </c>
      <c r="AL10" s="293">
        <v>10.72</v>
      </c>
      <c r="AM10" s="293">
        <v>10.88</v>
      </c>
      <c r="AN10" s="293">
        <v>11.03</v>
      </c>
      <c r="AO10" s="237">
        <v>10.050000000000001</v>
      </c>
      <c r="AP10" s="237">
        <v>10.199999999999999</v>
      </c>
      <c r="AQ10" s="237">
        <v>10.36</v>
      </c>
      <c r="AR10" s="237">
        <v>10.51</v>
      </c>
      <c r="AS10" s="237">
        <v>7.74</v>
      </c>
      <c r="AT10" s="237">
        <v>7.58</v>
      </c>
      <c r="AU10" s="237">
        <v>7.43</v>
      </c>
      <c r="AV10" s="237">
        <v>7.27</v>
      </c>
      <c r="AW10" s="236">
        <v>7.12</v>
      </c>
    </row>
    <row r="11" spans="1:49">
      <c r="A11" s="131">
        <v>12.88</v>
      </c>
      <c r="B11" s="122">
        <v>13.13</v>
      </c>
      <c r="C11" s="123">
        <v>13.39</v>
      </c>
      <c r="D11" s="288">
        <v>14.99</v>
      </c>
      <c r="E11" s="289">
        <v>15.24</v>
      </c>
      <c r="F11" s="289">
        <v>15.5</v>
      </c>
      <c r="G11" s="289">
        <v>15.75</v>
      </c>
      <c r="H11" s="290">
        <v>16.010000000000002</v>
      </c>
      <c r="I11" s="293">
        <v>16.260000000000002</v>
      </c>
      <c r="J11" s="293">
        <v>16.52</v>
      </c>
      <c r="K11" s="293">
        <v>16.77</v>
      </c>
      <c r="L11" s="293">
        <v>17.03</v>
      </c>
      <c r="M11" s="293">
        <v>17.28</v>
      </c>
      <c r="N11" s="293">
        <v>17.54</v>
      </c>
      <c r="O11" s="237">
        <v>16.440000000000001</v>
      </c>
      <c r="P11" s="237">
        <v>16.7</v>
      </c>
      <c r="Q11" s="237">
        <v>16.95</v>
      </c>
      <c r="R11" s="237">
        <v>17.21</v>
      </c>
      <c r="S11" s="237">
        <v>12.62</v>
      </c>
      <c r="T11" s="237">
        <v>12.37</v>
      </c>
      <c r="U11" s="237">
        <v>12.11</v>
      </c>
      <c r="V11" s="237">
        <v>11.86</v>
      </c>
      <c r="W11" s="237">
        <v>11.6</v>
      </c>
      <c r="X11" s="51">
        <v>7</v>
      </c>
      <c r="Y11" s="757">
        <v>11.01</v>
      </c>
      <c r="Z11" s="237">
        <v>8.6999999999999993</v>
      </c>
      <c r="AA11" s="131">
        <v>8.8800000000000008</v>
      </c>
      <c r="AB11" s="122">
        <v>9.06</v>
      </c>
      <c r="AC11" s="123">
        <v>9.24</v>
      </c>
      <c r="AD11" s="288">
        <v>10.62</v>
      </c>
      <c r="AE11" s="289">
        <v>10.8</v>
      </c>
      <c r="AF11" s="289">
        <v>10.98</v>
      </c>
      <c r="AG11" s="310">
        <v>11.16</v>
      </c>
      <c r="AH11" s="290">
        <v>11.34</v>
      </c>
      <c r="AI11" s="293">
        <v>11.52</v>
      </c>
      <c r="AJ11" s="293">
        <v>11.7</v>
      </c>
      <c r="AK11" s="293">
        <v>11.88</v>
      </c>
      <c r="AL11" s="293">
        <v>12.06</v>
      </c>
      <c r="AM11" s="293">
        <v>12.24</v>
      </c>
      <c r="AN11" s="293">
        <v>12.42</v>
      </c>
      <c r="AO11" s="237">
        <v>11.4</v>
      </c>
      <c r="AP11" s="237">
        <v>11.58</v>
      </c>
      <c r="AQ11" s="237">
        <v>11.76</v>
      </c>
      <c r="AR11" s="237">
        <v>11.94</v>
      </c>
      <c r="AS11" s="237">
        <v>8.6999999999999993</v>
      </c>
      <c r="AT11" s="237">
        <v>8.52</v>
      </c>
      <c r="AU11" s="237">
        <v>8.34</v>
      </c>
      <c r="AV11" s="237">
        <v>8.16</v>
      </c>
      <c r="AW11" s="236">
        <v>7.98</v>
      </c>
    </row>
    <row r="12" spans="1:49">
      <c r="A12" s="131">
        <v>14.33</v>
      </c>
      <c r="B12" s="122">
        <v>14.62</v>
      </c>
      <c r="C12" s="123">
        <v>14.91</v>
      </c>
      <c r="D12" s="288">
        <v>16.63</v>
      </c>
      <c r="E12" s="289">
        <v>16.920000000000002</v>
      </c>
      <c r="F12" s="289">
        <v>17.21</v>
      </c>
      <c r="G12" s="289">
        <v>17.5</v>
      </c>
      <c r="H12" s="290">
        <v>17.79</v>
      </c>
      <c r="I12" s="293">
        <v>18.09</v>
      </c>
      <c r="J12" s="293">
        <v>18.38</v>
      </c>
      <c r="K12" s="293">
        <v>18.670000000000002</v>
      </c>
      <c r="L12" s="293">
        <v>18.96</v>
      </c>
      <c r="M12" s="293">
        <v>19.25</v>
      </c>
      <c r="N12" s="293">
        <v>19.54</v>
      </c>
      <c r="O12" s="237">
        <v>18.41</v>
      </c>
      <c r="P12" s="237">
        <v>18.7</v>
      </c>
      <c r="Q12" s="237">
        <v>18.989999999999998</v>
      </c>
      <c r="R12" s="237">
        <v>19.28</v>
      </c>
      <c r="S12" s="237">
        <v>14.04</v>
      </c>
      <c r="T12" s="237">
        <v>13.75</v>
      </c>
      <c r="U12" s="237">
        <v>13.46</v>
      </c>
      <c r="V12" s="237">
        <v>13.16</v>
      </c>
      <c r="W12" s="237">
        <v>12.87</v>
      </c>
      <c r="X12" s="51">
        <v>8</v>
      </c>
      <c r="Y12" s="757">
        <v>12.14</v>
      </c>
      <c r="Z12" s="237">
        <v>9.67</v>
      </c>
      <c r="AA12" s="131">
        <v>9.8699999999999992</v>
      </c>
      <c r="AB12" s="122">
        <v>10.08</v>
      </c>
      <c r="AC12" s="123">
        <v>10.28</v>
      </c>
      <c r="AD12" s="288">
        <v>11.75</v>
      </c>
      <c r="AE12" s="289">
        <v>11.95</v>
      </c>
      <c r="AF12" s="289">
        <v>12.16</v>
      </c>
      <c r="AG12" s="310">
        <v>12.37</v>
      </c>
      <c r="AH12" s="290">
        <v>12.57</v>
      </c>
      <c r="AI12" s="293">
        <v>12.78</v>
      </c>
      <c r="AJ12" s="293">
        <v>12.98</v>
      </c>
      <c r="AK12" s="293">
        <v>13.19</v>
      </c>
      <c r="AL12" s="293">
        <v>13.39</v>
      </c>
      <c r="AM12" s="293">
        <v>13.6</v>
      </c>
      <c r="AN12" s="293">
        <v>13.8</v>
      </c>
      <c r="AO12" s="237">
        <v>12.75</v>
      </c>
      <c r="AP12" s="237">
        <v>12.96</v>
      </c>
      <c r="AQ12" s="237">
        <v>13.16</v>
      </c>
      <c r="AR12" s="237">
        <v>13.37</v>
      </c>
      <c r="AS12" s="237">
        <v>9.67</v>
      </c>
      <c r="AT12" s="237">
        <v>9.4600000000000009</v>
      </c>
      <c r="AU12" s="237">
        <v>9.26</v>
      </c>
      <c r="AV12" s="237">
        <v>9.0500000000000007</v>
      </c>
      <c r="AW12" s="236">
        <v>8.84</v>
      </c>
    </row>
    <row r="13" spans="1:49">
      <c r="A13" s="131">
        <v>16.03</v>
      </c>
      <c r="B13" s="122">
        <v>16.36</v>
      </c>
      <c r="C13" s="123">
        <v>16.68</v>
      </c>
      <c r="D13" s="288">
        <v>18.59</v>
      </c>
      <c r="E13" s="289">
        <v>18.920000000000002</v>
      </c>
      <c r="F13" s="289">
        <v>19.25</v>
      </c>
      <c r="G13" s="289">
        <v>19.57</v>
      </c>
      <c r="H13" s="290">
        <v>19.899999999999999</v>
      </c>
      <c r="I13" s="293">
        <v>20.23</v>
      </c>
      <c r="J13" s="293">
        <v>20.56</v>
      </c>
      <c r="K13" s="293">
        <v>20.88</v>
      </c>
      <c r="L13" s="293">
        <v>21.21</v>
      </c>
      <c r="M13" s="293">
        <v>21.54</v>
      </c>
      <c r="N13" s="293">
        <v>21.87</v>
      </c>
      <c r="O13" s="237">
        <v>20.62</v>
      </c>
      <c r="P13" s="237">
        <v>20.94</v>
      </c>
      <c r="Q13" s="237">
        <v>21.27</v>
      </c>
      <c r="R13" s="237">
        <v>21.6</v>
      </c>
      <c r="S13" s="237">
        <v>15.7</v>
      </c>
      <c r="T13" s="237">
        <v>15.37</v>
      </c>
      <c r="U13" s="237">
        <v>15.05</v>
      </c>
      <c r="V13" s="237">
        <v>14.72</v>
      </c>
      <c r="W13" s="237">
        <v>14.39</v>
      </c>
      <c r="X13" s="51">
        <v>9</v>
      </c>
      <c r="Y13" s="757">
        <v>13.27</v>
      </c>
      <c r="Z13" s="237">
        <v>10.63</v>
      </c>
      <c r="AA13" s="131">
        <v>10.86</v>
      </c>
      <c r="AB13" s="122">
        <v>11.09</v>
      </c>
      <c r="AC13" s="123">
        <v>11.33</v>
      </c>
      <c r="AD13" s="288">
        <v>12.88</v>
      </c>
      <c r="AE13" s="289">
        <v>13.11</v>
      </c>
      <c r="AF13" s="289">
        <v>13.34</v>
      </c>
      <c r="AG13" s="310">
        <v>13.57</v>
      </c>
      <c r="AH13" s="290">
        <v>13.8</v>
      </c>
      <c r="AI13" s="293">
        <v>14.04</v>
      </c>
      <c r="AJ13" s="293">
        <v>14.27</v>
      </c>
      <c r="AK13" s="293">
        <v>14.5</v>
      </c>
      <c r="AL13" s="293">
        <v>14.73</v>
      </c>
      <c r="AM13" s="293">
        <v>14.96</v>
      </c>
      <c r="AN13" s="293">
        <v>15.19</v>
      </c>
      <c r="AO13" s="237">
        <v>14.1</v>
      </c>
      <c r="AP13" s="237">
        <v>14.33</v>
      </c>
      <c r="AQ13" s="237">
        <v>14.56</v>
      </c>
      <c r="AR13" s="237">
        <v>14.8</v>
      </c>
      <c r="AS13" s="237">
        <v>10.63</v>
      </c>
      <c r="AT13" s="237">
        <v>10.4</v>
      </c>
      <c r="AU13" s="237">
        <v>10.17</v>
      </c>
      <c r="AV13" s="237">
        <v>9.94</v>
      </c>
      <c r="AW13" s="236">
        <v>9.7100000000000009</v>
      </c>
    </row>
    <row r="14" spans="1:49">
      <c r="A14" s="131">
        <v>17.73</v>
      </c>
      <c r="B14" s="122">
        <v>18.09</v>
      </c>
      <c r="C14" s="123">
        <v>18.46</v>
      </c>
      <c r="D14" s="288">
        <v>20.55</v>
      </c>
      <c r="E14" s="289">
        <v>20.92</v>
      </c>
      <c r="F14" s="289">
        <v>21.28</v>
      </c>
      <c r="G14" s="289">
        <v>21.64</v>
      </c>
      <c r="H14" s="290">
        <v>22.01</v>
      </c>
      <c r="I14" s="293">
        <v>22.37</v>
      </c>
      <c r="J14" s="293">
        <v>22.4</v>
      </c>
      <c r="K14" s="293">
        <v>23.1</v>
      </c>
      <c r="L14" s="293">
        <v>23.46</v>
      </c>
      <c r="M14" s="293">
        <v>23.83</v>
      </c>
      <c r="N14" s="293">
        <v>24.19</v>
      </c>
      <c r="O14" s="237">
        <v>22.82</v>
      </c>
      <c r="P14" s="237">
        <v>23.19</v>
      </c>
      <c r="Q14" s="237">
        <v>23.55</v>
      </c>
      <c r="R14" s="237">
        <v>23.92</v>
      </c>
      <c r="S14" s="237">
        <v>17.36</v>
      </c>
      <c r="T14" s="237">
        <v>17</v>
      </c>
      <c r="U14" s="237">
        <v>16.64</v>
      </c>
      <c r="V14" s="237">
        <v>16.27</v>
      </c>
      <c r="W14" s="237">
        <v>15.91</v>
      </c>
      <c r="X14" s="51">
        <v>10</v>
      </c>
      <c r="Y14" s="757">
        <v>14.4</v>
      </c>
      <c r="Z14" s="237">
        <v>11.6</v>
      </c>
      <c r="AA14" s="131">
        <v>11.85</v>
      </c>
      <c r="AB14" s="122">
        <v>12.11</v>
      </c>
      <c r="AC14" s="123">
        <v>12.37</v>
      </c>
      <c r="AD14" s="288">
        <v>14.01</v>
      </c>
      <c r="AE14" s="289">
        <v>14.26</v>
      </c>
      <c r="AF14" s="289">
        <v>14.52</v>
      </c>
      <c r="AG14" s="310">
        <v>14.78</v>
      </c>
      <c r="AH14" s="290">
        <v>15.04</v>
      </c>
      <c r="AI14" s="293">
        <v>15.29</v>
      </c>
      <c r="AJ14" s="293">
        <v>15.55</v>
      </c>
      <c r="AK14" s="293">
        <v>15.81</v>
      </c>
      <c r="AL14" s="293">
        <v>16.059999999999999</v>
      </c>
      <c r="AM14" s="293">
        <v>16.32</v>
      </c>
      <c r="AN14" s="293">
        <v>16.579999999999998</v>
      </c>
      <c r="AO14" s="237">
        <v>15.45</v>
      </c>
      <c r="AP14" s="237">
        <v>15.71</v>
      </c>
      <c r="AQ14" s="237">
        <v>15.97</v>
      </c>
      <c r="AR14" s="237">
        <v>16.22</v>
      </c>
      <c r="AS14" s="237">
        <v>11.6</v>
      </c>
      <c r="AT14" s="237">
        <v>11.34</v>
      </c>
      <c r="AU14" s="237">
        <v>11.08</v>
      </c>
      <c r="AV14" s="237">
        <v>10.83</v>
      </c>
      <c r="AW14" s="236">
        <v>10.57</v>
      </c>
    </row>
    <row r="15" spans="1:49">
      <c r="A15" s="131">
        <v>19.43</v>
      </c>
      <c r="B15" s="122">
        <v>19.829999999999998</v>
      </c>
      <c r="C15" s="123">
        <v>20.23</v>
      </c>
      <c r="D15" s="288">
        <v>22.51</v>
      </c>
      <c r="E15" s="289">
        <v>22.91</v>
      </c>
      <c r="F15" s="289">
        <v>23.31</v>
      </c>
      <c r="G15" s="289">
        <v>23.71</v>
      </c>
      <c r="H15" s="290">
        <v>24.11</v>
      </c>
      <c r="I15" s="293">
        <v>24.51</v>
      </c>
      <c r="J15" s="293">
        <v>24.91</v>
      </c>
      <c r="K15" s="293">
        <v>25.31</v>
      </c>
      <c r="L15" s="293">
        <v>25.72</v>
      </c>
      <c r="M15" s="293">
        <v>26.12</v>
      </c>
      <c r="N15" s="293">
        <v>26.52</v>
      </c>
      <c r="O15" s="237">
        <v>25.03</v>
      </c>
      <c r="P15" s="237">
        <v>25.43</v>
      </c>
      <c r="Q15" s="237">
        <v>25.83</v>
      </c>
      <c r="R15" s="237">
        <v>26.23</v>
      </c>
      <c r="S15" s="237">
        <v>19.03</v>
      </c>
      <c r="T15" s="237">
        <v>18.63</v>
      </c>
      <c r="U15" s="237">
        <v>18.23</v>
      </c>
      <c r="V15" s="237">
        <v>17.829999999999998</v>
      </c>
      <c r="W15" s="237">
        <v>17.43</v>
      </c>
      <c r="X15" s="51">
        <v>11</v>
      </c>
      <c r="Y15" s="757">
        <v>15.52</v>
      </c>
      <c r="Z15" s="237">
        <v>12.56</v>
      </c>
      <c r="AA15" s="131">
        <v>12.84</v>
      </c>
      <c r="AB15" s="122">
        <v>13.13</v>
      </c>
      <c r="AC15" s="123">
        <v>13.41</v>
      </c>
      <c r="AD15" s="288">
        <v>15.14</v>
      </c>
      <c r="AE15" s="289">
        <v>15.42</v>
      </c>
      <c r="AF15" s="289">
        <v>15.7</v>
      </c>
      <c r="AG15" s="310">
        <v>15.98</v>
      </c>
      <c r="AH15" s="290">
        <v>16.27</v>
      </c>
      <c r="AI15" s="293">
        <v>16.55</v>
      </c>
      <c r="AJ15" s="293">
        <v>16.829999999999998</v>
      </c>
      <c r="AK15" s="293">
        <v>17.11</v>
      </c>
      <c r="AL15" s="293">
        <v>17.399999999999999</v>
      </c>
      <c r="AM15" s="293">
        <v>17.68</v>
      </c>
      <c r="AN15" s="293">
        <v>17.96</v>
      </c>
      <c r="AO15" s="237">
        <v>16.8</v>
      </c>
      <c r="AP15" s="237">
        <v>17.09</v>
      </c>
      <c r="AQ15" s="237">
        <v>17.37</v>
      </c>
      <c r="AR15" s="237">
        <v>17.649999999999999</v>
      </c>
      <c r="AS15" s="237">
        <v>12.56</v>
      </c>
      <c r="AT15" s="237">
        <v>12.28</v>
      </c>
      <c r="AU15" s="237">
        <v>12</v>
      </c>
      <c r="AV15" s="237">
        <v>11.71</v>
      </c>
      <c r="AW15" s="236">
        <v>11.43</v>
      </c>
    </row>
    <row r="16" spans="1:49">
      <c r="A16" s="131">
        <v>21.13</v>
      </c>
      <c r="B16" s="122">
        <v>21.56</v>
      </c>
      <c r="C16" s="123">
        <v>22</v>
      </c>
      <c r="D16" s="288">
        <v>24.47</v>
      </c>
      <c r="E16" s="289">
        <v>24.91</v>
      </c>
      <c r="F16" s="289">
        <v>25.35</v>
      </c>
      <c r="G16" s="289">
        <v>25.78</v>
      </c>
      <c r="H16" s="290">
        <v>26.22</v>
      </c>
      <c r="I16" s="293">
        <v>26.66</v>
      </c>
      <c r="J16" s="293">
        <v>27.09</v>
      </c>
      <c r="K16" s="293">
        <v>27.53</v>
      </c>
      <c r="L16" s="293">
        <v>27.97</v>
      </c>
      <c r="M16" s="293">
        <v>28.4</v>
      </c>
      <c r="N16" s="293">
        <v>28.84</v>
      </c>
      <c r="O16" s="237">
        <v>27.24</v>
      </c>
      <c r="P16" s="237">
        <v>27.68</v>
      </c>
      <c r="Q16" s="237">
        <v>28.11</v>
      </c>
      <c r="R16" s="237">
        <v>28.55</v>
      </c>
      <c r="S16" s="237">
        <v>20.69</v>
      </c>
      <c r="T16" s="237">
        <v>20.25</v>
      </c>
      <c r="U16" s="237">
        <v>19.82</v>
      </c>
      <c r="V16" s="237">
        <v>19.38</v>
      </c>
      <c r="W16" s="237">
        <v>18.940000000000001</v>
      </c>
      <c r="X16" s="51">
        <v>12</v>
      </c>
      <c r="Y16" s="757">
        <v>16.649999999999999</v>
      </c>
      <c r="Z16" s="237">
        <v>13.53</v>
      </c>
      <c r="AA16" s="131">
        <v>13.84</v>
      </c>
      <c r="AB16" s="122">
        <v>14.14</v>
      </c>
      <c r="AC16" s="123">
        <v>14.45</v>
      </c>
      <c r="AD16" s="288">
        <v>16.27</v>
      </c>
      <c r="AE16" s="289">
        <v>16.57</v>
      </c>
      <c r="AF16" s="289">
        <v>16.88</v>
      </c>
      <c r="AG16" s="310">
        <v>17.190000000000001</v>
      </c>
      <c r="AH16" s="290">
        <v>17.5</v>
      </c>
      <c r="AI16" s="293">
        <v>17.809999999999999</v>
      </c>
      <c r="AJ16" s="293">
        <v>18.12</v>
      </c>
      <c r="AK16" s="293">
        <v>18.420000000000002</v>
      </c>
      <c r="AL16" s="293">
        <v>18.73</v>
      </c>
      <c r="AM16" s="293">
        <v>19.04</v>
      </c>
      <c r="AN16" s="293">
        <v>19.350000000000001</v>
      </c>
      <c r="AO16" s="237">
        <v>18.149999999999999</v>
      </c>
      <c r="AP16" s="237">
        <v>18.46</v>
      </c>
      <c r="AQ16" s="237">
        <v>18.77</v>
      </c>
      <c r="AR16" s="237">
        <v>19.079999999999998</v>
      </c>
      <c r="AS16" s="237">
        <v>13.53</v>
      </c>
      <c r="AT16" s="237">
        <v>13.22</v>
      </c>
      <c r="AU16" s="237">
        <v>12.91</v>
      </c>
      <c r="AV16" s="237">
        <v>12.6</v>
      </c>
      <c r="AW16" s="236">
        <v>12.29</v>
      </c>
    </row>
    <row r="17" spans="1:49">
      <c r="A17" s="131">
        <v>22.83</v>
      </c>
      <c r="B17" s="122">
        <v>23.3</v>
      </c>
      <c r="C17" s="123">
        <v>23.77</v>
      </c>
      <c r="D17" s="288">
        <v>26.43</v>
      </c>
      <c r="E17" s="289">
        <v>26.91</v>
      </c>
      <c r="F17" s="289">
        <v>27.38</v>
      </c>
      <c r="G17" s="289">
        <v>27.85</v>
      </c>
      <c r="H17" s="290">
        <v>28.33</v>
      </c>
      <c r="I17" s="293">
        <v>28.8</v>
      </c>
      <c r="J17" s="293">
        <v>29.27</v>
      </c>
      <c r="K17" s="293">
        <v>29.75</v>
      </c>
      <c r="L17" s="293">
        <v>30.22</v>
      </c>
      <c r="M17" s="293">
        <v>30.69</v>
      </c>
      <c r="N17" s="293">
        <v>31.17</v>
      </c>
      <c r="O17" s="237">
        <v>29.45</v>
      </c>
      <c r="P17" s="237">
        <v>29.92</v>
      </c>
      <c r="Q17" s="237">
        <v>30.4</v>
      </c>
      <c r="R17" s="237">
        <v>30.87</v>
      </c>
      <c r="S17" s="237">
        <v>22.35</v>
      </c>
      <c r="T17" s="237">
        <v>21.88</v>
      </c>
      <c r="U17" s="237">
        <v>21.41</v>
      </c>
      <c r="V17" s="237">
        <v>20.93</v>
      </c>
      <c r="W17" s="237">
        <v>20.46</v>
      </c>
      <c r="X17" s="51">
        <v>13</v>
      </c>
      <c r="Y17" s="757">
        <v>17.78</v>
      </c>
      <c r="Z17" s="237">
        <v>14.49</v>
      </c>
      <c r="AA17" s="131">
        <v>14.83</v>
      </c>
      <c r="AB17" s="122">
        <v>15.16</v>
      </c>
      <c r="AC17" s="123">
        <v>15.5</v>
      </c>
      <c r="AD17" s="288">
        <v>17.39</v>
      </c>
      <c r="AE17" s="289">
        <v>17.73</v>
      </c>
      <c r="AF17" s="289">
        <v>18.059999999999999</v>
      </c>
      <c r="AG17" s="310">
        <v>18.399999999999999</v>
      </c>
      <c r="AH17" s="290">
        <v>18.73</v>
      </c>
      <c r="AI17" s="293">
        <v>19.07</v>
      </c>
      <c r="AJ17" s="293">
        <v>19.399999999999999</v>
      </c>
      <c r="AK17" s="293">
        <v>19.73</v>
      </c>
      <c r="AL17" s="293">
        <v>20.07</v>
      </c>
      <c r="AM17" s="293">
        <v>20.399999999999999</v>
      </c>
      <c r="AN17" s="293">
        <v>20.74</v>
      </c>
      <c r="AO17" s="237">
        <v>19.510000000000002</v>
      </c>
      <c r="AP17" s="237">
        <v>19.84</v>
      </c>
      <c r="AQ17" s="237">
        <v>20.170000000000002</v>
      </c>
      <c r="AR17" s="237">
        <v>20.51</v>
      </c>
      <c r="AS17" s="237">
        <v>14.49</v>
      </c>
      <c r="AT17" s="237">
        <v>14.16</v>
      </c>
      <c r="AU17" s="237">
        <v>13.83</v>
      </c>
      <c r="AV17" s="237">
        <v>13.49</v>
      </c>
      <c r="AW17" s="236">
        <v>13.16</v>
      </c>
    </row>
    <row r="18" spans="1:49">
      <c r="A18" s="131">
        <v>24.53</v>
      </c>
      <c r="B18" s="122">
        <v>25.04</v>
      </c>
      <c r="C18" s="123">
        <v>25.55</v>
      </c>
      <c r="D18" s="288">
        <v>28.39</v>
      </c>
      <c r="E18" s="289">
        <v>28.9</v>
      </c>
      <c r="F18" s="289">
        <v>29.41</v>
      </c>
      <c r="G18" s="289">
        <v>29.92</v>
      </c>
      <c r="H18" s="290">
        <v>30.43</v>
      </c>
      <c r="I18" s="293">
        <v>30.94</v>
      </c>
      <c r="J18" s="293">
        <v>31.45</v>
      </c>
      <c r="K18" s="293">
        <v>31.96</v>
      </c>
      <c r="L18" s="293">
        <v>32.47</v>
      </c>
      <c r="M18" s="293">
        <v>32.979999999999997</v>
      </c>
      <c r="N18" s="293">
        <v>33.49</v>
      </c>
      <c r="O18" s="237">
        <v>31.66</v>
      </c>
      <c r="P18" s="237">
        <v>32.17</v>
      </c>
      <c r="Q18" s="237">
        <v>32.68</v>
      </c>
      <c r="R18" s="237">
        <v>33.19</v>
      </c>
      <c r="S18" s="237">
        <v>24.02</v>
      </c>
      <c r="T18" s="237">
        <v>23.51</v>
      </c>
      <c r="U18" s="237">
        <v>23</v>
      </c>
      <c r="V18" s="237">
        <v>22.49</v>
      </c>
      <c r="W18" s="237">
        <v>21.98</v>
      </c>
      <c r="X18" s="51">
        <v>14</v>
      </c>
      <c r="Y18" s="757">
        <v>18.91</v>
      </c>
      <c r="Z18" s="237">
        <v>15.46</v>
      </c>
      <c r="AA18" s="131">
        <v>15.82</v>
      </c>
      <c r="AB18" s="122">
        <v>16.18</v>
      </c>
      <c r="AC18" s="123">
        <v>16.54</v>
      </c>
      <c r="AD18" s="288">
        <v>18.52</v>
      </c>
      <c r="AE18" s="289">
        <v>18.88</v>
      </c>
      <c r="AF18" s="289">
        <v>19.239999999999998</v>
      </c>
      <c r="AG18" s="310">
        <v>19.600000000000001</v>
      </c>
      <c r="AH18" s="290">
        <v>19.96</v>
      </c>
      <c r="AI18" s="293">
        <v>20.32</v>
      </c>
      <c r="AJ18" s="293">
        <v>20.68</v>
      </c>
      <c r="AK18" s="293">
        <v>21.04</v>
      </c>
      <c r="AL18" s="293">
        <v>21.4</v>
      </c>
      <c r="AM18" s="293">
        <v>21.76</v>
      </c>
      <c r="AN18" s="293">
        <v>22.12</v>
      </c>
      <c r="AO18" s="237">
        <v>20.86</v>
      </c>
      <c r="AP18" s="237">
        <v>21.22</v>
      </c>
      <c r="AQ18" s="237">
        <v>21.58</v>
      </c>
      <c r="AR18" s="237">
        <v>21.94</v>
      </c>
      <c r="AS18" s="237">
        <v>15.46</v>
      </c>
      <c r="AT18" s="237">
        <v>15.1</v>
      </c>
      <c r="AU18" s="237">
        <v>14.74</v>
      </c>
      <c r="AV18" s="237">
        <v>14.38</v>
      </c>
      <c r="AW18" s="236">
        <v>14.02</v>
      </c>
    </row>
    <row r="19" spans="1:49">
      <c r="A19" s="131">
        <v>26.22</v>
      </c>
      <c r="B19" s="122">
        <v>26.77</v>
      </c>
      <c r="C19" s="123">
        <v>27.32</v>
      </c>
      <c r="D19" s="288">
        <v>30.35</v>
      </c>
      <c r="E19" s="289">
        <v>30.9</v>
      </c>
      <c r="F19" s="289">
        <v>31.45</v>
      </c>
      <c r="G19" s="289">
        <v>31.99</v>
      </c>
      <c r="H19" s="290">
        <v>32.54</v>
      </c>
      <c r="I19" s="293">
        <v>33.08</v>
      </c>
      <c r="J19" s="293">
        <v>33.630000000000003</v>
      </c>
      <c r="K19" s="293">
        <v>34.18</v>
      </c>
      <c r="L19" s="293">
        <v>34.72</v>
      </c>
      <c r="M19" s="293">
        <v>35.270000000000003</v>
      </c>
      <c r="N19" s="293">
        <v>35.81</v>
      </c>
      <c r="O19" s="237">
        <v>33.869999999999997</v>
      </c>
      <c r="P19" s="237">
        <v>34.409999999999997</v>
      </c>
      <c r="Q19" s="237">
        <v>34.96</v>
      </c>
      <c r="R19" s="237">
        <v>35.51</v>
      </c>
      <c r="S19" s="237">
        <v>25.68</v>
      </c>
      <c r="T19" s="237">
        <v>25.13</v>
      </c>
      <c r="U19" s="237">
        <v>24.59</v>
      </c>
      <c r="V19" s="237">
        <v>24.04</v>
      </c>
      <c r="W19" s="237">
        <v>23.49</v>
      </c>
      <c r="X19" s="51">
        <v>15</v>
      </c>
      <c r="Y19" s="757">
        <v>20.09</v>
      </c>
      <c r="Z19" s="237">
        <v>16.46</v>
      </c>
      <c r="AA19" s="131">
        <v>16.850000000000001</v>
      </c>
      <c r="AB19" s="122">
        <v>17.23</v>
      </c>
      <c r="AC19" s="123">
        <v>17.62</v>
      </c>
      <c r="AD19" s="288">
        <v>19.7</v>
      </c>
      <c r="AE19" s="289">
        <v>20.09</v>
      </c>
      <c r="AF19" s="289">
        <v>20.47</v>
      </c>
      <c r="AG19" s="310">
        <v>20.86</v>
      </c>
      <c r="AH19" s="290">
        <v>21.24</v>
      </c>
      <c r="AI19" s="293">
        <v>21.63</v>
      </c>
      <c r="AJ19" s="293">
        <v>22.02</v>
      </c>
      <c r="AK19" s="293">
        <v>22.4</v>
      </c>
      <c r="AL19" s="293">
        <v>22.79</v>
      </c>
      <c r="AM19" s="293">
        <v>23.17</v>
      </c>
      <c r="AN19" s="293">
        <v>23.56</v>
      </c>
      <c r="AO19" s="237">
        <v>22.24</v>
      </c>
      <c r="AP19" s="237">
        <v>22.63</v>
      </c>
      <c r="AQ19" s="237">
        <v>23.01</v>
      </c>
      <c r="AR19" s="237">
        <v>23.4</v>
      </c>
      <c r="AS19" s="237">
        <v>16.46</v>
      </c>
      <c r="AT19" s="237">
        <v>16.07</v>
      </c>
      <c r="AU19" s="237">
        <v>15.69</v>
      </c>
      <c r="AV19" s="237">
        <v>15.3</v>
      </c>
      <c r="AW19" s="236">
        <v>14.92</v>
      </c>
    </row>
    <row r="20" spans="1:49">
      <c r="A20" s="131">
        <v>27.93</v>
      </c>
      <c r="B20" s="122">
        <v>28.51</v>
      </c>
      <c r="C20" s="123">
        <v>29.09</v>
      </c>
      <c r="D20" s="288">
        <v>32.32</v>
      </c>
      <c r="E20" s="289">
        <v>32.9</v>
      </c>
      <c r="F20" s="289">
        <v>33.479999999999997</v>
      </c>
      <c r="G20" s="289">
        <v>34.06</v>
      </c>
      <c r="H20" s="290">
        <v>34.65</v>
      </c>
      <c r="I20" s="293">
        <v>35.229999999999997</v>
      </c>
      <c r="J20" s="293">
        <v>35.81</v>
      </c>
      <c r="K20" s="293">
        <v>36.39</v>
      </c>
      <c r="L20" s="293">
        <v>36.979999999999997</v>
      </c>
      <c r="M20" s="293">
        <v>37.56</v>
      </c>
      <c r="N20" s="293">
        <v>38.14</v>
      </c>
      <c r="O20" s="237">
        <v>36.08</v>
      </c>
      <c r="P20" s="237">
        <v>36.659999999999997</v>
      </c>
      <c r="Q20" s="237">
        <v>37.24</v>
      </c>
      <c r="R20" s="237">
        <v>37.83</v>
      </c>
      <c r="S20" s="237">
        <v>27.34</v>
      </c>
      <c r="T20" s="237">
        <v>26.76</v>
      </c>
      <c r="U20" s="237">
        <v>26.18</v>
      </c>
      <c r="V20" s="237">
        <v>25.6</v>
      </c>
      <c r="W20" s="237">
        <v>25.01</v>
      </c>
      <c r="X20" s="51">
        <v>16</v>
      </c>
      <c r="Y20" s="757">
        <v>21.39</v>
      </c>
      <c r="Z20" s="237">
        <v>17.53</v>
      </c>
      <c r="AA20" s="131">
        <v>17.940000000000001</v>
      </c>
      <c r="AB20" s="122">
        <v>18.350000000000001</v>
      </c>
      <c r="AC20" s="123">
        <v>18.760000000000002</v>
      </c>
      <c r="AD20" s="288">
        <v>20.98</v>
      </c>
      <c r="AE20" s="289">
        <v>21.39</v>
      </c>
      <c r="AF20" s="289">
        <v>21.8</v>
      </c>
      <c r="AG20" s="310">
        <v>22.21</v>
      </c>
      <c r="AH20" s="290">
        <v>22.62</v>
      </c>
      <c r="AI20" s="293">
        <v>23.04</v>
      </c>
      <c r="AJ20" s="293">
        <v>23.45</v>
      </c>
      <c r="AK20" s="293">
        <v>23.86</v>
      </c>
      <c r="AL20" s="293">
        <v>24.27</v>
      </c>
      <c r="AM20" s="293">
        <v>24.68</v>
      </c>
      <c r="AN20" s="293">
        <v>25.09</v>
      </c>
      <c r="AO20" s="237">
        <v>23.7</v>
      </c>
      <c r="AP20" s="237">
        <v>24.11</v>
      </c>
      <c r="AQ20" s="237">
        <v>24.52</v>
      </c>
      <c r="AR20" s="237">
        <v>24.93</v>
      </c>
      <c r="AS20" s="237">
        <v>17.53</v>
      </c>
      <c r="AT20" s="237">
        <v>17.12</v>
      </c>
      <c r="AU20" s="237">
        <v>16.71</v>
      </c>
      <c r="AV20" s="237">
        <v>16.3</v>
      </c>
      <c r="AW20" s="236">
        <v>15.89</v>
      </c>
    </row>
    <row r="21" spans="1:49">
      <c r="A21" s="131">
        <v>29.62</v>
      </c>
      <c r="B21" s="122">
        <v>30.24</v>
      </c>
      <c r="C21" s="123">
        <v>30.86</v>
      </c>
      <c r="D21" s="288">
        <v>34.28</v>
      </c>
      <c r="E21" s="289">
        <v>34.89</v>
      </c>
      <c r="F21" s="289">
        <v>35.51</v>
      </c>
      <c r="G21" s="289">
        <v>36.130000000000003</v>
      </c>
      <c r="H21" s="290">
        <v>36.75</v>
      </c>
      <c r="I21" s="293">
        <v>37.369999999999997</v>
      </c>
      <c r="J21" s="293">
        <v>37.99</v>
      </c>
      <c r="K21" s="293">
        <v>38.61</v>
      </c>
      <c r="L21" s="293">
        <v>39.229999999999997</v>
      </c>
      <c r="M21" s="293">
        <v>39.840000000000003</v>
      </c>
      <c r="N21" s="293">
        <v>40.46</v>
      </c>
      <c r="O21" s="237">
        <v>38.29</v>
      </c>
      <c r="P21" s="237">
        <v>38.909999999999997</v>
      </c>
      <c r="Q21" s="237">
        <v>39.520000000000003</v>
      </c>
      <c r="R21" s="237">
        <v>40.14</v>
      </c>
      <c r="S21" s="237">
        <v>29</v>
      </c>
      <c r="T21" s="237">
        <v>28.39</v>
      </c>
      <c r="U21" s="237">
        <v>27.77</v>
      </c>
      <c r="V21" s="237">
        <v>27.15</v>
      </c>
      <c r="W21" s="237">
        <v>26.53</v>
      </c>
      <c r="X21" s="51">
        <v>17</v>
      </c>
      <c r="Y21" s="757">
        <v>22.69</v>
      </c>
      <c r="Z21" s="237">
        <v>18.600000000000001</v>
      </c>
      <c r="AA21" s="131">
        <v>19.04</v>
      </c>
      <c r="AB21" s="122">
        <v>19.48</v>
      </c>
      <c r="AC21" s="123">
        <v>19.91</v>
      </c>
      <c r="AD21" s="288">
        <v>22.26</v>
      </c>
      <c r="AE21" s="289">
        <v>22.69</v>
      </c>
      <c r="AF21" s="289">
        <v>23.13</v>
      </c>
      <c r="AG21" s="310">
        <v>23.57</v>
      </c>
      <c r="AH21" s="290">
        <v>24</v>
      </c>
      <c r="AI21" s="293">
        <v>24.44</v>
      </c>
      <c r="AJ21" s="293">
        <v>24.88</v>
      </c>
      <c r="AK21" s="293">
        <v>25.31</v>
      </c>
      <c r="AL21" s="293">
        <v>25.75</v>
      </c>
      <c r="AM21" s="293">
        <v>26.19</v>
      </c>
      <c r="AN21" s="293">
        <v>26.63</v>
      </c>
      <c r="AO21" s="237">
        <v>25.16</v>
      </c>
      <c r="AP21" s="237">
        <v>25.59</v>
      </c>
      <c r="AQ21" s="237">
        <v>26.03</v>
      </c>
      <c r="AR21" s="237">
        <v>26.47</v>
      </c>
      <c r="AS21" s="237">
        <v>18.600000000000001</v>
      </c>
      <c r="AT21" s="237">
        <v>18.170000000000002</v>
      </c>
      <c r="AU21" s="237">
        <v>17.73</v>
      </c>
      <c r="AV21" s="237">
        <v>17.29</v>
      </c>
      <c r="AW21" s="237">
        <v>16.850000000000001</v>
      </c>
    </row>
    <row r="22" spans="1:49">
      <c r="A22" s="131">
        <v>31.32</v>
      </c>
      <c r="B22" s="122">
        <v>31.98</v>
      </c>
      <c r="C22" s="123">
        <v>32.630000000000003</v>
      </c>
      <c r="D22" s="288">
        <v>36.229999999999997</v>
      </c>
      <c r="E22" s="289">
        <v>36.89</v>
      </c>
      <c r="F22" s="289">
        <v>37.54</v>
      </c>
      <c r="G22" s="289">
        <v>38.200000000000003</v>
      </c>
      <c r="H22" s="290">
        <v>38.85</v>
      </c>
      <c r="I22" s="293">
        <v>39.51</v>
      </c>
      <c r="J22" s="293">
        <v>40.17</v>
      </c>
      <c r="K22" s="293">
        <v>40.82</v>
      </c>
      <c r="L22" s="293">
        <v>41.48</v>
      </c>
      <c r="M22" s="293">
        <v>42.13</v>
      </c>
      <c r="N22" s="293">
        <v>42.79</v>
      </c>
      <c r="O22" s="237">
        <v>40.49</v>
      </c>
      <c r="P22" s="237">
        <v>41.15</v>
      </c>
      <c r="Q22" s="237">
        <v>41.8</v>
      </c>
      <c r="R22" s="237">
        <v>42.46</v>
      </c>
      <c r="S22" s="237">
        <v>30.67</v>
      </c>
      <c r="T22" s="237">
        <v>30.01</v>
      </c>
      <c r="U22" s="237">
        <v>29.36</v>
      </c>
      <c r="V22" s="237">
        <v>28.7</v>
      </c>
      <c r="W22" s="237">
        <v>28.05</v>
      </c>
      <c r="X22" s="51">
        <v>18</v>
      </c>
      <c r="Y22" s="757">
        <v>23.99</v>
      </c>
      <c r="Z22" s="237">
        <v>19.670000000000002</v>
      </c>
      <c r="AA22" s="131">
        <v>20.14</v>
      </c>
      <c r="AB22" s="122">
        <v>20.6</v>
      </c>
      <c r="AC22" s="123">
        <v>21.06</v>
      </c>
      <c r="AD22" s="288">
        <v>23.53</v>
      </c>
      <c r="AE22" s="289">
        <v>24</v>
      </c>
      <c r="AF22" s="289">
        <v>24.46</v>
      </c>
      <c r="AG22" s="310">
        <v>24.92</v>
      </c>
      <c r="AH22" s="290">
        <v>25.38</v>
      </c>
      <c r="AI22" s="293">
        <v>25.85</v>
      </c>
      <c r="AJ22" s="293">
        <v>26.31</v>
      </c>
      <c r="AK22" s="293">
        <v>26.77</v>
      </c>
      <c r="AL22" s="293">
        <v>27.23</v>
      </c>
      <c r="AM22" s="293">
        <v>27.7</v>
      </c>
      <c r="AN22" s="293">
        <v>28.16</v>
      </c>
      <c r="AO22" s="237">
        <v>26.61</v>
      </c>
      <c r="AP22" s="237">
        <v>27.08</v>
      </c>
      <c r="AQ22" s="237">
        <v>27.54</v>
      </c>
      <c r="AR22" s="237">
        <v>28</v>
      </c>
      <c r="AS22" s="237">
        <v>19.670000000000002</v>
      </c>
      <c r="AT22" s="237">
        <v>19.21</v>
      </c>
      <c r="AU22" s="237">
        <v>18.75</v>
      </c>
      <c r="AV22" s="237">
        <v>18.29</v>
      </c>
      <c r="AW22" s="237">
        <v>17.82</v>
      </c>
    </row>
    <row r="23" spans="1:49">
      <c r="A23" s="131">
        <v>33.020000000000003</v>
      </c>
      <c r="B23" s="122">
        <v>33.71</v>
      </c>
      <c r="C23" s="123">
        <v>34.409999999999997</v>
      </c>
      <c r="D23" s="288">
        <v>38.200000000000003</v>
      </c>
      <c r="E23" s="289">
        <v>38.89</v>
      </c>
      <c r="F23" s="289">
        <v>39.58</v>
      </c>
      <c r="G23" s="289">
        <v>40.270000000000003</v>
      </c>
      <c r="H23" s="290">
        <v>40.97</v>
      </c>
      <c r="I23" s="293">
        <v>41.66</v>
      </c>
      <c r="J23" s="293">
        <v>42.35</v>
      </c>
      <c r="K23" s="293">
        <v>43.04</v>
      </c>
      <c r="L23" s="293">
        <v>43.73</v>
      </c>
      <c r="M23" s="293">
        <v>44.42</v>
      </c>
      <c r="N23" s="293">
        <v>45.11</v>
      </c>
      <c r="O23" s="237">
        <v>42.71</v>
      </c>
      <c r="P23" s="237">
        <v>43.4</v>
      </c>
      <c r="Q23" s="237">
        <v>44.09</v>
      </c>
      <c r="R23" s="237">
        <v>44.78</v>
      </c>
      <c r="S23" s="237">
        <v>32.33</v>
      </c>
      <c r="T23" s="237">
        <v>31.64</v>
      </c>
      <c r="U23" s="237">
        <v>30.95</v>
      </c>
      <c r="V23" s="237">
        <v>30.26</v>
      </c>
      <c r="W23" s="237">
        <v>29.57</v>
      </c>
      <c r="X23" s="51">
        <v>19</v>
      </c>
      <c r="Y23" s="757">
        <v>25.29</v>
      </c>
      <c r="Z23" s="237">
        <v>20.75</v>
      </c>
      <c r="AA23" s="131">
        <v>21.23</v>
      </c>
      <c r="AB23" s="122">
        <v>21.72</v>
      </c>
      <c r="AC23" s="123">
        <v>22.21</v>
      </c>
      <c r="AD23" s="288">
        <v>24.81</v>
      </c>
      <c r="AE23" s="289">
        <v>25.3</v>
      </c>
      <c r="AF23" s="289">
        <v>25.79</v>
      </c>
      <c r="AG23" s="310">
        <v>26.28</v>
      </c>
      <c r="AH23" s="290">
        <v>26.76</v>
      </c>
      <c r="AI23" s="293">
        <v>27.25</v>
      </c>
      <c r="AJ23" s="293">
        <v>27.74</v>
      </c>
      <c r="AK23" s="293">
        <v>28.23</v>
      </c>
      <c r="AL23" s="293">
        <v>28.72</v>
      </c>
      <c r="AM23" s="293">
        <v>29.21</v>
      </c>
      <c r="AN23" s="293">
        <v>29.69</v>
      </c>
      <c r="AO23" s="237">
        <v>27.07</v>
      </c>
      <c r="AP23" s="237">
        <v>28.56</v>
      </c>
      <c r="AQ23" s="237">
        <v>29.05</v>
      </c>
      <c r="AR23" s="237">
        <v>29.53</v>
      </c>
      <c r="AS23" s="237">
        <v>20.75</v>
      </c>
      <c r="AT23" s="237">
        <v>20.260000000000002</v>
      </c>
      <c r="AU23" s="237">
        <v>19.77</v>
      </c>
      <c r="AV23" s="237">
        <v>19.28</v>
      </c>
      <c r="AW23" s="237">
        <v>18.79</v>
      </c>
    </row>
    <row r="24" spans="1:49">
      <c r="A24" s="131">
        <v>34.72</v>
      </c>
      <c r="B24" s="122">
        <v>35.450000000000003</v>
      </c>
      <c r="C24" s="123">
        <v>36.18</v>
      </c>
      <c r="D24" s="288">
        <v>40.159999999999997</v>
      </c>
      <c r="E24" s="289">
        <v>40.89</v>
      </c>
      <c r="F24" s="289">
        <v>41.62</v>
      </c>
      <c r="G24" s="289">
        <v>42.34</v>
      </c>
      <c r="H24" s="290">
        <v>43.07</v>
      </c>
      <c r="I24" s="293">
        <v>43.8</v>
      </c>
      <c r="J24" s="293">
        <v>44.53</v>
      </c>
      <c r="K24" s="293">
        <v>45.26</v>
      </c>
      <c r="L24" s="293">
        <v>45.98</v>
      </c>
      <c r="M24" s="293">
        <v>46.71</v>
      </c>
      <c r="N24" s="293">
        <v>47.44</v>
      </c>
      <c r="O24" s="237">
        <v>44.91</v>
      </c>
      <c r="P24" s="237">
        <v>45.64</v>
      </c>
      <c r="Q24" s="237">
        <v>46.37</v>
      </c>
      <c r="R24" s="237">
        <v>47.1</v>
      </c>
      <c r="S24" s="237">
        <v>33.99</v>
      </c>
      <c r="T24" s="237">
        <v>33.270000000000003</v>
      </c>
      <c r="U24" s="237">
        <v>32.54</v>
      </c>
      <c r="V24" s="237">
        <v>31.81</v>
      </c>
      <c r="W24" s="237">
        <v>31.08</v>
      </c>
      <c r="X24" s="51">
        <v>20</v>
      </c>
      <c r="Y24" s="757">
        <v>26.58</v>
      </c>
      <c r="Z24" s="237">
        <v>21.82</v>
      </c>
      <c r="AA24" s="131">
        <v>22.33</v>
      </c>
      <c r="AB24" s="122">
        <v>22.84</v>
      </c>
      <c r="AC24" s="123">
        <v>23.36</v>
      </c>
      <c r="AD24" s="288">
        <v>26.09</v>
      </c>
      <c r="AE24" s="289">
        <v>26.6</v>
      </c>
      <c r="AF24" s="289">
        <v>27.12</v>
      </c>
      <c r="AG24" s="310">
        <v>27.63</v>
      </c>
      <c r="AH24" s="290">
        <v>28.14</v>
      </c>
      <c r="AI24" s="293">
        <v>28.66</v>
      </c>
      <c r="AJ24" s="293">
        <v>29.17</v>
      </c>
      <c r="AK24" s="293">
        <v>29.69</v>
      </c>
      <c r="AL24" s="293">
        <v>30.2</v>
      </c>
      <c r="AM24" s="293">
        <v>30.71</v>
      </c>
      <c r="AN24" s="293">
        <v>31.23</v>
      </c>
      <c r="AO24" s="237">
        <v>29.53</v>
      </c>
      <c r="AP24" s="237">
        <v>30.04</v>
      </c>
      <c r="AQ24" s="237">
        <v>30.55</v>
      </c>
      <c r="AR24" s="237">
        <v>31.07</v>
      </c>
      <c r="AS24" s="237">
        <v>21.82</v>
      </c>
      <c r="AT24" s="237">
        <v>21.3</v>
      </c>
      <c r="AU24" s="237">
        <v>20.79</v>
      </c>
      <c r="AV24" s="237">
        <v>20.27</v>
      </c>
      <c r="AW24" s="237">
        <v>19.760000000000002</v>
      </c>
    </row>
    <row r="25" spans="1:49">
      <c r="A25" s="131">
        <v>36.42</v>
      </c>
      <c r="B25" s="122">
        <v>37.18</v>
      </c>
      <c r="C25" s="123">
        <v>37.950000000000003</v>
      </c>
      <c r="D25" s="288">
        <v>42.12</v>
      </c>
      <c r="E25" s="289">
        <v>42.88</v>
      </c>
      <c r="F25" s="289">
        <v>43.65</v>
      </c>
      <c r="G25" s="289">
        <v>44.41</v>
      </c>
      <c r="H25" s="290">
        <v>45.18</v>
      </c>
      <c r="I25" s="293">
        <v>45.94</v>
      </c>
      <c r="J25" s="293">
        <v>46.7</v>
      </c>
      <c r="K25" s="293">
        <v>47.47</v>
      </c>
      <c r="L25" s="293">
        <v>48.23</v>
      </c>
      <c r="M25" s="293">
        <v>49</v>
      </c>
      <c r="N25" s="293">
        <v>49.76</v>
      </c>
      <c r="O25" s="237">
        <v>47.12</v>
      </c>
      <c r="P25" s="237">
        <v>47.89</v>
      </c>
      <c r="Q25" s="237">
        <v>48.65</v>
      </c>
      <c r="R25" s="237">
        <v>49.41</v>
      </c>
      <c r="S25" s="237">
        <v>35.659999999999997</v>
      </c>
      <c r="T25" s="237">
        <v>34.89</v>
      </c>
      <c r="U25" s="237">
        <v>34.130000000000003</v>
      </c>
      <c r="V25" s="237">
        <v>33.36</v>
      </c>
      <c r="W25" s="237">
        <v>32.6</v>
      </c>
      <c r="X25" s="51">
        <v>21</v>
      </c>
      <c r="Y25" s="757">
        <v>27.88</v>
      </c>
      <c r="Z25" s="237">
        <v>22.89</v>
      </c>
      <c r="AA25" s="131">
        <v>23.43</v>
      </c>
      <c r="AB25" s="122">
        <v>23.97</v>
      </c>
      <c r="AC25" s="123">
        <v>24.51</v>
      </c>
      <c r="AD25" s="288">
        <v>27.37</v>
      </c>
      <c r="AE25" s="289">
        <v>27.91</v>
      </c>
      <c r="AF25" s="289">
        <v>28.45</v>
      </c>
      <c r="AG25" s="310">
        <v>28.99</v>
      </c>
      <c r="AH25" s="290">
        <v>29.53</v>
      </c>
      <c r="AI25" s="293">
        <v>30.07</v>
      </c>
      <c r="AJ25" s="293">
        <v>30.61</v>
      </c>
      <c r="AK25" s="293">
        <v>31.14</v>
      </c>
      <c r="AL25" s="293">
        <v>31.68</v>
      </c>
      <c r="AM25" s="293">
        <v>32.22</v>
      </c>
      <c r="AN25" s="293">
        <v>32.76</v>
      </c>
      <c r="AO25" s="237">
        <v>30.98</v>
      </c>
      <c r="AP25" s="237">
        <v>31.52</v>
      </c>
      <c r="AQ25" s="237">
        <v>32.06</v>
      </c>
      <c r="AR25" s="237">
        <v>32.6</v>
      </c>
      <c r="AS25" s="237">
        <v>22.89</v>
      </c>
      <c r="AT25" s="237">
        <v>22.35</v>
      </c>
      <c r="AU25" s="237">
        <v>21.81</v>
      </c>
      <c r="AV25" s="237">
        <v>21.27</v>
      </c>
      <c r="AW25" s="237">
        <v>20.73</v>
      </c>
    </row>
    <row r="26" spans="1:49">
      <c r="A26" s="131">
        <v>38.119999999999997</v>
      </c>
      <c r="B26" s="122">
        <v>38.92</v>
      </c>
      <c r="C26" s="123">
        <v>39.72</v>
      </c>
      <c r="D26" s="288">
        <v>44.08</v>
      </c>
      <c r="E26" s="289">
        <v>44.88</v>
      </c>
      <c r="F26" s="289">
        <v>45.68</v>
      </c>
      <c r="G26" s="289">
        <v>46.49</v>
      </c>
      <c r="H26" s="290">
        <v>47.29</v>
      </c>
      <c r="I26" s="293">
        <v>48.09</v>
      </c>
      <c r="J26" s="293">
        <v>48.89</v>
      </c>
      <c r="K26" s="293">
        <v>49.69</v>
      </c>
      <c r="L26" s="293">
        <v>50.49</v>
      </c>
      <c r="M26" s="293">
        <v>51.29</v>
      </c>
      <c r="N26" s="293">
        <v>52.09</v>
      </c>
      <c r="O26" s="237">
        <v>49.33</v>
      </c>
      <c r="P26" s="237">
        <v>50.14</v>
      </c>
      <c r="Q26" s="237">
        <v>50.94</v>
      </c>
      <c r="R26" s="237">
        <v>51.74</v>
      </c>
      <c r="S26" s="237">
        <v>37.32</v>
      </c>
      <c r="T26" s="237">
        <v>36.520000000000003</v>
      </c>
      <c r="U26" s="237">
        <v>35.72</v>
      </c>
      <c r="V26" s="237">
        <v>34.92</v>
      </c>
      <c r="W26" s="237">
        <v>34.119999999999997</v>
      </c>
      <c r="X26" s="51">
        <v>22</v>
      </c>
      <c r="Y26" s="757">
        <v>29.18</v>
      </c>
      <c r="Z26" s="237">
        <v>23.96</v>
      </c>
      <c r="AA26" s="131">
        <v>24.52</v>
      </c>
      <c r="AB26" s="122">
        <v>25.09</v>
      </c>
      <c r="AC26" s="123">
        <v>25.65</v>
      </c>
      <c r="AD26" s="288">
        <v>28.64</v>
      </c>
      <c r="AE26" s="289">
        <v>29.21</v>
      </c>
      <c r="AF26" s="289">
        <v>29.77</v>
      </c>
      <c r="AG26" s="310">
        <v>30.34</v>
      </c>
      <c r="AH26" s="290">
        <v>30.9</v>
      </c>
      <c r="AI26" s="293">
        <v>31.47</v>
      </c>
      <c r="AJ26" s="293">
        <v>32.03</v>
      </c>
      <c r="AK26" s="293">
        <v>32.6</v>
      </c>
      <c r="AL26" s="293">
        <v>33.17</v>
      </c>
      <c r="AM26" s="293">
        <v>33.729999999999997</v>
      </c>
      <c r="AN26" s="293">
        <v>34.299999999999997</v>
      </c>
      <c r="AO26" s="237">
        <v>32.44</v>
      </c>
      <c r="AP26" s="237">
        <v>33.01</v>
      </c>
      <c r="AQ26" s="237">
        <v>33.57</v>
      </c>
      <c r="AR26" s="237">
        <v>34.14</v>
      </c>
      <c r="AS26" s="237">
        <v>23.96</v>
      </c>
      <c r="AT26" s="237">
        <v>23.39</v>
      </c>
      <c r="AU26" s="237">
        <v>22.83</v>
      </c>
      <c r="AV26" s="237">
        <v>22.26</v>
      </c>
      <c r="AW26" s="237">
        <v>21.7</v>
      </c>
    </row>
    <row r="27" spans="1:49">
      <c r="A27" s="131">
        <v>39.82</v>
      </c>
      <c r="B27" s="122">
        <v>40.659999999999997</v>
      </c>
      <c r="C27" s="123">
        <v>41.49</v>
      </c>
      <c r="D27" s="288">
        <v>46.04</v>
      </c>
      <c r="E27" s="289">
        <v>46.88</v>
      </c>
      <c r="F27" s="289">
        <v>47.71</v>
      </c>
      <c r="G27" s="289">
        <v>48.55</v>
      </c>
      <c r="H27" s="290">
        <v>49.39</v>
      </c>
      <c r="I27" s="293">
        <v>50.22</v>
      </c>
      <c r="J27" s="293">
        <v>51.06</v>
      </c>
      <c r="K27" s="293">
        <v>51.9</v>
      </c>
      <c r="L27" s="293">
        <v>52.74</v>
      </c>
      <c r="M27" s="293">
        <v>53.57</v>
      </c>
      <c r="N27" s="293">
        <v>54.41</v>
      </c>
      <c r="O27" s="237">
        <v>51.54</v>
      </c>
      <c r="P27" s="237">
        <v>52.38</v>
      </c>
      <c r="Q27" s="237">
        <v>53.21</v>
      </c>
      <c r="R27" s="237">
        <v>54.05</v>
      </c>
      <c r="S27" s="237">
        <v>38.979999999999997</v>
      </c>
      <c r="T27" s="237">
        <v>38.14</v>
      </c>
      <c r="U27" s="237">
        <v>37.31</v>
      </c>
      <c r="V27" s="237">
        <v>36.47</v>
      </c>
      <c r="W27" s="237">
        <v>35.630000000000003</v>
      </c>
      <c r="X27" s="51">
        <v>23</v>
      </c>
      <c r="Y27" s="757">
        <v>30.48</v>
      </c>
      <c r="Z27" s="237">
        <v>25.03</v>
      </c>
      <c r="AA27" s="131">
        <v>25.62</v>
      </c>
      <c r="AB27" s="122">
        <v>26.21</v>
      </c>
      <c r="AC27" s="123">
        <v>26.81</v>
      </c>
      <c r="AD27" s="288">
        <v>29.92</v>
      </c>
      <c r="AE27" s="289">
        <v>30.51</v>
      </c>
      <c r="AF27" s="289">
        <v>31.1</v>
      </c>
      <c r="AG27" s="310">
        <v>31.7</v>
      </c>
      <c r="AH27" s="290">
        <v>32.29</v>
      </c>
      <c r="AI27" s="293">
        <v>32.880000000000003</v>
      </c>
      <c r="AJ27" s="293">
        <v>33.47</v>
      </c>
      <c r="AK27" s="293">
        <v>34.06</v>
      </c>
      <c r="AL27" s="293">
        <v>34.65</v>
      </c>
      <c r="AM27" s="293">
        <v>35.24</v>
      </c>
      <c r="AN27" s="293">
        <v>35.83</v>
      </c>
      <c r="AO27" s="237">
        <v>33.9</v>
      </c>
      <c r="AP27" s="237">
        <v>34.49</v>
      </c>
      <c r="AQ27" s="237">
        <v>35.08</v>
      </c>
      <c r="AR27" s="237">
        <v>35.67</v>
      </c>
      <c r="AS27" s="237">
        <v>25.03</v>
      </c>
      <c r="AT27" s="237">
        <v>24.44</v>
      </c>
      <c r="AU27" s="237">
        <v>23.85</v>
      </c>
      <c r="AV27" s="237">
        <v>23.26</v>
      </c>
      <c r="AW27" s="237">
        <v>22.67</v>
      </c>
    </row>
    <row r="28" spans="1:49">
      <c r="A28" s="131">
        <v>41.52</v>
      </c>
      <c r="B28" s="122">
        <v>42.39</v>
      </c>
      <c r="C28" s="123">
        <v>43.27</v>
      </c>
      <c r="D28" s="288">
        <v>48</v>
      </c>
      <c r="E28" s="289">
        <v>48.88</v>
      </c>
      <c r="F28" s="289">
        <v>49.75</v>
      </c>
      <c r="G28" s="289">
        <v>50.62</v>
      </c>
      <c r="H28" s="290">
        <v>51.5</v>
      </c>
      <c r="I28" s="293">
        <v>52.37</v>
      </c>
      <c r="J28" s="293">
        <v>53.24</v>
      </c>
      <c r="K28" s="293">
        <v>54.12</v>
      </c>
      <c r="L28" s="293">
        <v>54.99</v>
      </c>
      <c r="M28" s="293">
        <v>55.86</v>
      </c>
      <c r="N28" s="293">
        <v>56.74</v>
      </c>
      <c r="O28" s="237">
        <v>53.75</v>
      </c>
      <c r="P28" s="237">
        <v>54.62</v>
      </c>
      <c r="Q28" s="237">
        <v>55.5</v>
      </c>
      <c r="R28" s="237">
        <v>56.37</v>
      </c>
      <c r="S28" s="237">
        <v>40.65</v>
      </c>
      <c r="T28" s="237">
        <v>39.770000000000003</v>
      </c>
      <c r="U28" s="237">
        <v>38.9</v>
      </c>
      <c r="V28" s="237">
        <v>38.03</v>
      </c>
      <c r="W28" s="237">
        <v>37.15</v>
      </c>
      <c r="X28" s="51">
        <v>24</v>
      </c>
      <c r="Y28" s="757">
        <v>31.78</v>
      </c>
      <c r="Z28" s="237">
        <v>26.1</v>
      </c>
      <c r="AA28" s="131">
        <v>26.72</v>
      </c>
      <c r="AB28" s="122">
        <v>27.34</v>
      </c>
      <c r="AC28" s="123">
        <v>27.95</v>
      </c>
      <c r="AD28" s="288">
        <v>31.2</v>
      </c>
      <c r="AE28" s="289">
        <v>31.81</v>
      </c>
      <c r="AF28" s="289">
        <v>32.43</v>
      </c>
      <c r="AG28" s="310">
        <v>33.049999999999997</v>
      </c>
      <c r="AH28" s="290">
        <v>33.659999999999997</v>
      </c>
      <c r="AI28" s="293">
        <v>34.28</v>
      </c>
      <c r="AJ28" s="293">
        <v>34.9</v>
      </c>
      <c r="AK28" s="293">
        <v>35.520000000000003</v>
      </c>
      <c r="AL28" s="293">
        <v>36.130000000000003</v>
      </c>
      <c r="AM28" s="293">
        <v>36.75</v>
      </c>
      <c r="AN28" s="293">
        <v>37.369999999999997</v>
      </c>
      <c r="AO28" s="237">
        <v>35.35</v>
      </c>
      <c r="AP28" s="237">
        <v>35.97</v>
      </c>
      <c r="AQ28" s="237">
        <v>36.590000000000003</v>
      </c>
      <c r="AR28" s="237">
        <v>37.200000000000003</v>
      </c>
      <c r="AS28" s="237">
        <v>26.1</v>
      </c>
      <c r="AT28" s="237">
        <v>25.49</v>
      </c>
      <c r="AU28" s="237">
        <v>24.87</v>
      </c>
      <c r="AV28" s="237">
        <v>24.25</v>
      </c>
      <c r="AW28" s="237">
        <v>23.63</v>
      </c>
    </row>
    <row r="29" spans="1:49">
      <c r="A29" s="131">
        <v>43.22</v>
      </c>
      <c r="B29" s="122">
        <v>44.13</v>
      </c>
      <c r="C29" s="123">
        <v>45.04</v>
      </c>
      <c r="D29" s="288">
        <v>49.97</v>
      </c>
      <c r="E29" s="289">
        <v>50.88</v>
      </c>
      <c r="F29" s="289">
        <v>51.79</v>
      </c>
      <c r="G29" s="289">
        <v>52.7</v>
      </c>
      <c r="H29" s="290">
        <v>53.61</v>
      </c>
      <c r="I29" s="293">
        <v>54.52</v>
      </c>
      <c r="J29" s="293">
        <v>55.43</v>
      </c>
      <c r="K29" s="293">
        <v>56.34</v>
      </c>
      <c r="L29" s="293">
        <v>57.25</v>
      </c>
      <c r="M29" s="293">
        <v>58.16</v>
      </c>
      <c r="N29" s="293">
        <v>59.07</v>
      </c>
      <c r="O29" s="237">
        <v>55.96</v>
      </c>
      <c r="P29" s="237">
        <v>56.87</v>
      </c>
      <c r="Q29" s="237">
        <v>57.78</v>
      </c>
      <c r="R29" s="237">
        <v>58.69</v>
      </c>
      <c r="S29" s="237">
        <v>42.31</v>
      </c>
      <c r="T29" s="237">
        <v>41.4</v>
      </c>
      <c r="U29" s="237">
        <v>40.49</v>
      </c>
      <c r="V29" s="237">
        <v>39.58</v>
      </c>
      <c r="W29" s="237">
        <v>38.67</v>
      </c>
      <c r="X29" s="51">
        <v>25</v>
      </c>
      <c r="Y29" s="237">
        <v>26.53</v>
      </c>
      <c r="Z29" s="237">
        <v>27.17</v>
      </c>
      <c r="AA29" s="131">
        <v>27.82</v>
      </c>
      <c r="AB29" s="122">
        <v>28.46</v>
      </c>
      <c r="AC29" s="123">
        <v>29.1</v>
      </c>
      <c r="AD29" s="288">
        <v>32.479999999999997</v>
      </c>
      <c r="AE29" s="289">
        <v>33.119999999999997</v>
      </c>
      <c r="AF29" s="289">
        <v>33.76</v>
      </c>
      <c r="AG29" s="310">
        <v>34.4</v>
      </c>
      <c r="AH29" s="290">
        <v>35.049999999999997</v>
      </c>
      <c r="AI29" s="293">
        <v>35.69</v>
      </c>
      <c r="AJ29" s="293">
        <v>36.33</v>
      </c>
      <c r="AK29" s="293">
        <v>36.97</v>
      </c>
      <c r="AL29" s="293">
        <v>37.619999999999997</v>
      </c>
      <c r="AM29" s="293">
        <v>38.26</v>
      </c>
      <c r="AN29" s="293">
        <v>38.9</v>
      </c>
      <c r="AO29" s="237">
        <v>36.81</v>
      </c>
      <c r="AP29" s="237">
        <v>37.450000000000003</v>
      </c>
      <c r="AQ29" s="237">
        <v>38.1</v>
      </c>
      <c r="AR29" s="237">
        <v>38.74</v>
      </c>
      <c r="AS29" s="237">
        <v>27.17</v>
      </c>
      <c r="AT29" s="237">
        <v>26.53</v>
      </c>
      <c r="AU29" s="237">
        <v>25.89</v>
      </c>
      <c r="AV29" s="237">
        <v>25.25</v>
      </c>
      <c r="AW29" s="237">
        <v>24.6</v>
      </c>
    </row>
    <row r="30" spans="1:49">
      <c r="A30" s="131">
        <v>44.92</v>
      </c>
      <c r="B30" s="122">
        <v>45.87</v>
      </c>
      <c r="C30" s="123">
        <v>46.81</v>
      </c>
      <c r="D30" s="288">
        <v>51.92</v>
      </c>
      <c r="E30" s="289">
        <v>52.87</v>
      </c>
      <c r="F30" s="289">
        <v>53.82</v>
      </c>
      <c r="G30" s="289">
        <v>54.76</v>
      </c>
      <c r="H30" s="290">
        <v>55.71</v>
      </c>
      <c r="I30" s="293">
        <v>56.66</v>
      </c>
      <c r="J30" s="293">
        <v>57.6</v>
      </c>
      <c r="K30" s="293">
        <v>58.55</v>
      </c>
      <c r="L30" s="293">
        <v>59.5</v>
      </c>
      <c r="M30" s="293">
        <v>60.44</v>
      </c>
      <c r="N30" s="293">
        <v>61.39</v>
      </c>
      <c r="O30" s="237">
        <v>58.17</v>
      </c>
      <c r="P30" s="237">
        <v>59.12</v>
      </c>
      <c r="Q30" s="237">
        <v>60.06</v>
      </c>
      <c r="R30" s="237">
        <v>61.01</v>
      </c>
      <c r="S30" s="237">
        <v>43.97</v>
      </c>
      <c r="T30" s="237">
        <v>43.03</v>
      </c>
      <c r="U30" s="237">
        <v>42.08</v>
      </c>
      <c r="V30" s="237">
        <v>41.13</v>
      </c>
      <c r="W30" s="237">
        <v>40.19</v>
      </c>
      <c r="X30" s="51">
        <v>26</v>
      </c>
      <c r="Y30" s="237">
        <v>27.58</v>
      </c>
      <c r="Z30" s="237">
        <v>28.24</v>
      </c>
      <c r="AA30" s="131">
        <v>28.91</v>
      </c>
      <c r="AB30" s="122">
        <v>29.58</v>
      </c>
      <c r="AC30" s="123">
        <v>30.25</v>
      </c>
      <c r="AD30" s="288">
        <v>33.75</v>
      </c>
      <c r="AE30" s="289">
        <v>34.42</v>
      </c>
      <c r="AF30" s="289">
        <v>35.090000000000003</v>
      </c>
      <c r="AG30" s="310">
        <v>35.76</v>
      </c>
      <c r="AH30" s="290">
        <v>36.42</v>
      </c>
      <c r="AI30" s="293">
        <v>37.090000000000003</v>
      </c>
      <c r="AJ30" s="293">
        <v>37.76</v>
      </c>
      <c r="AK30" s="293">
        <v>38.43</v>
      </c>
      <c r="AL30" s="293">
        <v>39.1</v>
      </c>
      <c r="AM30" s="293">
        <v>39.770000000000003</v>
      </c>
      <c r="AN30" s="293">
        <v>40.43</v>
      </c>
      <c r="AO30" s="237">
        <v>38.270000000000003</v>
      </c>
      <c r="AP30" s="237">
        <v>38.94</v>
      </c>
      <c r="AQ30" s="237">
        <v>39.6</v>
      </c>
      <c r="AR30" s="237">
        <v>40.270000000000003</v>
      </c>
      <c r="AS30" s="237">
        <v>28.24</v>
      </c>
      <c r="AT30" s="237">
        <v>27.58</v>
      </c>
      <c r="AU30" s="237">
        <v>26.91</v>
      </c>
      <c r="AV30" s="237">
        <v>26.24</v>
      </c>
      <c r="AW30" s="237">
        <v>25.57</v>
      </c>
    </row>
    <row r="31" spans="1:49">
      <c r="A31" s="131">
        <v>46.62</v>
      </c>
      <c r="B31" s="122">
        <v>47.6</v>
      </c>
      <c r="C31" s="123">
        <v>48.59</v>
      </c>
      <c r="D31" s="288">
        <v>53.89</v>
      </c>
      <c r="E31" s="289">
        <v>54.87</v>
      </c>
      <c r="F31" s="289">
        <v>55.85</v>
      </c>
      <c r="G31" s="289">
        <v>56.84</v>
      </c>
      <c r="H31" s="290">
        <v>57.82</v>
      </c>
      <c r="I31" s="293">
        <v>58.8</v>
      </c>
      <c r="J31" s="293">
        <v>59.78</v>
      </c>
      <c r="K31" s="293">
        <v>60.77</v>
      </c>
      <c r="L31" s="293">
        <v>61.75</v>
      </c>
      <c r="M31" s="293">
        <v>62.73</v>
      </c>
      <c r="N31" s="293">
        <v>63.71</v>
      </c>
      <c r="O31" s="237">
        <v>60.38</v>
      </c>
      <c r="P31" s="237">
        <v>61.36</v>
      </c>
      <c r="Q31" s="237">
        <v>62.35</v>
      </c>
      <c r="R31" s="237">
        <v>63.33</v>
      </c>
      <c r="S31" s="237">
        <v>45.64</v>
      </c>
      <c r="T31" s="237">
        <v>44.65</v>
      </c>
      <c r="U31" s="237">
        <v>43.67</v>
      </c>
      <c r="V31" s="237">
        <v>42.69</v>
      </c>
      <c r="W31" s="237">
        <v>41.71</v>
      </c>
      <c r="X31" s="51">
        <v>27</v>
      </c>
      <c r="Y31" s="237">
        <v>28.62</v>
      </c>
      <c r="Z31" s="237">
        <v>29.32</v>
      </c>
      <c r="AA31" s="131">
        <v>30.01</v>
      </c>
      <c r="AB31" s="122">
        <v>30.7</v>
      </c>
      <c r="AC31" s="123">
        <v>31.4</v>
      </c>
      <c r="AD31" s="288">
        <v>35.03</v>
      </c>
      <c r="AE31" s="289">
        <v>35.72</v>
      </c>
      <c r="AF31" s="289">
        <v>36.42</v>
      </c>
      <c r="AG31" s="310">
        <v>37.11</v>
      </c>
      <c r="AH31" s="290">
        <v>37.799999999999997</v>
      </c>
      <c r="AI31" s="293">
        <v>38.5</v>
      </c>
      <c r="AJ31" s="293">
        <v>39.19</v>
      </c>
      <c r="AK31" s="293">
        <v>39.89</v>
      </c>
      <c r="AL31" s="293">
        <v>40.58</v>
      </c>
      <c r="AM31" s="293">
        <v>41.27</v>
      </c>
      <c r="AN31" s="293">
        <v>41.97</v>
      </c>
      <c r="AO31" s="237">
        <v>39.72</v>
      </c>
      <c r="AP31" s="237">
        <v>40.42</v>
      </c>
      <c r="AQ31" s="237">
        <v>41.11</v>
      </c>
      <c r="AR31" s="237">
        <v>41.81</v>
      </c>
      <c r="AS31" s="237">
        <v>29.32</v>
      </c>
      <c r="AT31" s="237">
        <v>28.62</v>
      </c>
      <c r="AU31" s="237">
        <v>27.93</v>
      </c>
      <c r="AV31" s="237">
        <v>27.23</v>
      </c>
      <c r="AW31" s="237">
        <v>26.54</v>
      </c>
    </row>
    <row r="32" spans="1:49">
      <c r="A32" s="131">
        <v>48.32</v>
      </c>
      <c r="B32" s="122">
        <v>49.34</v>
      </c>
      <c r="C32" s="123">
        <v>50.36</v>
      </c>
      <c r="D32" s="288">
        <v>55.85</v>
      </c>
      <c r="E32" s="289">
        <v>56.87</v>
      </c>
      <c r="F32" s="289">
        <v>57.89</v>
      </c>
      <c r="G32" s="289">
        <v>58.91</v>
      </c>
      <c r="H32" s="290">
        <v>59.93</v>
      </c>
      <c r="I32" s="293">
        <v>60.95</v>
      </c>
      <c r="J32" s="293">
        <v>61.96</v>
      </c>
      <c r="K32" s="293">
        <v>62.98</v>
      </c>
      <c r="L32" s="293">
        <v>64</v>
      </c>
      <c r="M32" s="293">
        <v>65.02</v>
      </c>
      <c r="N32" s="293">
        <v>66.040000000000006</v>
      </c>
      <c r="O32" s="237">
        <v>62.59</v>
      </c>
      <c r="P32" s="237">
        <v>63.61</v>
      </c>
      <c r="Q32" s="237">
        <v>64.63</v>
      </c>
      <c r="R32" s="237">
        <v>65.650000000000006</v>
      </c>
      <c r="S32" s="237">
        <v>47.3</v>
      </c>
      <c r="T32" s="237">
        <v>46.28</v>
      </c>
      <c r="U32" s="237">
        <v>45.26</v>
      </c>
      <c r="V32" s="237">
        <v>44.24</v>
      </c>
      <c r="W32" s="237">
        <v>43.23</v>
      </c>
      <c r="X32" s="51">
        <v>28</v>
      </c>
      <c r="Y32" s="237">
        <v>29.67</v>
      </c>
      <c r="Z32" s="237">
        <v>30.39</v>
      </c>
      <c r="AA32" s="131">
        <v>31.11</v>
      </c>
      <c r="AB32" s="122">
        <v>31.83</v>
      </c>
      <c r="AC32" s="123">
        <v>32.549999999999997</v>
      </c>
      <c r="AD32" s="288">
        <v>36.31</v>
      </c>
      <c r="AE32" s="289">
        <v>37.03</v>
      </c>
      <c r="AF32" s="289">
        <v>37.75</v>
      </c>
      <c r="AG32" s="310">
        <v>38.47</v>
      </c>
      <c r="AH32" s="290">
        <v>39.19</v>
      </c>
      <c r="AI32" s="293">
        <v>39.909999999999997</v>
      </c>
      <c r="AJ32" s="293">
        <v>40.630000000000003</v>
      </c>
      <c r="AK32" s="293">
        <v>41.35</v>
      </c>
      <c r="AL32" s="293">
        <v>42.07</v>
      </c>
      <c r="AM32" s="293">
        <v>42.79</v>
      </c>
      <c r="AN32" s="293">
        <v>43.51</v>
      </c>
      <c r="AO32" s="237">
        <v>41.18</v>
      </c>
      <c r="AP32" s="237">
        <v>41.9</v>
      </c>
      <c r="AQ32" s="237">
        <v>42.62</v>
      </c>
      <c r="AR32" s="237">
        <v>43.34</v>
      </c>
      <c r="AS32" s="237">
        <v>30.39</v>
      </c>
      <c r="AT32" s="237">
        <v>29.67</v>
      </c>
      <c r="AU32" s="237">
        <v>28.95</v>
      </c>
      <c r="AV32" s="237">
        <v>28.23</v>
      </c>
      <c r="AW32" s="237">
        <v>27.51</v>
      </c>
    </row>
    <row r="33" spans="1:49">
      <c r="A33" s="131">
        <v>50.01</v>
      </c>
      <c r="B33" s="122">
        <v>51.07</v>
      </c>
      <c r="C33" s="123">
        <v>52.12</v>
      </c>
      <c r="D33" s="288">
        <v>57.8</v>
      </c>
      <c r="E33" s="289">
        <v>58.85</v>
      </c>
      <c r="F33" s="289">
        <v>59.91</v>
      </c>
      <c r="G33" s="289">
        <v>60.97</v>
      </c>
      <c r="H33" s="290">
        <v>62.02</v>
      </c>
      <c r="I33" s="293">
        <v>63.08</v>
      </c>
      <c r="J33" s="293">
        <v>64.13</v>
      </c>
      <c r="K33" s="293">
        <v>65.19</v>
      </c>
      <c r="L33" s="293">
        <v>66.239999999999995</v>
      </c>
      <c r="M33" s="293">
        <v>67.3</v>
      </c>
      <c r="N33" s="293">
        <v>68.36</v>
      </c>
      <c r="O33" s="237">
        <v>64.790000000000006</v>
      </c>
      <c r="P33" s="237">
        <v>65.849999999999994</v>
      </c>
      <c r="Q33" s="237">
        <v>66.900000000000006</v>
      </c>
      <c r="R33" s="237">
        <v>67.959999999999994</v>
      </c>
      <c r="S33" s="237">
        <v>48.96</v>
      </c>
      <c r="T33" s="237">
        <v>47.9</v>
      </c>
      <c r="U33" s="237">
        <v>46.85</v>
      </c>
      <c r="V33" s="237">
        <v>45.79</v>
      </c>
      <c r="W33" s="237">
        <v>44.73</v>
      </c>
      <c r="X33" s="51">
        <v>29</v>
      </c>
      <c r="Y33" s="237">
        <v>30.71</v>
      </c>
      <c r="Z33" s="237">
        <v>31.46</v>
      </c>
      <c r="AA33" s="131">
        <v>32.200000000000003</v>
      </c>
      <c r="AB33" s="122">
        <v>32.950000000000003</v>
      </c>
      <c r="AC33" s="123">
        <v>33.69</v>
      </c>
      <c r="AD33" s="288">
        <v>37.58</v>
      </c>
      <c r="AE33" s="289">
        <v>38.33</v>
      </c>
      <c r="AF33" s="289">
        <v>39.07</v>
      </c>
      <c r="AG33" s="310">
        <v>39.82</v>
      </c>
      <c r="AH33" s="290">
        <v>40.56</v>
      </c>
      <c r="AI33" s="293">
        <v>41.31</v>
      </c>
      <c r="AJ33" s="293">
        <v>42.06</v>
      </c>
      <c r="AK33" s="293">
        <v>42.8</v>
      </c>
      <c r="AL33" s="293">
        <v>43.55</v>
      </c>
      <c r="AM33" s="293">
        <v>44.29</v>
      </c>
      <c r="AN33" s="293">
        <v>45.04</v>
      </c>
      <c r="AO33" s="237">
        <v>42.64</v>
      </c>
      <c r="AP33" s="237">
        <v>43.38</v>
      </c>
      <c r="AQ33" s="237">
        <v>44.13</v>
      </c>
      <c r="AR33" s="237">
        <v>44.87</v>
      </c>
      <c r="AS33" s="237">
        <v>31.46</v>
      </c>
      <c r="AT33" s="237">
        <v>30.71</v>
      </c>
      <c r="AU33" s="237">
        <v>29.97</v>
      </c>
      <c r="AV33" s="237">
        <v>29.22</v>
      </c>
      <c r="AW33" s="237">
        <v>28.48</v>
      </c>
    </row>
    <row r="34" spans="1:49">
      <c r="A34" s="131">
        <v>51.72</v>
      </c>
      <c r="B34" s="122">
        <v>52.81</v>
      </c>
      <c r="C34" s="123">
        <v>53.9</v>
      </c>
      <c r="D34" s="288">
        <v>59.77</v>
      </c>
      <c r="E34" s="289">
        <v>60.86</v>
      </c>
      <c r="F34" s="289">
        <v>61.95</v>
      </c>
      <c r="G34" s="289">
        <v>63.05</v>
      </c>
      <c r="H34" s="290">
        <v>64.14</v>
      </c>
      <c r="I34" s="293">
        <v>65.23</v>
      </c>
      <c r="J34" s="293">
        <v>66.319999999999993</v>
      </c>
      <c r="K34" s="293">
        <v>67.41</v>
      </c>
      <c r="L34" s="293">
        <v>68.510000000000005</v>
      </c>
      <c r="M34" s="293">
        <v>69.599999999999994</v>
      </c>
      <c r="N34" s="293">
        <v>70.69</v>
      </c>
      <c r="O34" s="237">
        <v>67.010000000000005</v>
      </c>
      <c r="P34" s="237">
        <v>68.099999999999994</v>
      </c>
      <c r="Q34" s="237">
        <v>69.19</v>
      </c>
      <c r="R34" s="237">
        <v>70.28</v>
      </c>
      <c r="S34" s="237">
        <v>50.63</v>
      </c>
      <c r="T34" s="237">
        <v>49.53</v>
      </c>
      <c r="U34" s="237">
        <v>48.44</v>
      </c>
      <c r="V34" s="237">
        <v>47.35</v>
      </c>
      <c r="W34" s="237">
        <v>46.26</v>
      </c>
      <c r="X34" s="51">
        <v>30</v>
      </c>
      <c r="Y34" s="237">
        <v>31.76</v>
      </c>
      <c r="Z34" s="237">
        <v>32.53</v>
      </c>
      <c r="AA34" s="131">
        <v>33.299999999999997</v>
      </c>
      <c r="AB34" s="122">
        <v>34.07</v>
      </c>
      <c r="AC34" s="123">
        <v>34.840000000000003</v>
      </c>
      <c r="AD34" s="288">
        <v>38.86</v>
      </c>
      <c r="AE34" s="289">
        <v>39.630000000000003</v>
      </c>
      <c r="AF34" s="289">
        <v>40.409999999999997</v>
      </c>
      <c r="AG34" s="310">
        <v>41.18</v>
      </c>
      <c r="AH34" s="290">
        <v>41.95</v>
      </c>
      <c r="AI34" s="293">
        <v>42.72</v>
      </c>
      <c r="AJ34" s="293">
        <v>43.49</v>
      </c>
      <c r="AK34" s="293">
        <v>44.26</v>
      </c>
      <c r="AL34" s="293">
        <v>45.03</v>
      </c>
      <c r="AM34" s="293">
        <v>45.8</v>
      </c>
      <c r="AN34" s="293">
        <v>46.57</v>
      </c>
      <c r="AO34" s="237">
        <v>44.1</v>
      </c>
      <c r="AP34" s="237">
        <v>44.87</v>
      </c>
      <c r="AQ34" s="237">
        <v>45.64</v>
      </c>
      <c r="AR34" s="237">
        <v>46.41</v>
      </c>
      <c r="AS34" s="237">
        <v>32.53</v>
      </c>
      <c r="AT34" s="237">
        <v>31.76</v>
      </c>
      <c r="AU34" s="237">
        <v>30.99</v>
      </c>
      <c r="AV34" s="237">
        <v>30.22</v>
      </c>
      <c r="AW34" s="237">
        <v>29.45</v>
      </c>
    </row>
    <row r="35" spans="1:49">
      <c r="A35" s="131">
        <v>53.41</v>
      </c>
      <c r="B35" s="122">
        <v>54.54</v>
      </c>
      <c r="C35" s="123">
        <v>55.67</v>
      </c>
      <c r="D35" s="288">
        <v>61.72</v>
      </c>
      <c r="E35" s="289">
        <v>62.85</v>
      </c>
      <c r="F35" s="289">
        <v>63.98</v>
      </c>
      <c r="G35" s="289">
        <v>65.11</v>
      </c>
      <c r="H35" s="290">
        <v>66.23</v>
      </c>
      <c r="I35" s="293">
        <v>67.36</v>
      </c>
      <c r="J35" s="293">
        <v>68.489999999999995</v>
      </c>
      <c r="K35" s="293">
        <v>69.62</v>
      </c>
      <c r="L35" s="293">
        <v>70.75</v>
      </c>
      <c r="M35" s="293">
        <v>71.88</v>
      </c>
      <c r="N35" s="293">
        <v>73</v>
      </c>
      <c r="O35" s="237">
        <v>69.209999999999994</v>
      </c>
      <c r="P35" s="237">
        <v>70.34</v>
      </c>
      <c r="Q35" s="237">
        <v>71.47</v>
      </c>
      <c r="R35" s="237">
        <v>72.59</v>
      </c>
      <c r="S35" s="237">
        <v>52.28</v>
      </c>
      <c r="T35" s="237">
        <v>51.15</v>
      </c>
      <c r="U35" s="237">
        <v>50.03</v>
      </c>
      <c r="V35" s="237">
        <v>48.9</v>
      </c>
      <c r="W35" s="237">
        <v>47.77</v>
      </c>
      <c r="X35" s="51">
        <v>31</v>
      </c>
      <c r="Y35" s="237">
        <v>32.81</v>
      </c>
      <c r="Z35" s="237">
        <v>33.6</v>
      </c>
      <c r="AA35" s="131">
        <v>34.4</v>
      </c>
      <c r="AB35" s="122">
        <v>35.200000000000003</v>
      </c>
      <c r="AC35" s="123">
        <v>35.99</v>
      </c>
      <c r="AD35" s="288">
        <v>40.14</v>
      </c>
      <c r="AE35" s="289">
        <v>40.94</v>
      </c>
      <c r="AF35" s="289">
        <v>41.73</v>
      </c>
      <c r="AG35" s="310">
        <v>42.53</v>
      </c>
      <c r="AH35" s="290">
        <v>43.33</v>
      </c>
      <c r="AI35" s="293">
        <v>44.12</v>
      </c>
      <c r="AJ35" s="293">
        <v>44.92</v>
      </c>
      <c r="AK35" s="293">
        <v>45.72</v>
      </c>
      <c r="AL35" s="293">
        <v>46.51</v>
      </c>
      <c r="AM35" s="293">
        <v>47.31</v>
      </c>
      <c r="AN35" s="293">
        <v>48.11</v>
      </c>
      <c r="AO35" s="237">
        <v>45.55</v>
      </c>
      <c r="AP35" s="237">
        <v>46.35</v>
      </c>
      <c r="AQ35" s="237">
        <v>47.15</v>
      </c>
      <c r="AR35" s="237">
        <v>47.94</v>
      </c>
      <c r="AS35" s="237">
        <v>33.6</v>
      </c>
      <c r="AT35" s="237">
        <v>32.81</v>
      </c>
      <c r="AU35" s="237">
        <v>32.01</v>
      </c>
      <c r="AV35" s="237">
        <v>31.21</v>
      </c>
      <c r="AW35" s="237">
        <v>30.42</v>
      </c>
    </row>
    <row r="36" spans="1:49">
      <c r="A36" s="133">
        <v>55.12</v>
      </c>
      <c r="B36" s="134">
        <v>56.28</v>
      </c>
      <c r="C36" s="135">
        <v>57.45</v>
      </c>
      <c r="D36" s="294">
        <v>63.69</v>
      </c>
      <c r="E36" s="295">
        <v>64.86</v>
      </c>
      <c r="F36" s="295">
        <v>66.02</v>
      </c>
      <c r="G36" s="295">
        <v>67.19</v>
      </c>
      <c r="H36" s="296">
        <v>68.349999999999994</v>
      </c>
      <c r="I36" s="293">
        <v>69.52</v>
      </c>
      <c r="J36" s="293">
        <v>70.680000000000007</v>
      </c>
      <c r="K36" s="293">
        <v>71.84</v>
      </c>
      <c r="L36" s="293">
        <v>73.010000000000005</v>
      </c>
      <c r="M36" s="293">
        <v>74.17</v>
      </c>
      <c r="N36" s="293">
        <v>75.34</v>
      </c>
      <c r="O36" s="237">
        <v>71.430000000000007</v>
      </c>
      <c r="P36" s="237">
        <v>72.59</v>
      </c>
      <c r="Q36" s="237">
        <v>73.75</v>
      </c>
      <c r="R36" s="237">
        <v>74.92</v>
      </c>
      <c r="S36" s="237">
        <v>53.95</v>
      </c>
      <c r="T36" s="237">
        <v>52.79</v>
      </c>
      <c r="U36" s="237">
        <v>51.62</v>
      </c>
      <c r="V36" s="237">
        <v>50.46</v>
      </c>
      <c r="W36" s="237">
        <v>49.29</v>
      </c>
      <c r="X36" s="51">
        <v>32</v>
      </c>
      <c r="Y36" s="237">
        <v>33.85</v>
      </c>
      <c r="Z36" s="237">
        <v>34.67</v>
      </c>
      <c r="AA36" s="133">
        <v>35.5</v>
      </c>
      <c r="AB36" s="134">
        <v>36.32</v>
      </c>
      <c r="AC36" s="123">
        <v>37.14</v>
      </c>
      <c r="AD36" s="294">
        <v>41.42</v>
      </c>
      <c r="AE36" s="295">
        <v>42.24</v>
      </c>
      <c r="AF36" s="295">
        <v>43.06</v>
      </c>
      <c r="AG36" s="310">
        <v>43.88</v>
      </c>
      <c r="AH36" s="296">
        <v>44.71</v>
      </c>
      <c r="AI36" s="293">
        <v>45.53</v>
      </c>
      <c r="AJ36" s="293">
        <v>46.35</v>
      </c>
      <c r="AK36" s="293">
        <v>47.17</v>
      </c>
      <c r="AL36" s="293">
        <v>48</v>
      </c>
      <c r="AM36" s="293">
        <v>48.82</v>
      </c>
      <c r="AN36" s="293">
        <v>49.64</v>
      </c>
      <c r="AO36" s="237">
        <v>47.01</v>
      </c>
      <c r="AP36" s="237">
        <v>47.83</v>
      </c>
      <c r="AQ36" s="237">
        <v>48.65</v>
      </c>
      <c r="AR36" s="237">
        <v>49.48</v>
      </c>
      <c r="AS36" s="237">
        <v>34.67</v>
      </c>
      <c r="AT36" s="237">
        <v>33.85</v>
      </c>
      <c r="AU36" s="237">
        <v>33.03</v>
      </c>
      <c r="AV36" s="237">
        <v>32.21</v>
      </c>
      <c r="AW36" s="237">
        <v>31.38</v>
      </c>
    </row>
    <row r="37" spans="1:49">
      <c r="A37" s="2">
        <v>56.82</v>
      </c>
      <c r="B37" s="59">
        <v>58.02</v>
      </c>
      <c r="C37" s="3">
        <v>59.22</v>
      </c>
      <c r="D37" s="297">
        <v>65.650000000000006</v>
      </c>
      <c r="E37" s="298">
        <v>66.849999999999994</v>
      </c>
      <c r="F37" s="298">
        <v>68.05</v>
      </c>
      <c r="G37" s="298">
        <v>69.260000000000005</v>
      </c>
      <c r="H37" s="299">
        <v>70.459999999999994</v>
      </c>
      <c r="I37" s="293">
        <v>71.66</v>
      </c>
      <c r="J37" s="293">
        <v>72.86</v>
      </c>
      <c r="K37" s="293">
        <v>74.06</v>
      </c>
      <c r="L37" s="293">
        <v>75.260000000000005</v>
      </c>
      <c r="M37" s="293">
        <v>76.459999999999994</v>
      </c>
      <c r="N37" s="293">
        <v>77.66</v>
      </c>
      <c r="O37" s="237">
        <v>73.63</v>
      </c>
      <c r="P37" s="237">
        <v>74.84</v>
      </c>
      <c r="Q37" s="237">
        <v>76.040000000000006</v>
      </c>
      <c r="R37" s="237">
        <v>77.239999999999995</v>
      </c>
      <c r="S37" s="237">
        <v>55.62</v>
      </c>
      <c r="T37" s="237">
        <v>54.42</v>
      </c>
      <c r="U37" s="237">
        <v>53.21</v>
      </c>
      <c r="V37" s="237">
        <v>52.01</v>
      </c>
      <c r="W37" s="237">
        <v>50.81</v>
      </c>
      <c r="X37" s="51">
        <v>33</v>
      </c>
      <c r="Y37" s="237">
        <v>34.9</v>
      </c>
      <c r="Z37" s="237">
        <v>35.74</v>
      </c>
      <c r="AA37" s="2">
        <v>36.590000000000003</v>
      </c>
      <c r="AB37" s="59">
        <v>37.44</v>
      </c>
      <c r="AC37" s="135">
        <v>38.29</v>
      </c>
      <c r="AD37" s="297">
        <v>42.69</v>
      </c>
      <c r="AE37" s="298">
        <v>43.54</v>
      </c>
      <c r="AF37" s="298">
        <v>44.39</v>
      </c>
      <c r="AG37" s="310">
        <v>45.24</v>
      </c>
      <c r="AH37" s="299">
        <v>46.09</v>
      </c>
      <c r="AI37" s="293">
        <v>46.93</v>
      </c>
      <c r="AJ37" s="293">
        <v>47.78</v>
      </c>
      <c r="AK37" s="293">
        <v>48.63</v>
      </c>
      <c r="AL37" s="293">
        <v>49.48</v>
      </c>
      <c r="AM37" s="293">
        <v>50.33</v>
      </c>
      <c r="AN37" s="293">
        <v>51.17</v>
      </c>
      <c r="AO37" s="237">
        <v>48.47</v>
      </c>
      <c r="AP37" s="237">
        <v>49.31</v>
      </c>
      <c r="AQ37" s="237">
        <v>50.16</v>
      </c>
      <c r="AR37" s="237">
        <v>51.01</v>
      </c>
      <c r="AS37" s="237">
        <v>35.74</v>
      </c>
      <c r="AT37" s="237">
        <v>34.9</v>
      </c>
      <c r="AU37" s="237">
        <v>34.049999999999997</v>
      </c>
      <c r="AV37" s="237">
        <v>33.200000000000003</v>
      </c>
      <c r="AW37" s="237">
        <v>32.35</v>
      </c>
    </row>
    <row r="38" spans="1:49">
      <c r="A38" s="2">
        <v>58.52</v>
      </c>
      <c r="B38" s="59">
        <v>59.76</v>
      </c>
      <c r="C38" s="3">
        <v>61</v>
      </c>
      <c r="D38" s="297">
        <v>67.62</v>
      </c>
      <c r="E38" s="298">
        <v>68.849999999999994</v>
      </c>
      <c r="F38" s="298">
        <v>70.09</v>
      </c>
      <c r="G38" s="298">
        <v>71.33</v>
      </c>
      <c r="H38" s="299">
        <v>72.569999999999993</v>
      </c>
      <c r="I38" s="293">
        <v>73.8</v>
      </c>
      <c r="J38" s="293">
        <v>75.040000000000006</v>
      </c>
      <c r="K38" s="293">
        <v>76.28</v>
      </c>
      <c r="L38" s="293">
        <v>77.52</v>
      </c>
      <c r="M38" s="293">
        <v>78.760000000000005</v>
      </c>
      <c r="N38" s="293">
        <v>79.989999999999995</v>
      </c>
      <c r="O38" s="237">
        <v>75.849999999999994</v>
      </c>
      <c r="P38" s="237">
        <v>77.08</v>
      </c>
      <c r="Q38" s="237">
        <v>78.319999999999993</v>
      </c>
      <c r="R38" s="237">
        <v>79.56</v>
      </c>
      <c r="S38" s="237">
        <v>57.28</v>
      </c>
      <c r="T38" s="237">
        <v>56.04</v>
      </c>
      <c r="U38" s="237">
        <v>54.81</v>
      </c>
      <c r="V38" s="237">
        <v>53.57</v>
      </c>
      <c r="W38" s="237">
        <v>52.33</v>
      </c>
      <c r="X38" s="51">
        <v>34</v>
      </c>
      <c r="Y38" s="237">
        <v>35.94</v>
      </c>
      <c r="Z38" s="237">
        <v>36.82</v>
      </c>
      <c r="AA38" s="2">
        <v>37.69</v>
      </c>
      <c r="AB38" s="59">
        <v>38.56</v>
      </c>
      <c r="AC38" s="3">
        <v>39.44</v>
      </c>
      <c r="AD38" s="297">
        <v>43.97</v>
      </c>
      <c r="AE38" s="298">
        <v>44.84</v>
      </c>
      <c r="AF38" s="298">
        <v>45.72</v>
      </c>
      <c r="AG38" s="310">
        <v>46.59</v>
      </c>
      <c r="AH38" s="299">
        <v>47.47</v>
      </c>
      <c r="AI38" s="293">
        <v>48.34</v>
      </c>
      <c r="AJ38" s="293">
        <v>49.21</v>
      </c>
      <c r="AK38" s="293">
        <v>50.09</v>
      </c>
      <c r="AL38" s="293">
        <v>50.96</v>
      </c>
      <c r="AM38" s="293">
        <v>51.83</v>
      </c>
      <c r="AN38" s="293">
        <v>52.71</v>
      </c>
      <c r="AO38" s="237">
        <v>49.92</v>
      </c>
      <c r="AP38" s="237">
        <v>50.8</v>
      </c>
      <c r="AQ38" s="237">
        <v>51.67</v>
      </c>
      <c r="AR38" s="237">
        <v>52.54</v>
      </c>
      <c r="AS38" s="237">
        <v>36.82</v>
      </c>
      <c r="AT38" s="237">
        <v>35.94</v>
      </c>
      <c r="AU38" s="237">
        <v>35.07</v>
      </c>
      <c r="AV38" s="237">
        <v>34.19</v>
      </c>
      <c r="AW38" s="237">
        <v>33.32</v>
      </c>
    </row>
    <row r="39" spans="1:49">
      <c r="A39" s="2">
        <v>60.21</v>
      </c>
      <c r="B39" s="59">
        <v>61.48</v>
      </c>
      <c r="C39" s="3">
        <v>62.76</v>
      </c>
      <c r="D39" s="297">
        <v>69.569999999999993</v>
      </c>
      <c r="E39" s="298">
        <v>70.84</v>
      </c>
      <c r="F39" s="298">
        <v>72.11</v>
      </c>
      <c r="G39" s="298">
        <v>73.39</v>
      </c>
      <c r="H39" s="299">
        <v>74.66</v>
      </c>
      <c r="I39" s="293">
        <v>75.94</v>
      </c>
      <c r="J39" s="293">
        <v>77.209999999999994</v>
      </c>
      <c r="K39" s="293">
        <v>78.48</v>
      </c>
      <c r="L39" s="293">
        <v>79.760000000000005</v>
      </c>
      <c r="M39" s="293">
        <v>81.03</v>
      </c>
      <c r="N39" s="293">
        <v>82.31</v>
      </c>
      <c r="O39" s="237">
        <v>78.05</v>
      </c>
      <c r="P39" s="237">
        <v>79.319999999999993</v>
      </c>
      <c r="Q39" s="237">
        <v>80.59</v>
      </c>
      <c r="R39" s="237">
        <v>81.87</v>
      </c>
      <c r="S39" s="237">
        <v>58.94</v>
      </c>
      <c r="T39" s="237">
        <v>57.66</v>
      </c>
      <c r="U39" s="237">
        <v>56.39</v>
      </c>
      <c r="V39" s="237">
        <v>55.11</v>
      </c>
      <c r="W39" s="237">
        <v>53.84</v>
      </c>
      <c r="X39" s="51">
        <v>35</v>
      </c>
      <c r="Y39" s="237">
        <v>36.99</v>
      </c>
      <c r="Z39" s="237">
        <v>37.89</v>
      </c>
      <c r="AA39" s="2">
        <v>38.79</v>
      </c>
      <c r="AB39" s="59">
        <v>39.69</v>
      </c>
      <c r="AC39" s="3">
        <v>40.590000000000003</v>
      </c>
      <c r="AD39" s="297">
        <v>45.25</v>
      </c>
      <c r="AE39" s="298">
        <v>46.15</v>
      </c>
      <c r="AF39" s="298">
        <v>47.05</v>
      </c>
      <c r="AG39" s="310">
        <v>47.95</v>
      </c>
      <c r="AH39" s="299">
        <v>48.84</v>
      </c>
      <c r="AI39" s="293">
        <v>49.74</v>
      </c>
      <c r="AJ39" s="293">
        <v>50.64</v>
      </c>
      <c r="AK39" s="293">
        <v>51.54</v>
      </c>
      <c r="AL39" s="293">
        <v>52.44</v>
      </c>
      <c r="AM39" s="293">
        <v>53.34</v>
      </c>
      <c r="AN39" s="293">
        <v>54.24</v>
      </c>
      <c r="AO39" s="237">
        <v>51.38</v>
      </c>
      <c r="AP39" s="237">
        <v>52.28</v>
      </c>
      <c r="AQ39" s="237">
        <v>53.18</v>
      </c>
      <c r="AR39" s="237">
        <v>54.08</v>
      </c>
      <c r="AS39" s="237">
        <v>37.89</v>
      </c>
      <c r="AT39" s="237">
        <v>36.99</v>
      </c>
      <c r="AU39" s="237">
        <v>36.090000000000003</v>
      </c>
      <c r="AV39" s="237">
        <v>35.19</v>
      </c>
      <c r="AW39" s="237">
        <v>34.29</v>
      </c>
    </row>
    <row r="40" spans="1:49">
      <c r="A40" s="2">
        <v>61.91</v>
      </c>
      <c r="B40" s="59">
        <v>63.22</v>
      </c>
      <c r="C40" s="3">
        <v>64.53</v>
      </c>
      <c r="D40" s="297">
        <v>71.53</v>
      </c>
      <c r="E40" s="298">
        <v>72.84</v>
      </c>
      <c r="F40" s="298">
        <v>74.150000000000006</v>
      </c>
      <c r="G40" s="298">
        <v>75.459999999999994</v>
      </c>
      <c r="H40" s="299">
        <v>76.77</v>
      </c>
      <c r="I40" s="293">
        <v>78.08</v>
      </c>
      <c r="J40" s="293">
        <v>79.39</v>
      </c>
      <c r="K40" s="293">
        <v>80.709999999999994</v>
      </c>
      <c r="L40" s="293">
        <v>82.02</v>
      </c>
      <c r="M40" s="293">
        <v>83.33</v>
      </c>
      <c r="N40" s="293">
        <v>84.64</v>
      </c>
      <c r="O40" s="237">
        <v>80.260000000000005</v>
      </c>
      <c r="P40" s="237">
        <v>81.569999999999993</v>
      </c>
      <c r="Q40" s="237">
        <v>82.88</v>
      </c>
      <c r="R40" s="237">
        <v>84.19</v>
      </c>
      <c r="S40" s="237">
        <v>60.6</v>
      </c>
      <c r="T40" s="237">
        <v>59.29</v>
      </c>
      <c r="U40" s="237">
        <v>57.98</v>
      </c>
      <c r="V40" s="237">
        <v>56.67</v>
      </c>
      <c r="W40" s="237">
        <v>55.36</v>
      </c>
      <c r="X40" s="51">
        <v>36</v>
      </c>
      <c r="Y40" s="237">
        <v>38.04</v>
      </c>
      <c r="Z40" s="237">
        <v>38.96</v>
      </c>
      <c r="AA40" s="2">
        <v>39.89</v>
      </c>
      <c r="AB40" s="59">
        <v>40.81</v>
      </c>
      <c r="AC40" s="3">
        <v>41.74</v>
      </c>
      <c r="AD40" s="297">
        <v>46.53</v>
      </c>
      <c r="AE40" s="298">
        <v>47.45</v>
      </c>
      <c r="AF40" s="298">
        <v>48.38</v>
      </c>
      <c r="AG40" s="310">
        <v>49.3</v>
      </c>
      <c r="AH40" s="299">
        <v>50.23</v>
      </c>
      <c r="AI40" s="293">
        <v>51.15</v>
      </c>
      <c r="AJ40" s="293">
        <v>52.08</v>
      </c>
      <c r="AK40" s="293">
        <v>53</v>
      </c>
      <c r="AL40" s="293">
        <v>53.93</v>
      </c>
      <c r="AM40" s="293">
        <v>54.85</v>
      </c>
      <c r="AN40" s="293">
        <v>55.78</v>
      </c>
      <c r="AO40" s="237">
        <v>52.84</v>
      </c>
      <c r="AP40" s="237">
        <v>53.76</v>
      </c>
      <c r="AQ40" s="237">
        <v>54.69</v>
      </c>
      <c r="AR40" s="237">
        <v>55.61</v>
      </c>
      <c r="AS40" s="237">
        <v>38.96</v>
      </c>
      <c r="AT40" s="237">
        <v>38.04</v>
      </c>
      <c r="AU40" s="237">
        <v>37.11</v>
      </c>
      <c r="AV40" s="237">
        <v>36.19</v>
      </c>
      <c r="AW40" s="237">
        <v>35.26</v>
      </c>
    </row>
    <row r="41" spans="1:49">
      <c r="A41" s="2">
        <v>63.62</v>
      </c>
      <c r="B41" s="59">
        <v>64.959999999999994</v>
      </c>
      <c r="C41" s="3">
        <v>66.31</v>
      </c>
      <c r="D41" s="297">
        <v>73.5</v>
      </c>
      <c r="E41" s="298">
        <v>74.849999999999994</v>
      </c>
      <c r="F41" s="298">
        <v>76.19</v>
      </c>
      <c r="G41" s="298">
        <v>77.540000000000006</v>
      </c>
      <c r="H41" s="299">
        <v>78.89</v>
      </c>
      <c r="I41" s="293">
        <v>80.23</v>
      </c>
      <c r="J41" s="293">
        <v>81.58</v>
      </c>
      <c r="K41" s="293">
        <v>82.93</v>
      </c>
      <c r="L41" s="293">
        <v>84.27</v>
      </c>
      <c r="M41" s="293">
        <v>85.62</v>
      </c>
      <c r="N41" s="293">
        <v>86.97</v>
      </c>
      <c r="O41" s="237">
        <v>82.47</v>
      </c>
      <c r="P41" s="237">
        <v>83.82</v>
      </c>
      <c r="Q41" s="237">
        <v>85.17</v>
      </c>
      <c r="R41" s="237">
        <v>86.51</v>
      </c>
      <c r="S41" s="237">
        <v>62.27</v>
      </c>
      <c r="T41" s="237">
        <v>60.92</v>
      </c>
      <c r="U41" s="237">
        <v>59.58</v>
      </c>
      <c r="V41" s="237">
        <v>58.23</v>
      </c>
      <c r="W41" s="237">
        <v>56.88</v>
      </c>
      <c r="X41" s="51">
        <v>37</v>
      </c>
      <c r="Y41" s="237">
        <v>39.08</v>
      </c>
      <c r="Z41" s="237">
        <v>40.03</v>
      </c>
      <c r="AA41" s="2">
        <v>40.98</v>
      </c>
      <c r="AB41" s="59">
        <v>41.93</v>
      </c>
      <c r="AC41" s="3">
        <v>42.88</v>
      </c>
      <c r="AD41" s="297">
        <v>47.8</v>
      </c>
      <c r="AE41" s="298">
        <v>48.75</v>
      </c>
      <c r="AF41" s="298">
        <v>49.7</v>
      </c>
      <c r="AG41" s="310">
        <v>50.65</v>
      </c>
      <c r="AH41" s="299">
        <v>51.61</v>
      </c>
      <c r="AI41" s="293">
        <v>52.56</v>
      </c>
      <c r="AJ41" s="293">
        <v>53.51</v>
      </c>
      <c r="AK41" s="293">
        <v>54.46</v>
      </c>
      <c r="AL41" s="293">
        <v>55.41</v>
      </c>
      <c r="AM41" s="293">
        <v>56.36</v>
      </c>
      <c r="AN41" s="293">
        <v>57.31</v>
      </c>
      <c r="AO41" s="237">
        <v>54.29</v>
      </c>
      <c r="AP41" s="237">
        <v>55.24</v>
      </c>
      <c r="AQ41" s="237">
        <v>56.19</v>
      </c>
      <c r="AR41" s="237">
        <v>57.15</v>
      </c>
      <c r="AS41" s="237">
        <v>40.03</v>
      </c>
      <c r="AT41" s="237">
        <v>39.08</v>
      </c>
      <c r="AU41" s="237">
        <v>38.130000000000003</v>
      </c>
      <c r="AV41" s="237">
        <v>37.18</v>
      </c>
      <c r="AW41" s="237">
        <v>36.229999999999997</v>
      </c>
    </row>
    <row r="42" spans="1:49">
      <c r="A42" s="2">
        <v>65.319999999999993</v>
      </c>
      <c r="B42" s="59">
        <v>66.7</v>
      </c>
      <c r="C42" s="3">
        <v>68.09</v>
      </c>
      <c r="D42" s="297">
        <v>75.459999999999994</v>
      </c>
      <c r="E42" s="298">
        <v>76.849999999999994</v>
      </c>
      <c r="F42" s="298">
        <v>78.23</v>
      </c>
      <c r="G42" s="298">
        <v>79.61</v>
      </c>
      <c r="H42" s="299">
        <v>80.989999999999995</v>
      </c>
      <c r="I42" s="293">
        <v>82.38</v>
      </c>
      <c r="J42" s="293">
        <v>83.76</v>
      </c>
      <c r="K42" s="293">
        <v>85.14</v>
      </c>
      <c r="L42" s="293">
        <v>86.53</v>
      </c>
      <c r="M42" s="293">
        <v>87.91</v>
      </c>
      <c r="N42" s="293">
        <v>89.29</v>
      </c>
      <c r="O42" s="237">
        <v>84.68</v>
      </c>
      <c r="P42" s="237">
        <v>86.07</v>
      </c>
      <c r="Q42" s="237">
        <v>87.45</v>
      </c>
      <c r="R42" s="237">
        <v>88.83</v>
      </c>
      <c r="S42" s="237">
        <v>63.94</v>
      </c>
      <c r="T42" s="237">
        <v>62.55</v>
      </c>
      <c r="U42" s="237">
        <v>61.17</v>
      </c>
      <c r="V42" s="237">
        <v>59.79</v>
      </c>
      <c r="W42" s="237">
        <v>58.4</v>
      </c>
      <c r="X42" s="51">
        <v>38</v>
      </c>
      <c r="Y42" s="237">
        <v>40.130000000000003</v>
      </c>
      <c r="Z42" s="237">
        <v>41.1</v>
      </c>
      <c r="AA42" s="2">
        <v>42.08</v>
      </c>
      <c r="AB42" s="59">
        <v>43.05</v>
      </c>
      <c r="AC42" s="3">
        <v>44.03</v>
      </c>
      <c r="AD42" s="297">
        <v>49.08</v>
      </c>
      <c r="AE42" s="298">
        <v>50.06</v>
      </c>
      <c r="AF42" s="298">
        <v>51.03</v>
      </c>
      <c r="AG42" s="310">
        <v>52.01</v>
      </c>
      <c r="AH42" s="299">
        <v>52.99</v>
      </c>
      <c r="AI42" s="293">
        <v>53.96</v>
      </c>
      <c r="AJ42" s="293">
        <v>54.94</v>
      </c>
      <c r="AK42" s="293">
        <v>55.92</v>
      </c>
      <c r="AL42" s="293">
        <v>56.89</v>
      </c>
      <c r="AM42" s="293">
        <v>57.87</v>
      </c>
      <c r="AN42" s="293">
        <v>58.85</v>
      </c>
      <c r="AO42" s="237">
        <v>55.75</v>
      </c>
      <c r="AP42" s="237">
        <v>56.73</v>
      </c>
      <c r="AQ42" s="237">
        <v>57.7</v>
      </c>
      <c r="AR42" s="237">
        <v>58.68</v>
      </c>
      <c r="AS42" s="237">
        <v>41.1</v>
      </c>
      <c r="AT42" s="237">
        <v>40.130000000000003</v>
      </c>
      <c r="AU42" s="237">
        <v>39.15</v>
      </c>
      <c r="AV42" s="237">
        <v>38.17</v>
      </c>
      <c r="AW42" s="237">
        <v>37.200000000000003</v>
      </c>
    </row>
    <row r="43" spans="1:49">
      <c r="A43" s="2">
        <v>67.02</v>
      </c>
      <c r="B43" s="59">
        <v>68.44</v>
      </c>
      <c r="C43" s="3">
        <v>69.86</v>
      </c>
      <c r="D43" s="297">
        <v>77.42</v>
      </c>
      <c r="E43" s="298">
        <v>78.84</v>
      </c>
      <c r="F43" s="298">
        <v>80.260000000000005</v>
      </c>
      <c r="G43" s="298">
        <v>81.680000000000007</v>
      </c>
      <c r="H43" s="299">
        <v>83.1</v>
      </c>
      <c r="I43" s="293">
        <v>84.52</v>
      </c>
      <c r="J43" s="293">
        <v>85.94</v>
      </c>
      <c r="K43" s="293">
        <v>87.36</v>
      </c>
      <c r="L43" s="293">
        <v>88.78</v>
      </c>
      <c r="M43" s="293">
        <v>90.2</v>
      </c>
      <c r="N43" s="293">
        <v>91.62</v>
      </c>
      <c r="O43" s="237">
        <v>86.89</v>
      </c>
      <c r="P43" s="237">
        <v>88.31</v>
      </c>
      <c r="Q43" s="237">
        <v>89.73</v>
      </c>
      <c r="R43" s="237">
        <v>91.15</v>
      </c>
      <c r="S43" s="237">
        <v>95.6</v>
      </c>
      <c r="T43" s="237">
        <v>64.180000000000007</v>
      </c>
      <c r="U43" s="237">
        <v>62.76</v>
      </c>
      <c r="V43" s="237">
        <v>61.34</v>
      </c>
      <c r="W43" s="237">
        <v>59.92</v>
      </c>
      <c r="X43" s="51">
        <v>39</v>
      </c>
      <c r="Y43" s="237">
        <v>41.17</v>
      </c>
      <c r="Z43" s="237">
        <v>42.18</v>
      </c>
      <c r="AA43" s="2">
        <v>43.18</v>
      </c>
      <c r="AB43" s="59">
        <v>44.18</v>
      </c>
      <c r="AC43" s="3">
        <v>45.18</v>
      </c>
      <c r="AD43" s="297">
        <v>50.36</v>
      </c>
      <c r="AE43" s="298">
        <v>51.36</v>
      </c>
      <c r="AF43" s="298">
        <v>52.37</v>
      </c>
      <c r="AG43" s="310">
        <v>53.37</v>
      </c>
      <c r="AH43" s="299">
        <v>54.37</v>
      </c>
      <c r="AI43" s="293">
        <v>55.37</v>
      </c>
      <c r="AJ43" s="293">
        <v>56.38</v>
      </c>
      <c r="AK43" s="293">
        <v>57.38</v>
      </c>
      <c r="AL43" s="293">
        <v>58.38</v>
      </c>
      <c r="AM43" s="293">
        <v>59.38</v>
      </c>
      <c r="AN43" s="293">
        <v>60.39</v>
      </c>
      <c r="AO43" s="237">
        <v>57.21</v>
      </c>
      <c r="AP43" s="237">
        <v>58.21</v>
      </c>
      <c r="AQ43" s="237">
        <v>59.22</v>
      </c>
      <c r="AR43" s="237">
        <v>60.22</v>
      </c>
      <c r="AS43" s="237">
        <v>42.18</v>
      </c>
      <c r="AT43" s="237">
        <v>41.17</v>
      </c>
      <c r="AU43" s="237">
        <v>40.17</v>
      </c>
      <c r="AV43" s="237">
        <v>39.17</v>
      </c>
      <c r="AW43" s="237">
        <v>38.17</v>
      </c>
    </row>
    <row r="44" spans="1:49">
      <c r="A44" s="2">
        <v>68.709999999999994</v>
      </c>
      <c r="B44" s="59">
        <v>70.17</v>
      </c>
      <c r="C44" s="3">
        <v>71.62</v>
      </c>
      <c r="D44" s="297">
        <v>79.38</v>
      </c>
      <c r="E44" s="298">
        <v>80.83</v>
      </c>
      <c r="F44" s="298">
        <v>82.29</v>
      </c>
      <c r="G44" s="298">
        <v>83.74</v>
      </c>
      <c r="H44" s="299">
        <v>85.2</v>
      </c>
      <c r="I44" s="293">
        <v>86.66</v>
      </c>
      <c r="J44" s="293">
        <v>88.11</v>
      </c>
      <c r="K44" s="293">
        <v>89.57</v>
      </c>
      <c r="L44" s="293">
        <v>91.02</v>
      </c>
      <c r="M44" s="293">
        <v>92.48</v>
      </c>
      <c r="N44" s="293">
        <v>93.94</v>
      </c>
      <c r="O44" s="237">
        <v>89.1</v>
      </c>
      <c r="P44" s="237">
        <v>90.55</v>
      </c>
      <c r="Q44" s="237">
        <v>92.01</v>
      </c>
      <c r="R44" s="237">
        <v>93.46</v>
      </c>
      <c r="S44" s="237">
        <v>67.260000000000005</v>
      </c>
      <c r="T44" s="237">
        <v>65.8</v>
      </c>
      <c r="U44" s="237">
        <v>64.34</v>
      </c>
      <c r="V44" s="237">
        <v>62.89</v>
      </c>
      <c r="W44" s="237">
        <v>61.53</v>
      </c>
      <c r="X44" s="51">
        <v>40</v>
      </c>
      <c r="Y44" s="237">
        <v>42.22</v>
      </c>
      <c r="Z44" s="237">
        <v>43.25</v>
      </c>
      <c r="AA44" s="2">
        <v>44.27</v>
      </c>
      <c r="AB44" s="59">
        <v>45.3</v>
      </c>
      <c r="AC44" s="3">
        <v>46.33</v>
      </c>
      <c r="AD44" s="297">
        <v>51.64</v>
      </c>
      <c r="AE44" s="298">
        <v>52.66</v>
      </c>
      <c r="AF44" s="298">
        <v>53.69</v>
      </c>
      <c r="AG44" s="310">
        <v>54.72</v>
      </c>
      <c r="AH44" s="299">
        <v>55.75</v>
      </c>
      <c r="AI44" s="293">
        <v>56.78</v>
      </c>
      <c r="AJ44" s="293">
        <v>57.8</v>
      </c>
      <c r="AK44" s="293">
        <v>58.83</v>
      </c>
      <c r="AL44" s="293">
        <v>59.86</v>
      </c>
      <c r="AM44" s="293">
        <v>60.89</v>
      </c>
      <c r="AN44" s="293">
        <v>61.92</v>
      </c>
      <c r="AO44" s="237">
        <v>58.67</v>
      </c>
      <c r="AP44" s="237">
        <v>59.69</v>
      </c>
      <c r="AQ44" s="237">
        <v>60.72</v>
      </c>
      <c r="AR44" s="237">
        <v>61.75</v>
      </c>
      <c r="AS44" s="237">
        <v>43.25</v>
      </c>
      <c r="AT44" s="237">
        <v>42.22</v>
      </c>
      <c r="AU44" s="237">
        <v>41.19</v>
      </c>
      <c r="AV44" s="237">
        <v>40.159999999999997</v>
      </c>
      <c r="AW44" s="237">
        <v>39.130000000000003</v>
      </c>
    </row>
    <row r="45" spans="1:49">
      <c r="A45" s="2">
        <v>70.42</v>
      </c>
      <c r="B45" s="59">
        <v>71.91</v>
      </c>
      <c r="C45" s="3">
        <v>73.400000000000006</v>
      </c>
      <c r="D45" s="297">
        <v>81.349999999999994</v>
      </c>
      <c r="E45" s="298">
        <v>82.84</v>
      </c>
      <c r="F45" s="298">
        <v>84.33</v>
      </c>
      <c r="G45" s="298">
        <v>85.82</v>
      </c>
      <c r="H45" s="299">
        <v>87.32</v>
      </c>
      <c r="I45" s="293">
        <v>88.81</v>
      </c>
      <c r="J45" s="293">
        <v>90.3</v>
      </c>
      <c r="K45" s="293">
        <v>91.79</v>
      </c>
      <c r="L45" s="293">
        <v>93.28</v>
      </c>
      <c r="M45" s="293">
        <v>94.78</v>
      </c>
      <c r="N45" s="293">
        <v>96.27</v>
      </c>
      <c r="O45" s="237">
        <v>91.31</v>
      </c>
      <c r="P45" s="237">
        <v>92.8</v>
      </c>
      <c r="Q45" s="237">
        <v>94.3</v>
      </c>
      <c r="R45" s="237">
        <v>95.79</v>
      </c>
      <c r="S45" s="237">
        <v>68.930000000000007</v>
      </c>
      <c r="T45" s="237">
        <v>67.430000000000007</v>
      </c>
      <c r="U45" s="237">
        <v>65.94</v>
      </c>
      <c r="V45" s="237">
        <v>64.400000000000006</v>
      </c>
      <c r="W45" s="237">
        <v>62.96</v>
      </c>
      <c r="X45" s="51">
        <v>41</v>
      </c>
      <c r="Y45" s="237">
        <v>43.26</v>
      </c>
      <c r="Z45" s="237">
        <v>44.32</v>
      </c>
      <c r="AA45" s="2">
        <v>45.37</v>
      </c>
      <c r="AB45" s="59">
        <v>46.42</v>
      </c>
      <c r="AC45" s="3">
        <v>47.48</v>
      </c>
      <c r="AD45" s="297">
        <v>52.91</v>
      </c>
      <c r="AE45" s="298">
        <v>53.97</v>
      </c>
      <c r="AF45" s="298">
        <v>55.02</v>
      </c>
      <c r="AG45" s="310">
        <v>56.07</v>
      </c>
      <c r="AH45" s="299">
        <v>57.13</v>
      </c>
      <c r="AI45" s="293">
        <v>58.18</v>
      </c>
      <c r="AJ45" s="293">
        <v>59.24</v>
      </c>
      <c r="AK45" s="293">
        <v>60.29</v>
      </c>
      <c r="AL45" s="293">
        <v>61.34</v>
      </c>
      <c r="AM45" s="293">
        <v>62.4</v>
      </c>
      <c r="AN45" s="293">
        <v>63.45</v>
      </c>
      <c r="AO45" s="237">
        <v>60.12</v>
      </c>
      <c r="AP45" s="237">
        <v>61.18</v>
      </c>
      <c r="AQ45" s="237">
        <v>62.23</v>
      </c>
      <c r="AR45" s="237">
        <v>63.28</v>
      </c>
      <c r="AS45" s="237">
        <v>44.32</v>
      </c>
      <c r="AT45" s="237">
        <v>43.26</v>
      </c>
      <c r="AU45" s="237">
        <v>42.21</v>
      </c>
      <c r="AV45" s="237">
        <v>41.16</v>
      </c>
      <c r="AW45" s="237">
        <v>40.1</v>
      </c>
    </row>
    <row r="46" spans="1:49">
      <c r="A46" s="2">
        <v>72.12</v>
      </c>
      <c r="B46" s="59">
        <v>73.650000000000006</v>
      </c>
      <c r="C46" s="3">
        <v>75.180000000000007</v>
      </c>
      <c r="D46" s="297">
        <v>83.31</v>
      </c>
      <c r="E46" s="298">
        <v>84.84</v>
      </c>
      <c r="F46" s="298">
        <v>86.37</v>
      </c>
      <c r="G46" s="298">
        <v>87.89</v>
      </c>
      <c r="H46" s="299">
        <v>89.42</v>
      </c>
      <c r="I46" s="293">
        <v>90.95</v>
      </c>
      <c r="J46" s="293">
        <v>92.48</v>
      </c>
      <c r="K46" s="293">
        <v>94.01</v>
      </c>
      <c r="L46" s="293">
        <v>95.54</v>
      </c>
      <c r="M46" s="293">
        <v>97.07</v>
      </c>
      <c r="N46" s="293">
        <v>98.6</v>
      </c>
      <c r="O46" s="237">
        <v>93.52</v>
      </c>
      <c r="P46" s="237">
        <v>95.05</v>
      </c>
      <c r="Q46" s="237">
        <v>96.58</v>
      </c>
      <c r="R46" s="237">
        <v>98.11</v>
      </c>
      <c r="S46" s="237">
        <v>70.59</v>
      </c>
      <c r="T46" s="237">
        <v>69.06</v>
      </c>
      <c r="U46" s="237">
        <v>67.53</v>
      </c>
      <c r="V46" s="237">
        <v>66</v>
      </c>
      <c r="W46" s="237">
        <v>64.47</v>
      </c>
      <c r="X46" s="51">
        <v>42</v>
      </c>
      <c r="Y46" s="237">
        <v>44.31</v>
      </c>
      <c r="Z46" s="237">
        <v>45.39</v>
      </c>
      <c r="AA46" s="2">
        <v>46.47</v>
      </c>
      <c r="AB46" s="59">
        <v>47.55</v>
      </c>
      <c r="AC46" s="3">
        <v>48.63</v>
      </c>
      <c r="AD46" s="297">
        <v>54.19</v>
      </c>
      <c r="AE46" s="298">
        <v>55.27</v>
      </c>
      <c r="AF46" s="298">
        <v>56.35</v>
      </c>
      <c r="AG46" s="310">
        <v>57.43</v>
      </c>
      <c r="AH46" s="299">
        <v>58.51</v>
      </c>
      <c r="AI46" s="293">
        <v>59.59</v>
      </c>
      <c r="AJ46" s="293">
        <v>60.67</v>
      </c>
      <c r="AK46" s="293">
        <v>61.75</v>
      </c>
      <c r="AL46" s="293">
        <v>62.83</v>
      </c>
      <c r="AM46" s="293">
        <v>63.91</v>
      </c>
      <c r="AN46" s="293">
        <v>64.989999999999995</v>
      </c>
      <c r="AO46" s="237">
        <v>61.58</v>
      </c>
      <c r="AP46" s="237">
        <v>62.66</v>
      </c>
      <c r="AQ46" s="237">
        <v>63.74</v>
      </c>
      <c r="AR46" s="237">
        <v>64.819999999999993</v>
      </c>
      <c r="AS46" s="237">
        <v>45.39</v>
      </c>
      <c r="AT46" s="237">
        <v>44.31</v>
      </c>
      <c r="AU46" s="237">
        <v>43.23</v>
      </c>
      <c r="AV46" s="237">
        <v>42.15</v>
      </c>
      <c r="AW46" s="237">
        <v>41.07</v>
      </c>
    </row>
    <row r="47" spans="1:49">
      <c r="A47" s="2">
        <v>73.81</v>
      </c>
      <c r="B47" s="59">
        <v>75.38</v>
      </c>
      <c r="C47" s="3">
        <v>76.94</v>
      </c>
      <c r="D47" s="297">
        <v>85.26</v>
      </c>
      <c r="E47" s="298">
        <v>86.83</v>
      </c>
      <c r="F47" s="298">
        <v>88.39</v>
      </c>
      <c r="G47" s="298">
        <v>89.96</v>
      </c>
      <c r="H47" s="299">
        <v>91.52</v>
      </c>
      <c r="I47" s="293">
        <v>93.09</v>
      </c>
      <c r="J47" s="293">
        <v>94.65</v>
      </c>
      <c r="K47" s="293">
        <v>96.22</v>
      </c>
      <c r="L47" s="293">
        <v>97.78</v>
      </c>
      <c r="M47" s="293">
        <v>99.35</v>
      </c>
      <c r="N47" s="293">
        <v>100.91</v>
      </c>
      <c r="O47" s="237">
        <v>95.72</v>
      </c>
      <c r="P47" s="237">
        <v>97.29</v>
      </c>
      <c r="Q47" s="237">
        <v>98.85</v>
      </c>
      <c r="R47" s="237">
        <v>100.42</v>
      </c>
      <c r="S47" s="237">
        <v>72.25</v>
      </c>
      <c r="T47" s="237">
        <v>70.680000000000007</v>
      </c>
      <c r="U47" s="237">
        <v>69.12</v>
      </c>
      <c r="V47" s="237">
        <v>67.55</v>
      </c>
      <c r="W47" s="237">
        <v>65.989999999999995</v>
      </c>
      <c r="X47" s="51">
        <v>43</v>
      </c>
      <c r="Y47" s="237">
        <v>45.35</v>
      </c>
      <c r="Z47" s="237">
        <v>46.46</v>
      </c>
      <c r="AA47" s="2">
        <v>47.56</v>
      </c>
      <c r="AB47" s="59">
        <v>48.67</v>
      </c>
      <c r="AC47" s="3">
        <v>49.77</v>
      </c>
      <c r="AD47" s="297">
        <v>55.46</v>
      </c>
      <c r="AE47" s="298">
        <v>56.57</v>
      </c>
      <c r="AF47" s="298">
        <v>57.67</v>
      </c>
      <c r="AG47" s="310">
        <v>58.78</v>
      </c>
      <c r="AH47" s="299">
        <v>59.89</v>
      </c>
      <c r="AI47" s="293">
        <v>60.99</v>
      </c>
      <c r="AJ47" s="293">
        <v>62.1</v>
      </c>
      <c r="AK47" s="293">
        <v>63.2</v>
      </c>
      <c r="AL47" s="293">
        <v>65.31</v>
      </c>
      <c r="AM47" s="293">
        <v>65.41</v>
      </c>
      <c r="AN47" s="293">
        <v>66.52</v>
      </c>
      <c r="AO47" s="237">
        <v>63.03</v>
      </c>
      <c r="AP47" s="237">
        <v>64.14</v>
      </c>
      <c r="AQ47" s="237">
        <v>65.239999999999995</v>
      </c>
      <c r="AR47" s="237">
        <v>66.349999999999994</v>
      </c>
      <c r="AS47" s="237">
        <v>46.46</v>
      </c>
      <c r="AT47" s="237">
        <v>45.35</v>
      </c>
      <c r="AU47" s="237">
        <v>44.25</v>
      </c>
      <c r="AV47" s="237">
        <v>43.14</v>
      </c>
      <c r="AW47" s="237">
        <v>42.04</v>
      </c>
    </row>
    <row r="48" spans="1:49">
      <c r="A48" s="2">
        <v>75.52</v>
      </c>
      <c r="B48" s="59">
        <v>77.12</v>
      </c>
      <c r="C48" s="3">
        <v>78.72</v>
      </c>
      <c r="D48" s="297">
        <v>87.23</v>
      </c>
      <c r="E48" s="298">
        <v>88.83</v>
      </c>
      <c r="F48" s="298">
        <v>90.43</v>
      </c>
      <c r="G48" s="298">
        <v>92.03</v>
      </c>
      <c r="H48" s="299">
        <v>93.63</v>
      </c>
      <c r="I48" s="293">
        <v>95.23</v>
      </c>
      <c r="J48" s="293">
        <v>96.84</v>
      </c>
      <c r="K48" s="293">
        <v>98.44</v>
      </c>
      <c r="L48" s="293">
        <v>100.04</v>
      </c>
      <c r="M48" s="293">
        <v>101.64</v>
      </c>
      <c r="N48" s="293">
        <v>103.24</v>
      </c>
      <c r="O48" s="237">
        <v>97.94</v>
      </c>
      <c r="P48" s="237">
        <v>99.54</v>
      </c>
      <c r="Q48" s="237">
        <v>101.14</v>
      </c>
      <c r="R48" s="237">
        <v>102.74</v>
      </c>
      <c r="S48" s="237">
        <v>73.91</v>
      </c>
      <c r="T48" s="237">
        <v>72.31</v>
      </c>
      <c r="U48" s="237">
        <v>70.709999999999994</v>
      </c>
      <c r="V48" s="237">
        <v>69.11</v>
      </c>
      <c r="W48" s="237">
        <v>67.510000000000005</v>
      </c>
      <c r="X48" s="51">
        <v>44</v>
      </c>
      <c r="Y48" s="237">
        <v>46.4</v>
      </c>
      <c r="Z48" s="237">
        <v>47.53</v>
      </c>
      <c r="AA48" s="2">
        <v>48.66</v>
      </c>
      <c r="AB48" s="59">
        <v>49.79</v>
      </c>
      <c r="AC48" s="3">
        <v>50.92</v>
      </c>
      <c r="AD48" s="297">
        <v>56.75</v>
      </c>
      <c r="AE48" s="298">
        <v>57.88</v>
      </c>
      <c r="AF48" s="298">
        <v>59.01</v>
      </c>
      <c r="AG48" s="310">
        <v>60.14</v>
      </c>
      <c r="AH48" s="299">
        <v>61.27</v>
      </c>
      <c r="AI48" s="293">
        <v>62.4</v>
      </c>
      <c r="AJ48" s="293">
        <v>63.53</v>
      </c>
      <c r="AK48" s="293">
        <v>64.66</v>
      </c>
      <c r="AL48" s="293">
        <v>65.790000000000006</v>
      </c>
      <c r="AM48" s="293">
        <v>66.92</v>
      </c>
      <c r="AN48" s="293">
        <v>68.05</v>
      </c>
      <c r="AO48" s="237">
        <v>64.489999999999995</v>
      </c>
      <c r="AP48" s="237">
        <v>65.63</v>
      </c>
      <c r="AQ48" s="237">
        <v>66.760000000000005</v>
      </c>
      <c r="AR48" s="237">
        <v>67.89</v>
      </c>
      <c r="AS48" s="237">
        <v>47.53</v>
      </c>
      <c r="AT48" s="237">
        <v>46.4</v>
      </c>
      <c r="AU48" s="237">
        <v>45.27</v>
      </c>
      <c r="AV48" s="237">
        <v>44.14</v>
      </c>
      <c r="AW48" s="237">
        <v>43.01</v>
      </c>
    </row>
    <row r="49" spans="1:49">
      <c r="A49" s="2">
        <v>77.209999999999994</v>
      </c>
      <c r="B49" s="59">
        <v>78.849999999999994</v>
      </c>
      <c r="C49" s="3">
        <v>80.489999999999995</v>
      </c>
      <c r="D49" s="297">
        <v>89.18</v>
      </c>
      <c r="E49" s="298">
        <v>90.82</v>
      </c>
      <c r="F49" s="298">
        <v>92.46</v>
      </c>
      <c r="G49" s="298">
        <v>94.09</v>
      </c>
      <c r="H49" s="299">
        <v>95.73</v>
      </c>
      <c r="I49" s="293">
        <v>97.37</v>
      </c>
      <c r="J49" s="293">
        <v>99.01</v>
      </c>
      <c r="K49" s="293">
        <v>100.65</v>
      </c>
      <c r="L49" s="293">
        <v>102.28</v>
      </c>
      <c r="M49" s="293">
        <v>103.92</v>
      </c>
      <c r="N49" s="293">
        <v>105.56</v>
      </c>
      <c r="O49" s="237">
        <v>100.14</v>
      </c>
      <c r="P49" s="237">
        <v>101.78</v>
      </c>
      <c r="Q49" s="237">
        <v>103.42</v>
      </c>
      <c r="R49" s="237">
        <v>105.06</v>
      </c>
      <c r="S49" s="237">
        <v>75.569999999999993</v>
      </c>
      <c r="T49" s="237">
        <v>73.930000000000007</v>
      </c>
      <c r="U49" s="237">
        <v>72.3</v>
      </c>
      <c r="V49" s="237">
        <v>70.66</v>
      </c>
      <c r="W49" s="237">
        <v>69.02</v>
      </c>
      <c r="X49" s="51">
        <v>45</v>
      </c>
      <c r="Y49" s="237">
        <v>47.45</v>
      </c>
      <c r="Z49" s="237">
        <v>48.6</v>
      </c>
      <c r="AA49" s="2">
        <v>49.76</v>
      </c>
      <c r="AB49" s="59">
        <v>50.92</v>
      </c>
      <c r="AC49" s="3">
        <v>52.07</v>
      </c>
      <c r="AD49" s="297">
        <v>58.02</v>
      </c>
      <c r="AE49" s="298">
        <v>59.18</v>
      </c>
      <c r="AF49" s="298">
        <v>60.34</v>
      </c>
      <c r="AG49" s="310">
        <v>61.49</v>
      </c>
      <c r="AH49" s="299">
        <v>62.65</v>
      </c>
      <c r="AI49" s="293">
        <v>63.81</v>
      </c>
      <c r="AJ49" s="293">
        <v>64.959999999999994</v>
      </c>
      <c r="AK49" s="293">
        <v>66.12</v>
      </c>
      <c r="AL49" s="293">
        <v>67.28</v>
      </c>
      <c r="AM49" s="293">
        <v>68.430000000000007</v>
      </c>
      <c r="AN49" s="293">
        <v>69.59</v>
      </c>
      <c r="AO49" s="237">
        <v>65.95</v>
      </c>
      <c r="AP49" s="237">
        <v>67.11</v>
      </c>
      <c r="AQ49" s="237">
        <v>68.260000000000005</v>
      </c>
      <c r="AR49" s="237">
        <v>69.42</v>
      </c>
      <c r="AS49" s="237">
        <v>48.6</v>
      </c>
      <c r="AT49" s="237">
        <v>47.45</v>
      </c>
      <c r="AU49" s="237">
        <v>46.29</v>
      </c>
      <c r="AV49" s="237">
        <v>45.13</v>
      </c>
      <c r="AW49" s="237">
        <v>43.98</v>
      </c>
    </row>
    <row r="50" spans="1:49">
      <c r="A50" s="2">
        <v>78.91</v>
      </c>
      <c r="B50" s="59">
        <v>80.59</v>
      </c>
      <c r="C50" s="3">
        <v>82.26</v>
      </c>
      <c r="D50" s="297">
        <v>91.15</v>
      </c>
      <c r="E50" s="298">
        <v>92.82</v>
      </c>
      <c r="F50" s="298">
        <v>94.5</v>
      </c>
      <c r="G50" s="298">
        <v>96.17</v>
      </c>
      <c r="H50" s="299">
        <v>97.85</v>
      </c>
      <c r="I50" s="293">
        <v>99.52</v>
      </c>
      <c r="J50" s="293">
        <v>101.2</v>
      </c>
      <c r="K50" s="293">
        <v>102.87</v>
      </c>
      <c r="L50" s="293">
        <v>104.54</v>
      </c>
      <c r="M50" s="293">
        <v>106.22</v>
      </c>
      <c r="N50" s="293">
        <v>107.89</v>
      </c>
      <c r="O50" s="237">
        <v>102.36</v>
      </c>
      <c r="P50" s="237">
        <v>104.03</v>
      </c>
      <c r="Q50" s="237">
        <v>105.71</v>
      </c>
      <c r="R50" s="237">
        <v>107.38</v>
      </c>
      <c r="S50" s="237">
        <v>77.239999999999995</v>
      </c>
      <c r="T50" s="237">
        <v>75.569999999999993</v>
      </c>
      <c r="U50" s="237">
        <v>73.89</v>
      </c>
      <c r="V50" s="237">
        <v>72.22</v>
      </c>
      <c r="W50" s="237">
        <v>70.540000000000006</v>
      </c>
      <c r="X50" s="51">
        <v>46</v>
      </c>
      <c r="Y50" s="237">
        <v>48.5</v>
      </c>
      <c r="Z50" s="237">
        <v>49.68</v>
      </c>
      <c r="AA50" s="2">
        <v>50.86</v>
      </c>
      <c r="AB50" s="59">
        <v>52.04</v>
      </c>
      <c r="AC50" s="3">
        <v>53.23</v>
      </c>
      <c r="AD50" s="297">
        <v>59.31</v>
      </c>
      <c r="AE50" s="298">
        <v>60.49</v>
      </c>
      <c r="AF50" s="298">
        <v>61.67</v>
      </c>
      <c r="AG50" s="310">
        <v>62.85</v>
      </c>
      <c r="AH50" s="299">
        <v>64.03</v>
      </c>
      <c r="AI50" s="293">
        <v>65.22</v>
      </c>
      <c r="AJ50" s="293">
        <v>66.400000000000006</v>
      </c>
      <c r="AK50" s="293">
        <v>67.58</v>
      </c>
      <c r="AL50" s="293">
        <v>68.760000000000005</v>
      </c>
      <c r="AM50" s="293">
        <v>69.95</v>
      </c>
      <c r="AN50" s="293">
        <v>71.13</v>
      </c>
      <c r="AO50" s="237">
        <v>67.41</v>
      </c>
      <c r="AP50" s="237">
        <v>68.59</v>
      </c>
      <c r="AQ50" s="237">
        <v>69.78</v>
      </c>
      <c r="AR50" s="237">
        <v>70.959999999999994</v>
      </c>
      <c r="AS50" s="237">
        <v>49.68</v>
      </c>
      <c r="AT50" s="237">
        <v>48.5</v>
      </c>
      <c r="AU50" s="237">
        <v>47.31</v>
      </c>
      <c r="AV50" s="237">
        <v>46.13</v>
      </c>
      <c r="AW50" s="237">
        <v>44.95</v>
      </c>
    </row>
    <row r="51" spans="1:49">
      <c r="A51" s="2">
        <v>80.61</v>
      </c>
      <c r="B51" s="59">
        <v>82.32</v>
      </c>
      <c r="C51" s="3">
        <v>84.03</v>
      </c>
      <c r="D51" s="297">
        <v>93.1</v>
      </c>
      <c r="E51" s="298">
        <v>94.81</v>
      </c>
      <c r="F51" s="298">
        <v>96.52</v>
      </c>
      <c r="G51" s="298">
        <v>98.23</v>
      </c>
      <c r="H51" s="299">
        <v>99.94</v>
      </c>
      <c r="I51" s="293">
        <v>101.66</v>
      </c>
      <c r="J51" s="293">
        <v>103.37</v>
      </c>
      <c r="K51" s="293">
        <v>105.08</v>
      </c>
      <c r="L51" s="293">
        <v>106.79</v>
      </c>
      <c r="M51" s="293">
        <v>108.5</v>
      </c>
      <c r="N51" s="293">
        <v>110.21</v>
      </c>
      <c r="O51" s="237">
        <v>104.56</v>
      </c>
      <c r="P51" s="237">
        <v>106.27</v>
      </c>
      <c r="Q51" s="237">
        <v>107.98</v>
      </c>
      <c r="R51" s="237">
        <v>109.69</v>
      </c>
      <c r="S51" s="237">
        <v>78.900000000000006</v>
      </c>
      <c r="T51" s="237">
        <v>77.19</v>
      </c>
      <c r="U51" s="237">
        <v>75.48</v>
      </c>
      <c r="V51" s="237">
        <v>73.760000000000005</v>
      </c>
      <c r="W51" s="237">
        <v>72.05</v>
      </c>
      <c r="X51" s="51">
        <v>47</v>
      </c>
      <c r="Y51" s="237">
        <v>49.54</v>
      </c>
      <c r="Z51" s="237">
        <v>50.75</v>
      </c>
      <c r="AA51" s="2">
        <v>51.96</v>
      </c>
      <c r="AB51" s="59">
        <v>53.16</v>
      </c>
      <c r="AC51" s="3">
        <v>54.37</v>
      </c>
      <c r="AD51" s="297">
        <v>60.58</v>
      </c>
      <c r="AE51" s="298">
        <v>61.79</v>
      </c>
      <c r="AF51" s="298">
        <v>63</v>
      </c>
      <c r="AG51" s="310">
        <v>64.209999999999994</v>
      </c>
      <c r="AH51" s="299">
        <v>65.41</v>
      </c>
      <c r="AI51" s="293">
        <v>66.62</v>
      </c>
      <c r="AJ51" s="293">
        <v>67.83</v>
      </c>
      <c r="AK51" s="293">
        <v>69.040000000000006</v>
      </c>
      <c r="AL51" s="293">
        <v>70.239999999999995</v>
      </c>
      <c r="AM51" s="293">
        <v>71.45</v>
      </c>
      <c r="AN51" s="293">
        <v>72.66</v>
      </c>
      <c r="AO51" s="237">
        <v>68.87</v>
      </c>
      <c r="AP51" s="237">
        <v>70.08</v>
      </c>
      <c r="AQ51" s="237">
        <v>71.28</v>
      </c>
      <c r="AR51" s="237">
        <v>72.489999999999995</v>
      </c>
      <c r="AS51" s="237">
        <v>50.75</v>
      </c>
      <c r="AT51" s="237">
        <v>49.54</v>
      </c>
      <c r="AU51" s="237">
        <v>48.33</v>
      </c>
      <c r="AV51" s="237">
        <v>47.13</v>
      </c>
      <c r="AW51" s="237">
        <v>45.92</v>
      </c>
    </row>
    <row r="52" spans="1:49">
      <c r="A52" s="2">
        <v>82.31</v>
      </c>
      <c r="B52" s="59">
        <v>84.06</v>
      </c>
      <c r="C52" s="3">
        <v>85.81</v>
      </c>
      <c r="D52" s="297">
        <v>95.07</v>
      </c>
      <c r="E52" s="298">
        <v>96.81</v>
      </c>
      <c r="F52" s="298">
        <v>98.56</v>
      </c>
      <c r="G52" s="298">
        <v>100.31</v>
      </c>
      <c r="H52" s="299">
        <v>102.06</v>
      </c>
      <c r="I52" s="293">
        <v>103.8</v>
      </c>
      <c r="J52" s="293">
        <v>105.55</v>
      </c>
      <c r="K52" s="293">
        <v>107.3</v>
      </c>
      <c r="L52" s="293">
        <v>109.04</v>
      </c>
      <c r="M52" s="293">
        <v>110.79</v>
      </c>
      <c r="N52" s="293">
        <v>112.54</v>
      </c>
      <c r="O52" s="237">
        <v>106.77</v>
      </c>
      <c r="P52" s="237">
        <v>108.52</v>
      </c>
      <c r="Q52" s="237">
        <v>110.27</v>
      </c>
      <c r="R52" s="237">
        <v>112.01</v>
      </c>
      <c r="S52" s="237">
        <v>80.56</v>
      </c>
      <c r="T52" s="237">
        <v>78.819999999999993</v>
      </c>
      <c r="U52" s="237">
        <v>77.069999999999993</v>
      </c>
      <c r="V52" s="237">
        <v>75.319999999999993</v>
      </c>
      <c r="W52" s="237">
        <v>73.58</v>
      </c>
      <c r="X52" s="51">
        <v>48</v>
      </c>
      <c r="Y52" s="237">
        <v>50.58</v>
      </c>
      <c r="Z52" s="237">
        <v>51.81</v>
      </c>
      <c r="AA52" s="2">
        <v>53.05</v>
      </c>
      <c r="AB52" s="59">
        <v>54.28</v>
      </c>
      <c r="AC52" s="3">
        <v>55.52</v>
      </c>
      <c r="AD52" s="297">
        <v>61.85</v>
      </c>
      <c r="AE52" s="298">
        <v>63.08</v>
      </c>
      <c r="AF52" s="298">
        <v>64.319999999999993</v>
      </c>
      <c r="AG52" s="310">
        <v>65.55</v>
      </c>
      <c r="AH52" s="299">
        <v>66.790000000000006</v>
      </c>
      <c r="AI52" s="293">
        <v>68.02</v>
      </c>
      <c r="AJ52" s="293">
        <v>69.25</v>
      </c>
      <c r="AK52" s="293">
        <v>70.489999999999995</v>
      </c>
      <c r="AL52" s="293">
        <v>71.72</v>
      </c>
      <c r="AM52" s="293">
        <v>72.95</v>
      </c>
      <c r="AN52" s="293">
        <v>74.19</v>
      </c>
      <c r="AO52" s="237">
        <v>70.319999999999993</v>
      </c>
      <c r="AP52" s="237">
        <v>71.55</v>
      </c>
      <c r="AQ52" s="237">
        <v>72.790000000000006</v>
      </c>
      <c r="AR52" s="237">
        <v>74.02</v>
      </c>
      <c r="AS52" s="237">
        <v>51.81</v>
      </c>
      <c r="AT52" s="237">
        <v>50.58</v>
      </c>
      <c r="AU52" s="237">
        <v>49.35</v>
      </c>
      <c r="AV52" s="237">
        <v>48.11</v>
      </c>
      <c r="AW52" s="237">
        <v>46.88</v>
      </c>
    </row>
    <row r="53" spans="1:49">
      <c r="A53" s="2">
        <v>84</v>
      </c>
      <c r="B53" s="59">
        <v>85.78</v>
      </c>
      <c r="C53" s="3">
        <v>87.57</v>
      </c>
      <c r="D53" s="297">
        <v>97.01</v>
      </c>
      <c r="E53" s="298">
        <v>98.8</v>
      </c>
      <c r="F53" s="298">
        <v>100.58</v>
      </c>
      <c r="G53" s="298">
        <v>102.37</v>
      </c>
      <c r="H53" s="299">
        <v>104.15</v>
      </c>
      <c r="I53" s="293">
        <v>105.93</v>
      </c>
      <c r="J53" s="293">
        <v>107.72</v>
      </c>
      <c r="K53" s="293">
        <v>109.5</v>
      </c>
      <c r="L53" s="293">
        <v>111.28</v>
      </c>
      <c r="M53" s="293">
        <v>113.07</v>
      </c>
      <c r="N53" s="293">
        <v>114.85</v>
      </c>
      <c r="O53" s="237">
        <v>108.97</v>
      </c>
      <c r="P53" s="237">
        <v>110.75</v>
      </c>
      <c r="Q53" s="237">
        <v>112.54</v>
      </c>
      <c r="R53" s="237">
        <v>114.32</v>
      </c>
      <c r="S53" s="237">
        <v>82.22</v>
      </c>
      <c r="T53" s="237">
        <v>80.430000000000007</v>
      </c>
      <c r="U53" s="237">
        <v>78.650000000000006</v>
      </c>
      <c r="V53" s="237">
        <v>76.87</v>
      </c>
      <c r="W53" s="237">
        <v>75.08</v>
      </c>
      <c r="X53" s="51">
        <v>49</v>
      </c>
      <c r="Y53" s="237">
        <v>51.63</v>
      </c>
      <c r="Z53" s="237">
        <v>52.89</v>
      </c>
      <c r="AA53" s="2">
        <v>54.15</v>
      </c>
      <c r="AB53" s="59">
        <v>55.41</v>
      </c>
      <c r="AC53" s="3">
        <v>56.67</v>
      </c>
      <c r="AD53" s="297">
        <v>63.13</v>
      </c>
      <c r="AE53" s="298">
        <v>64.39</v>
      </c>
      <c r="AF53" s="298">
        <v>65.650000000000006</v>
      </c>
      <c r="AG53" s="310">
        <v>66.91</v>
      </c>
      <c r="AH53" s="299">
        <v>68.17</v>
      </c>
      <c r="AI53" s="293">
        <v>69.430000000000007</v>
      </c>
      <c r="AJ53" s="293">
        <v>70.69</v>
      </c>
      <c r="AK53" s="293">
        <v>71.95</v>
      </c>
      <c r="AL53" s="293">
        <v>73.209999999999994</v>
      </c>
      <c r="AM53" s="293">
        <v>74.47</v>
      </c>
      <c r="AN53" s="293">
        <v>75.73</v>
      </c>
      <c r="AO53" s="237">
        <v>71.78</v>
      </c>
      <c r="AP53" s="237">
        <v>73.040000000000006</v>
      </c>
      <c r="AQ53" s="237">
        <v>74.3</v>
      </c>
      <c r="AR53" s="237">
        <v>75.56</v>
      </c>
      <c r="AS53" s="237">
        <v>52.89</v>
      </c>
      <c r="AT53" s="237">
        <v>51.63</v>
      </c>
      <c r="AU53" s="237">
        <v>50.37</v>
      </c>
      <c r="AV53" s="237">
        <v>49.11</v>
      </c>
      <c r="AW53" s="237">
        <v>47.85</v>
      </c>
    </row>
    <row r="54" spans="1:49">
      <c r="A54" s="2">
        <v>85.7</v>
      </c>
      <c r="B54" s="59">
        <v>87.52</v>
      </c>
      <c r="C54" s="3">
        <v>89.34</v>
      </c>
      <c r="D54" s="297">
        <v>98.97</v>
      </c>
      <c r="E54" s="298">
        <v>100.79</v>
      </c>
      <c r="F54" s="298">
        <v>102.61</v>
      </c>
      <c r="G54" s="298">
        <v>104.43</v>
      </c>
      <c r="H54" s="299">
        <v>106.25</v>
      </c>
      <c r="I54" s="293">
        <v>108.07</v>
      </c>
      <c r="J54" s="293">
        <v>109.89</v>
      </c>
      <c r="K54" s="293">
        <v>111.71</v>
      </c>
      <c r="L54" s="293">
        <v>113.53</v>
      </c>
      <c r="M54" s="293">
        <v>115.35</v>
      </c>
      <c r="N54" s="293">
        <v>117.17</v>
      </c>
      <c r="O54" s="237">
        <v>111.18</v>
      </c>
      <c r="P54" s="237">
        <v>113</v>
      </c>
      <c r="Q54" s="237">
        <v>114.82</v>
      </c>
      <c r="R54" s="237">
        <v>116.64</v>
      </c>
      <c r="S54" s="237">
        <v>83.88</v>
      </c>
      <c r="T54" s="237">
        <v>82.06</v>
      </c>
      <c r="U54" s="237">
        <v>80.239999999999995</v>
      </c>
      <c r="V54" s="237">
        <v>78.42</v>
      </c>
      <c r="W54" s="237">
        <v>76.599999999999994</v>
      </c>
      <c r="X54" s="51">
        <v>50</v>
      </c>
      <c r="Y54" s="237">
        <v>52.68</v>
      </c>
      <c r="Z54" s="237">
        <v>53.96</v>
      </c>
      <c r="AA54" s="2">
        <v>55.25</v>
      </c>
      <c r="AB54" s="59">
        <v>56.53</v>
      </c>
      <c r="AC54" s="3">
        <v>57.82</v>
      </c>
      <c r="AD54" s="297">
        <v>64.41</v>
      </c>
      <c r="AE54" s="298">
        <v>65.7</v>
      </c>
      <c r="AF54" s="298">
        <v>66.98</v>
      </c>
      <c r="AG54" s="310">
        <v>68.27</v>
      </c>
      <c r="AH54" s="299">
        <v>69.55</v>
      </c>
      <c r="AI54" s="293">
        <v>70.84</v>
      </c>
      <c r="AJ54" s="293">
        <v>72.12</v>
      </c>
      <c r="AK54" s="293">
        <v>73.41</v>
      </c>
      <c r="AL54" s="293">
        <v>74.69</v>
      </c>
      <c r="AM54" s="293">
        <v>75.98</v>
      </c>
      <c r="AN54" s="293">
        <v>77.260000000000005</v>
      </c>
      <c r="AO54" s="237">
        <v>73.239999999999995</v>
      </c>
      <c r="AP54" s="237">
        <v>74.52</v>
      </c>
      <c r="AQ54" s="237">
        <v>75.81</v>
      </c>
      <c r="AR54" s="237">
        <v>77.09</v>
      </c>
      <c r="AS54" s="237">
        <v>53.96</v>
      </c>
      <c r="AT54" s="237">
        <v>52.68</v>
      </c>
      <c r="AU54" s="237">
        <v>51.39</v>
      </c>
      <c r="AV54" s="237">
        <v>50.11</v>
      </c>
      <c r="AW54" s="237">
        <v>48.82</v>
      </c>
    </row>
    <row r="55" spans="1:49">
      <c r="A55" s="2">
        <v>87.41</v>
      </c>
      <c r="B55" s="59">
        <v>89.26</v>
      </c>
      <c r="C55" s="3">
        <v>91.12</v>
      </c>
      <c r="D55" s="297">
        <v>100.95</v>
      </c>
      <c r="E55" s="298">
        <v>102.8</v>
      </c>
      <c r="F55" s="298">
        <v>104.66</v>
      </c>
      <c r="G55" s="298">
        <v>106.52</v>
      </c>
      <c r="H55" s="299">
        <v>108.37</v>
      </c>
      <c r="I55" s="293">
        <v>110.23</v>
      </c>
      <c r="J55" s="293">
        <v>112.09</v>
      </c>
      <c r="K55" s="293">
        <v>113.94</v>
      </c>
      <c r="L55" s="293">
        <v>115.8</v>
      </c>
      <c r="M55" s="293">
        <v>117.65</v>
      </c>
      <c r="N55" s="293">
        <v>119.51</v>
      </c>
      <c r="O55" s="237">
        <v>113.4</v>
      </c>
      <c r="P55" s="237">
        <v>115.25</v>
      </c>
      <c r="Q55" s="237">
        <v>117.11</v>
      </c>
      <c r="R55" s="237">
        <v>118.97</v>
      </c>
      <c r="S55" s="237">
        <v>85.55</v>
      </c>
      <c r="T55" s="237">
        <v>83.7</v>
      </c>
      <c r="U55" s="237">
        <v>81.84</v>
      </c>
      <c r="V55" s="237">
        <v>79.98</v>
      </c>
      <c r="W55" s="237">
        <v>78.13</v>
      </c>
      <c r="X55" s="51">
        <v>51</v>
      </c>
      <c r="Y55" s="237">
        <v>53.72</v>
      </c>
      <c r="Z55" s="237">
        <v>55.03</v>
      </c>
      <c r="AA55" s="2">
        <v>56.35</v>
      </c>
      <c r="AB55" s="59">
        <v>57.66</v>
      </c>
      <c r="AC55" s="3">
        <v>58.97</v>
      </c>
      <c r="AD55" s="297">
        <v>65.69</v>
      </c>
      <c r="AE55" s="298">
        <v>67</v>
      </c>
      <c r="AF55" s="298">
        <v>68.31</v>
      </c>
      <c r="AG55" s="310">
        <v>69.62</v>
      </c>
      <c r="AH55" s="299">
        <v>70.930000000000007</v>
      </c>
      <c r="AI55" s="293">
        <v>72.239999999999995</v>
      </c>
      <c r="AJ55" s="293">
        <v>73.55</v>
      </c>
      <c r="AK55" s="293">
        <v>74.87</v>
      </c>
      <c r="AL55" s="293">
        <v>76.180000000000007</v>
      </c>
      <c r="AM55" s="293">
        <v>77.489999999999995</v>
      </c>
      <c r="AN55" s="293">
        <v>78.8</v>
      </c>
      <c r="AO55" s="237">
        <v>74.7</v>
      </c>
      <c r="AP55" s="237">
        <v>76.010000000000005</v>
      </c>
      <c r="AQ55" s="237">
        <v>77.319999999999993</v>
      </c>
      <c r="AR55" s="237">
        <v>78.63</v>
      </c>
      <c r="AS55" s="237">
        <v>55.03</v>
      </c>
      <c r="AT55" s="237">
        <v>53.72</v>
      </c>
      <c r="AU55" s="237">
        <v>52.41</v>
      </c>
      <c r="AV55" s="237">
        <v>51.1</v>
      </c>
      <c r="AW55" s="237">
        <v>49.79</v>
      </c>
    </row>
    <row r="56" spans="1:49">
      <c r="A56" s="2">
        <v>89.1</v>
      </c>
      <c r="B56" s="59">
        <v>90.99</v>
      </c>
      <c r="C56" s="3">
        <v>92.88</v>
      </c>
      <c r="D56" s="297">
        <v>102.9</v>
      </c>
      <c r="E56" s="298">
        <v>104.79</v>
      </c>
      <c r="F56" s="298">
        <v>106.68</v>
      </c>
      <c r="G56" s="298">
        <v>108.58</v>
      </c>
      <c r="H56" s="299">
        <v>110.47</v>
      </c>
      <c r="I56" s="293">
        <v>112.36</v>
      </c>
      <c r="J56" s="293">
        <v>114.25</v>
      </c>
      <c r="K56" s="293">
        <v>116.15</v>
      </c>
      <c r="L56" s="293">
        <v>118.04</v>
      </c>
      <c r="M56" s="293">
        <v>119.93</v>
      </c>
      <c r="N56" s="293">
        <v>121.83</v>
      </c>
      <c r="O56" s="237">
        <v>115.6</v>
      </c>
      <c r="P56" s="237">
        <v>117.49</v>
      </c>
      <c r="Q56" s="237">
        <v>119.38</v>
      </c>
      <c r="R56" s="237">
        <v>121.28</v>
      </c>
      <c r="S56" s="237">
        <v>87.21</v>
      </c>
      <c r="T56" s="237">
        <v>85.31</v>
      </c>
      <c r="U56" s="237">
        <v>83.42</v>
      </c>
      <c r="V56" s="237">
        <v>81.53</v>
      </c>
      <c r="W56" s="237">
        <v>79.63</v>
      </c>
      <c r="X56" s="51">
        <v>52</v>
      </c>
      <c r="Y56" s="237">
        <v>54.77</v>
      </c>
      <c r="Z56" s="237">
        <v>56.1</v>
      </c>
      <c r="AA56" s="2">
        <v>57.44</v>
      </c>
      <c r="AB56" s="59">
        <v>58.78</v>
      </c>
      <c r="AC56" s="3">
        <v>60.11</v>
      </c>
      <c r="AD56" s="297">
        <v>66.959999999999994</v>
      </c>
      <c r="AE56" s="298">
        <v>68.3</v>
      </c>
      <c r="AF56" s="298">
        <v>69.64</v>
      </c>
      <c r="AG56" s="310">
        <v>70.97</v>
      </c>
      <c r="AH56" s="299">
        <v>72.31</v>
      </c>
      <c r="AI56" s="293">
        <v>73.64</v>
      </c>
      <c r="AJ56" s="293">
        <v>74.98</v>
      </c>
      <c r="AK56" s="293">
        <v>76.319999999999993</v>
      </c>
      <c r="AL56" s="293">
        <v>77.650000000000006</v>
      </c>
      <c r="AM56" s="293">
        <v>78.989999999999995</v>
      </c>
      <c r="AN56" s="293">
        <v>80.33</v>
      </c>
      <c r="AO56" s="237">
        <v>76.150000000000006</v>
      </c>
      <c r="AP56" s="237">
        <v>77.48</v>
      </c>
      <c r="AQ56" s="237">
        <v>78.819999999999993</v>
      </c>
      <c r="AR56" s="237">
        <v>80.16</v>
      </c>
      <c r="AS56" s="237">
        <v>56.1</v>
      </c>
      <c r="AT56" s="237">
        <v>54.77</v>
      </c>
      <c r="AU56" s="237">
        <v>53.43</v>
      </c>
      <c r="AV56" s="237">
        <v>52.09</v>
      </c>
      <c r="AW56" s="237">
        <v>50.76</v>
      </c>
    </row>
    <row r="57" spans="1:49">
      <c r="A57" s="2">
        <v>90.8</v>
      </c>
      <c r="B57" s="59">
        <v>92.73</v>
      </c>
      <c r="C57" s="3">
        <v>94.66</v>
      </c>
      <c r="D57" s="297">
        <v>104.86</v>
      </c>
      <c r="E57" s="298">
        <v>106.79</v>
      </c>
      <c r="F57" s="298">
        <v>108.72</v>
      </c>
      <c r="G57" s="298">
        <v>110.65</v>
      </c>
      <c r="H57" s="299">
        <v>112.58</v>
      </c>
      <c r="I57" s="293">
        <v>114.51</v>
      </c>
      <c r="J57" s="293">
        <v>116.43</v>
      </c>
      <c r="K57" s="293">
        <v>118.36</v>
      </c>
      <c r="L57" s="293">
        <v>120.29</v>
      </c>
      <c r="M57" s="293">
        <v>122.22</v>
      </c>
      <c r="N57" s="293">
        <v>124.15</v>
      </c>
      <c r="O57" s="237">
        <v>117.81</v>
      </c>
      <c r="P57" s="237">
        <v>119.74</v>
      </c>
      <c r="Q57" s="237">
        <v>121.67</v>
      </c>
      <c r="R57" s="237">
        <v>123.6</v>
      </c>
      <c r="S57" s="237">
        <v>88.87</v>
      </c>
      <c r="T57" s="237">
        <v>86.94</v>
      </c>
      <c r="U57" s="237">
        <v>85.01</v>
      </c>
      <c r="V57" s="237">
        <v>83.08</v>
      </c>
      <c r="W57" s="237">
        <v>81.150000000000006</v>
      </c>
      <c r="X57" s="51">
        <v>53</v>
      </c>
      <c r="Y57" s="237">
        <v>55.81</v>
      </c>
      <c r="Z57" s="237">
        <v>57.17</v>
      </c>
      <c r="AA57" s="2">
        <v>58.53</v>
      </c>
      <c r="AB57" s="59">
        <v>59.9</v>
      </c>
      <c r="AC57" s="3">
        <v>61.26</v>
      </c>
      <c r="AD57" s="297">
        <v>68.239999999999995</v>
      </c>
      <c r="AE57" s="298">
        <v>69.599999999999994</v>
      </c>
      <c r="AF57" s="298">
        <v>70.959999999999994</v>
      </c>
      <c r="AG57" s="310">
        <v>72.319999999999993</v>
      </c>
      <c r="AH57" s="299">
        <v>73.69</v>
      </c>
      <c r="AI57" s="293">
        <v>75.05</v>
      </c>
      <c r="AJ57" s="293">
        <v>76.41</v>
      </c>
      <c r="AK57" s="293">
        <v>77.77</v>
      </c>
      <c r="AL57" s="293">
        <v>79.13</v>
      </c>
      <c r="AM57" s="293">
        <v>80.5</v>
      </c>
      <c r="AN57" s="293">
        <v>81.86</v>
      </c>
      <c r="AO57" s="237">
        <v>77.599999999999994</v>
      </c>
      <c r="AP57" s="237">
        <v>78.97</v>
      </c>
      <c r="AQ57" s="237">
        <v>80.33</v>
      </c>
      <c r="AR57" s="237">
        <v>81.69</v>
      </c>
      <c r="AS57" s="237">
        <v>57.17</v>
      </c>
      <c r="AT57" s="237">
        <v>55.81</v>
      </c>
      <c r="AU57" s="237">
        <v>54.45</v>
      </c>
      <c r="AV57" s="237">
        <v>53.09</v>
      </c>
      <c r="AW57" s="237">
        <v>51.72</v>
      </c>
    </row>
    <row r="58" spans="1:49">
      <c r="A58" s="2">
        <v>92.51</v>
      </c>
      <c r="B58" s="59">
        <v>94.47</v>
      </c>
      <c r="C58" s="3">
        <v>96.44</v>
      </c>
      <c r="D58" s="297">
        <v>106.83</v>
      </c>
      <c r="E58" s="298">
        <v>108.8</v>
      </c>
      <c r="F58" s="298">
        <v>110.76</v>
      </c>
      <c r="G58" s="298">
        <v>112.73</v>
      </c>
      <c r="H58" s="299">
        <v>114.7</v>
      </c>
      <c r="I58" s="293">
        <v>116.66</v>
      </c>
      <c r="J58" s="293">
        <v>118.63</v>
      </c>
      <c r="K58" s="293">
        <v>120.59</v>
      </c>
      <c r="L58" s="293">
        <v>122.56</v>
      </c>
      <c r="M58" s="293">
        <v>124.52</v>
      </c>
      <c r="N58" s="293">
        <v>126.49</v>
      </c>
      <c r="O58" s="237">
        <v>120.03</v>
      </c>
      <c r="P58" s="237">
        <v>121.99</v>
      </c>
      <c r="Q58" s="237">
        <v>123.96</v>
      </c>
      <c r="R58" s="237">
        <v>125.92</v>
      </c>
      <c r="S58" s="237">
        <v>90.54</v>
      </c>
      <c r="T58" s="237">
        <v>88.58</v>
      </c>
      <c r="U58" s="237">
        <v>86.61</v>
      </c>
      <c r="V58" s="237">
        <v>84.65</v>
      </c>
      <c r="W58" s="237">
        <v>82.68</v>
      </c>
      <c r="X58" s="51">
        <v>54</v>
      </c>
      <c r="Y58" s="237">
        <v>56.86</v>
      </c>
      <c r="Z58" s="237">
        <v>58.24</v>
      </c>
      <c r="AA58" s="2">
        <v>59.63</v>
      </c>
      <c r="AB58" s="59">
        <v>61.02</v>
      </c>
      <c r="AC58" s="3">
        <v>62.41</v>
      </c>
      <c r="AD58" s="297">
        <v>69.52</v>
      </c>
      <c r="AE58" s="298">
        <v>70.900000000000006</v>
      </c>
      <c r="AF58" s="298">
        <v>72.290000000000006</v>
      </c>
      <c r="AG58" s="310">
        <v>73.680000000000007</v>
      </c>
      <c r="AH58" s="299">
        <v>75.069999999999993</v>
      </c>
      <c r="AI58" s="293">
        <v>76.459999999999994</v>
      </c>
      <c r="AJ58" s="293">
        <v>77.84</v>
      </c>
      <c r="AK58" s="293">
        <v>79.23</v>
      </c>
      <c r="AL58" s="293">
        <v>80.62</v>
      </c>
      <c r="AM58" s="293">
        <v>82.01</v>
      </c>
      <c r="AN58" s="293">
        <v>83.39</v>
      </c>
      <c r="AO58" s="237">
        <v>79.06</v>
      </c>
      <c r="AP58" s="237">
        <v>80.45</v>
      </c>
      <c r="AQ58" s="237">
        <v>81.84</v>
      </c>
      <c r="AR58" s="237">
        <v>83.22</v>
      </c>
      <c r="AS58" s="237">
        <v>58.24</v>
      </c>
      <c r="AT58" s="237">
        <v>56.86</v>
      </c>
      <c r="AU58" s="237">
        <v>55.47</v>
      </c>
      <c r="AV58" s="237">
        <v>54.08</v>
      </c>
      <c r="AW58" s="237">
        <v>52.69</v>
      </c>
    </row>
    <row r="59" spans="1:49">
      <c r="A59" s="2">
        <v>94.2</v>
      </c>
      <c r="B59" s="59">
        <v>96.2</v>
      </c>
      <c r="C59" s="3">
        <v>98.2</v>
      </c>
      <c r="D59" s="297">
        <v>108.78</v>
      </c>
      <c r="E59" s="298">
        <v>110.78</v>
      </c>
      <c r="F59" s="298">
        <v>112.78</v>
      </c>
      <c r="G59" s="298">
        <v>114.79</v>
      </c>
      <c r="H59" s="299">
        <v>116.79</v>
      </c>
      <c r="I59" s="293">
        <v>118.79</v>
      </c>
      <c r="J59" s="293">
        <v>120.79</v>
      </c>
      <c r="K59" s="293">
        <v>122.79</v>
      </c>
      <c r="L59" s="293">
        <v>124.8</v>
      </c>
      <c r="M59" s="293">
        <v>126.8</v>
      </c>
      <c r="N59" s="293">
        <v>128.80000000000001</v>
      </c>
      <c r="O59" s="237">
        <v>122.23</v>
      </c>
      <c r="P59" s="237">
        <v>124.23</v>
      </c>
      <c r="Q59" s="237">
        <v>126.23</v>
      </c>
      <c r="R59" s="237">
        <v>128.22999999999999</v>
      </c>
      <c r="S59" s="237">
        <v>92.2</v>
      </c>
      <c r="T59" s="237">
        <v>90.19</v>
      </c>
      <c r="U59" s="237">
        <v>88.19</v>
      </c>
      <c r="V59" s="237">
        <v>86.19</v>
      </c>
      <c r="W59" s="237">
        <v>84.19</v>
      </c>
      <c r="X59" s="51">
        <v>55</v>
      </c>
      <c r="Y59" s="237">
        <v>57.91</v>
      </c>
      <c r="Z59" s="237">
        <v>59.32</v>
      </c>
      <c r="AA59" s="2">
        <v>60.73</v>
      </c>
      <c r="AB59" s="59">
        <v>62.15</v>
      </c>
      <c r="AC59" s="3">
        <v>63.56</v>
      </c>
      <c r="AD59" s="297">
        <v>70.8</v>
      </c>
      <c r="AE59" s="298">
        <v>72.209999999999994</v>
      </c>
      <c r="AF59" s="298">
        <v>73.63</v>
      </c>
      <c r="AG59" s="310">
        <v>75.040000000000006</v>
      </c>
      <c r="AH59" s="299">
        <v>76.45</v>
      </c>
      <c r="AI59" s="293">
        <v>77.87</v>
      </c>
      <c r="AJ59" s="293">
        <v>79.28</v>
      </c>
      <c r="AK59" s="293">
        <v>80.69</v>
      </c>
      <c r="AL59" s="293">
        <v>82.11</v>
      </c>
      <c r="AM59" s="293">
        <v>83.52</v>
      </c>
      <c r="AN59" s="293">
        <v>84.93</v>
      </c>
      <c r="AO59" s="237">
        <v>80.52</v>
      </c>
      <c r="AP59" s="237">
        <v>81.94</v>
      </c>
      <c r="AQ59" s="237">
        <v>83.35</v>
      </c>
      <c r="AR59" s="237">
        <v>84.76</v>
      </c>
      <c r="AS59" s="237">
        <v>59.32</v>
      </c>
      <c r="AT59" s="237">
        <v>57.91</v>
      </c>
      <c r="AU59" s="237">
        <v>56.49</v>
      </c>
      <c r="AV59" s="237">
        <v>55.08</v>
      </c>
      <c r="AW59" s="237">
        <v>53.67</v>
      </c>
    </row>
    <row r="60" spans="1:49">
      <c r="A60" s="2">
        <v>95.89</v>
      </c>
      <c r="B60" s="59">
        <v>97.93</v>
      </c>
      <c r="C60" s="3">
        <v>99.97</v>
      </c>
      <c r="D60" s="297">
        <v>110.74</v>
      </c>
      <c r="E60" s="298">
        <v>112.78</v>
      </c>
      <c r="F60" s="298">
        <v>114.81</v>
      </c>
      <c r="G60" s="298">
        <v>116.85</v>
      </c>
      <c r="H60" s="299">
        <v>118.89</v>
      </c>
      <c r="I60" s="293">
        <v>120.93</v>
      </c>
      <c r="J60" s="293">
        <v>122.97</v>
      </c>
      <c r="K60" s="293">
        <v>125.01</v>
      </c>
      <c r="L60" s="293">
        <v>127.05</v>
      </c>
      <c r="M60" s="293">
        <v>129.08000000000001</v>
      </c>
      <c r="N60" s="293">
        <v>131.12</v>
      </c>
      <c r="O60" s="237">
        <v>124.43</v>
      </c>
      <c r="P60" s="237">
        <v>126.47</v>
      </c>
      <c r="Q60" s="237">
        <v>128.51</v>
      </c>
      <c r="R60" s="237">
        <v>130.55000000000001</v>
      </c>
      <c r="S60" s="237">
        <v>93.86</v>
      </c>
      <c r="T60" s="237">
        <v>91.82</v>
      </c>
      <c r="U60" s="237">
        <v>89.78</v>
      </c>
      <c r="V60" s="237">
        <v>87.74</v>
      </c>
      <c r="W60" s="237">
        <v>85.7</v>
      </c>
      <c r="X60" s="51">
        <v>56</v>
      </c>
      <c r="Y60" s="237">
        <v>58.95</v>
      </c>
      <c r="Z60" s="237">
        <v>60.39</v>
      </c>
      <c r="AA60" s="2">
        <v>61.83</v>
      </c>
      <c r="AB60" s="59">
        <v>63.27</v>
      </c>
      <c r="AC60" s="3">
        <v>64.7</v>
      </c>
      <c r="AD60" s="297">
        <v>72.069999999999993</v>
      </c>
      <c r="AE60" s="298">
        <v>73.510000000000005</v>
      </c>
      <c r="AF60" s="298">
        <v>74.95</v>
      </c>
      <c r="AG60" s="310">
        <v>76.39</v>
      </c>
      <c r="AH60" s="299">
        <v>77.83</v>
      </c>
      <c r="AI60" s="293">
        <v>79.27</v>
      </c>
      <c r="AJ60" s="293">
        <v>80.709999999999994</v>
      </c>
      <c r="AK60" s="293">
        <v>82.15</v>
      </c>
      <c r="AL60" s="293">
        <v>83.58</v>
      </c>
      <c r="AM60" s="293">
        <v>85.02</v>
      </c>
      <c r="AN60" s="293">
        <v>86.46</v>
      </c>
      <c r="AO60" s="237">
        <v>81.98</v>
      </c>
      <c r="AP60" s="237">
        <v>83.41</v>
      </c>
      <c r="AQ60" s="237">
        <v>84.85</v>
      </c>
      <c r="AR60" s="237">
        <v>86.29</v>
      </c>
      <c r="AS60" s="237">
        <v>60.39</v>
      </c>
      <c r="AT60" s="237">
        <v>58.95</v>
      </c>
      <c r="AU60" s="237">
        <v>57.51</v>
      </c>
      <c r="AV60" s="237">
        <v>56.07</v>
      </c>
      <c r="AW60" s="237">
        <v>54.63</v>
      </c>
    </row>
    <row r="61" spans="1:49">
      <c r="A61" s="2">
        <v>97.6</v>
      </c>
      <c r="B61" s="59">
        <v>99.68</v>
      </c>
      <c r="C61" s="3">
        <v>101.75</v>
      </c>
      <c r="D61" s="297">
        <v>112.71</v>
      </c>
      <c r="E61" s="298">
        <v>114.78</v>
      </c>
      <c r="F61" s="298">
        <v>116.86</v>
      </c>
      <c r="G61" s="298">
        <v>118.93</v>
      </c>
      <c r="H61" s="299">
        <v>121.01</v>
      </c>
      <c r="I61" s="293">
        <v>123.08</v>
      </c>
      <c r="J61" s="293">
        <v>125.16</v>
      </c>
      <c r="K61" s="293">
        <v>127.23</v>
      </c>
      <c r="L61" s="293">
        <v>129.31</v>
      </c>
      <c r="M61" s="293">
        <v>131.38</v>
      </c>
      <c r="N61" s="293">
        <v>133.44999999999999</v>
      </c>
      <c r="O61" s="237">
        <v>126.65</v>
      </c>
      <c r="P61" s="237">
        <v>128.72</v>
      </c>
      <c r="Q61" s="237">
        <v>130.80000000000001</v>
      </c>
      <c r="R61" s="237">
        <v>132.87</v>
      </c>
      <c r="S61" s="237">
        <v>95.53</v>
      </c>
      <c r="T61" s="237">
        <v>93.45</v>
      </c>
      <c r="U61" s="237">
        <v>91.38</v>
      </c>
      <c r="V61" s="237">
        <v>89.3</v>
      </c>
      <c r="W61" s="237">
        <v>87.23</v>
      </c>
      <c r="X61" s="51">
        <v>57</v>
      </c>
      <c r="Y61" s="237">
        <v>59.99</v>
      </c>
      <c r="Z61" s="237">
        <v>61.46</v>
      </c>
      <c r="AA61" s="2">
        <v>62.92</v>
      </c>
      <c r="AB61" s="59">
        <v>64.39</v>
      </c>
      <c r="AC61" s="3">
        <v>65.849999999999994</v>
      </c>
      <c r="AD61" s="297">
        <v>73.349999999999994</v>
      </c>
      <c r="AE61" s="298">
        <v>74.81</v>
      </c>
      <c r="AF61" s="298">
        <v>76.28</v>
      </c>
      <c r="AG61" s="310">
        <v>77.739999999999995</v>
      </c>
      <c r="AH61" s="299">
        <v>79.209999999999994</v>
      </c>
      <c r="AI61" s="293">
        <v>80.67</v>
      </c>
      <c r="AJ61" s="293">
        <v>82.14</v>
      </c>
      <c r="AK61" s="293">
        <v>83.6</v>
      </c>
      <c r="AL61" s="293">
        <v>85.07</v>
      </c>
      <c r="AM61" s="293">
        <v>86.53</v>
      </c>
      <c r="AN61" s="293">
        <v>87.99</v>
      </c>
      <c r="AO61" s="237">
        <v>83.43</v>
      </c>
      <c r="AP61" s="237">
        <v>84.9</v>
      </c>
      <c r="AQ61" s="237">
        <v>86.36</v>
      </c>
      <c r="AR61" s="237">
        <v>87.83</v>
      </c>
      <c r="AS61" s="237">
        <v>61.46</v>
      </c>
      <c r="AT61" s="237">
        <v>59.99</v>
      </c>
      <c r="AU61" s="237">
        <v>58.53</v>
      </c>
      <c r="AV61" s="237">
        <v>57.06</v>
      </c>
      <c r="AW61" s="237">
        <v>55.6</v>
      </c>
    </row>
    <row r="62" spans="1:49">
      <c r="A62" s="2">
        <v>99.32</v>
      </c>
      <c r="B62" s="59">
        <v>101.43</v>
      </c>
      <c r="C62" s="3">
        <v>103.54</v>
      </c>
      <c r="D62" s="297">
        <v>114.69</v>
      </c>
      <c r="E62" s="298">
        <v>116.8</v>
      </c>
      <c r="F62" s="298">
        <v>118.91</v>
      </c>
      <c r="G62" s="298">
        <v>121.02</v>
      </c>
      <c r="H62" s="299">
        <v>123.13</v>
      </c>
      <c r="I62" s="293">
        <v>125.24</v>
      </c>
      <c r="J62" s="293">
        <v>127.36</v>
      </c>
      <c r="K62" s="293">
        <v>129.47</v>
      </c>
      <c r="L62" s="293">
        <v>131.58000000000001</v>
      </c>
      <c r="M62" s="293">
        <v>133.69</v>
      </c>
      <c r="N62" s="293">
        <v>135.80000000000001</v>
      </c>
      <c r="O62" s="237">
        <v>128.87</v>
      </c>
      <c r="P62" s="237">
        <v>130.97999999999999</v>
      </c>
      <c r="Q62" s="237">
        <v>133.1</v>
      </c>
      <c r="R62" s="237">
        <v>135.21</v>
      </c>
      <c r="S62" s="237">
        <v>97.2</v>
      </c>
      <c r="T62" s="237">
        <v>95.09</v>
      </c>
      <c r="U62" s="237">
        <v>92.98</v>
      </c>
      <c r="V62" s="237">
        <v>90.87</v>
      </c>
      <c r="W62" s="237">
        <v>88.76</v>
      </c>
      <c r="X62" s="51">
        <v>58</v>
      </c>
      <c r="Y62" s="237">
        <v>61.04</v>
      </c>
      <c r="Z62" s="237">
        <v>62.53</v>
      </c>
      <c r="AA62" s="2">
        <v>64.02</v>
      </c>
      <c r="AB62" s="59">
        <v>65.510000000000005</v>
      </c>
      <c r="AC62" s="3">
        <v>67</v>
      </c>
      <c r="AD62" s="297">
        <v>74.62</v>
      </c>
      <c r="AE62" s="298">
        <v>76.11</v>
      </c>
      <c r="AF62" s="298">
        <v>77.61</v>
      </c>
      <c r="AG62" s="310">
        <v>79.099999999999994</v>
      </c>
      <c r="AH62" s="299">
        <v>80.59</v>
      </c>
      <c r="AI62" s="293">
        <v>82.08</v>
      </c>
      <c r="AJ62" s="293">
        <v>83.57</v>
      </c>
      <c r="AK62" s="293">
        <v>85.06</v>
      </c>
      <c r="AL62" s="293">
        <v>86.55</v>
      </c>
      <c r="AM62" s="293">
        <v>88.04</v>
      </c>
      <c r="AN62" s="293">
        <v>89.53</v>
      </c>
      <c r="AO62" s="237">
        <v>84.89</v>
      </c>
      <c r="AP62" s="237">
        <v>86.38</v>
      </c>
      <c r="AQ62" s="237">
        <v>87.87</v>
      </c>
      <c r="AR62" s="237">
        <v>89.36</v>
      </c>
      <c r="AS62" s="237">
        <v>62.53</v>
      </c>
      <c r="AT62" s="237">
        <v>61.04</v>
      </c>
      <c r="AU62" s="237">
        <v>59.55</v>
      </c>
      <c r="AV62" s="237">
        <v>58.06</v>
      </c>
      <c r="AW62" s="237">
        <v>56.57</v>
      </c>
    </row>
    <row r="63" spans="1:49">
      <c r="A63" s="2">
        <v>101.01</v>
      </c>
      <c r="B63" s="59">
        <v>103.15</v>
      </c>
      <c r="C63" s="3">
        <v>105.3</v>
      </c>
      <c r="D63" s="297">
        <v>116.64</v>
      </c>
      <c r="E63" s="298">
        <v>118.78</v>
      </c>
      <c r="F63" s="298">
        <v>120.93</v>
      </c>
      <c r="G63" s="298">
        <v>123.08</v>
      </c>
      <c r="H63" s="299">
        <v>125.23</v>
      </c>
      <c r="I63" s="293">
        <v>127.37</v>
      </c>
      <c r="J63" s="293">
        <v>129.52000000000001</v>
      </c>
      <c r="K63" s="293">
        <v>131.66999999999999</v>
      </c>
      <c r="L63" s="293">
        <v>133.82</v>
      </c>
      <c r="M63" s="293">
        <v>135.96</v>
      </c>
      <c r="N63" s="293">
        <v>138.11000000000001</v>
      </c>
      <c r="O63" s="237">
        <v>131.07</v>
      </c>
      <c r="P63" s="237">
        <v>133.22</v>
      </c>
      <c r="Q63" s="237">
        <v>135.37</v>
      </c>
      <c r="R63" s="237">
        <v>137.51</v>
      </c>
      <c r="S63" s="237">
        <v>98.86</v>
      </c>
      <c r="T63" s="237">
        <v>96.71</v>
      </c>
      <c r="U63" s="237">
        <v>94.56</v>
      </c>
      <c r="V63" s="237">
        <v>92.41</v>
      </c>
      <c r="W63" s="237">
        <v>90.27</v>
      </c>
      <c r="X63" s="51">
        <v>59</v>
      </c>
      <c r="Y63" s="237">
        <v>62.09</v>
      </c>
      <c r="Z63" s="237">
        <v>63.6</v>
      </c>
      <c r="AA63" s="2">
        <v>65.12</v>
      </c>
      <c r="AB63" s="59">
        <v>66.64</v>
      </c>
      <c r="AC63" s="3">
        <v>68.150000000000006</v>
      </c>
      <c r="AD63" s="297">
        <v>75.91</v>
      </c>
      <c r="AE63" s="298">
        <v>77.42</v>
      </c>
      <c r="AF63" s="298">
        <v>78.94</v>
      </c>
      <c r="AG63" s="310">
        <v>80.45</v>
      </c>
      <c r="AH63" s="299">
        <v>81.97</v>
      </c>
      <c r="AI63" s="293">
        <v>83.49</v>
      </c>
      <c r="AJ63" s="293">
        <v>85</v>
      </c>
      <c r="AK63" s="293">
        <v>86.52</v>
      </c>
      <c r="AL63" s="293">
        <v>88.04</v>
      </c>
      <c r="AM63" s="293">
        <v>89.55</v>
      </c>
      <c r="AN63" s="293">
        <v>91.07</v>
      </c>
      <c r="AO63" s="237">
        <v>86.35</v>
      </c>
      <c r="AP63" s="237">
        <v>87.86</v>
      </c>
      <c r="AQ63" s="237">
        <v>89.38</v>
      </c>
      <c r="AR63" s="237">
        <v>90.9</v>
      </c>
      <c r="AS63" s="237">
        <v>63.6</v>
      </c>
      <c r="AT63" s="237">
        <v>62.09</v>
      </c>
      <c r="AU63" s="237">
        <v>60.57</v>
      </c>
      <c r="AV63" s="237">
        <v>59.05</v>
      </c>
      <c r="AW63" s="237">
        <v>57.54</v>
      </c>
    </row>
    <row r="64" spans="1:49">
      <c r="A64" s="2">
        <v>102.7</v>
      </c>
      <c r="B64" s="59">
        <v>104.89</v>
      </c>
      <c r="C64" s="3">
        <v>107.07</v>
      </c>
      <c r="D64" s="297">
        <v>118.59</v>
      </c>
      <c r="E64" s="298">
        <v>120.78</v>
      </c>
      <c r="F64" s="298">
        <v>122.96</v>
      </c>
      <c r="G64" s="298">
        <v>125.15</v>
      </c>
      <c r="H64" s="299">
        <v>127.33</v>
      </c>
      <c r="I64" s="293">
        <v>129.51</v>
      </c>
      <c r="J64" s="293">
        <v>131.69999999999999</v>
      </c>
      <c r="K64" s="293">
        <v>133.88</v>
      </c>
      <c r="L64" s="293">
        <v>136.07</v>
      </c>
      <c r="M64" s="293">
        <v>138.25</v>
      </c>
      <c r="N64" s="293">
        <v>140.43</v>
      </c>
      <c r="O64" s="237">
        <v>133.28</v>
      </c>
      <c r="P64" s="237">
        <v>135.46</v>
      </c>
      <c r="Q64" s="237">
        <v>137.65</v>
      </c>
      <c r="R64" s="237">
        <v>139.83000000000001</v>
      </c>
      <c r="S64" s="237">
        <v>100.52</v>
      </c>
      <c r="T64" s="237">
        <v>98.33</v>
      </c>
      <c r="U64" s="237">
        <v>96.15</v>
      </c>
      <c r="V64" s="237">
        <v>93.97</v>
      </c>
      <c r="W64" s="237">
        <v>91.78</v>
      </c>
      <c r="X64" s="51">
        <v>60</v>
      </c>
      <c r="Y64" s="237">
        <v>63.14</v>
      </c>
      <c r="Z64" s="237">
        <v>64.680000000000007</v>
      </c>
      <c r="AA64" s="2">
        <v>66.22</v>
      </c>
      <c r="AB64" s="59">
        <v>67.760000000000005</v>
      </c>
      <c r="AC64" s="3">
        <v>69.31</v>
      </c>
      <c r="AD64" s="297">
        <v>77.19</v>
      </c>
      <c r="AE64" s="298">
        <v>78.73</v>
      </c>
      <c r="AF64" s="298">
        <v>80.27</v>
      </c>
      <c r="AG64" s="310">
        <v>81.819999999999993</v>
      </c>
      <c r="AH64" s="299">
        <v>83.36</v>
      </c>
      <c r="AI64" s="293">
        <v>84.9</v>
      </c>
      <c r="AJ64" s="293">
        <v>86.44</v>
      </c>
      <c r="AK64" s="293">
        <v>87.98</v>
      </c>
      <c r="AL64" s="293">
        <v>89.53</v>
      </c>
      <c r="AM64" s="293">
        <v>91.07</v>
      </c>
      <c r="AN64" s="293">
        <v>92.61</v>
      </c>
      <c r="AO64" s="237">
        <v>87.81</v>
      </c>
      <c r="AP64" s="237">
        <v>89.35</v>
      </c>
      <c r="AQ64" s="237">
        <v>90.89</v>
      </c>
      <c r="AR64" s="237">
        <v>92.44</v>
      </c>
      <c r="AS64" s="237">
        <v>64.680000000000007</v>
      </c>
      <c r="AT64" s="237">
        <v>63.14</v>
      </c>
      <c r="AU64" s="237">
        <v>61.6</v>
      </c>
      <c r="AV64" s="237">
        <v>60.05</v>
      </c>
      <c r="AW64" s="237">
        <v>58.51</v>
      </c>
    </row>
    <row r="65" spans="1:49">
      <c r="A65" s="2">
        <v>104.41</v>
      </c>
      <c r="B65" s="59">
        <v>106.63</v>
      </c>
      <c r="C65" s="3">
        <v>108.85</v>
      </c>
      <c r="D65" s="297">
        <v>120.56</v>
      </c>
      <c r="E65" s="298">
        <v>122.78</v>
      </c>
      <c r="F65" s="298">
        <v>125</v>
      </c>
      <c r="G65" s="298">
        <v>127.22</v>
      </c>
      <c r="H65" s="299">
        <v>129.44</v>
      </c>
      <c r="I65" s="293">
        <v>131.66</v>
      </c>
      <c r="J65" s="293">
        <v>133.88</v>
      </c>
      <c r="K65" s="293">
        <v>136.1</v>
      </c>
      <c r="L65" s="293">
        <v>138.33000000000001</v>
      </c>
      <c r="M65" s="293">
        <v>140.55000000000001</v>
      </c>
      <c r="N65" s="293">
        <v>142.77000000000001</v>
      </c>
      <c r="O65" s="237">
        <v>135.49</v>
      </c>
      <c r="P65" s="237">
        <v>137.71</v>
      </c>
      <c r="Q65" s="237">
        <v>139.93</v>
      </c>
      <c r="R65" s="237">
        <v>142.15</v>
      </c>
      <c r="S65" s="237">
        <v>102.19</v>
      </c>
      <c r="T65" s="237">
        <v>99.97</v>
      </c>
      <c r="U65" s="237">
        <v>97.75</v>
      </c>
      <c r="V65" s="237">
        <v>95.53</v>
      </c>
      <c r="W65" s="237">
        <v>93.31</v>
      </c>
      <c r="X65" s="51">
        <v>61</v>
      </c>
      <c r="Y65" s="237">
        <v>64.180000000000007</v>
      </c>
      <c r="Z65" s="237">
        <v>65.75</v>
      </c>
      <c r="AA65" s="2">
        <v>67.319999999999993</v>
      </c>
      <c r="AB65" s="59">
        <v>68.88</v>
      </c>
      <c r="AC65" s="3">
        <v>70.45</v>
      </c>
      <c r="AD65" s="297">
        <v>78.459999999999994</v>
      </c>
      <c r="AE65" s="298">
        <v>80.03</v>
      </c>
      <c r="AF65" s="298">
        <v>81.599999999999994</v>
      </c>
      <c r="AG65" s="310">
        <v>83.17</v>
      </c>
      <c r="AH65" s="299">
        <v>84.73</v>
      </c>
      <c r="AI65" s="293">
        <v>86.3</v>
      </c>
      <c r="AJ65" s="293">
        <v>87.87</v>
      </c>
      <c r="AK65" s="293">
        <v>89.44</v>
      </c>
      <c r="AL65" s="293">
        <v>91</v>
      </c>
      <c r="AM65" s="293">
        <v>92.57</v>
      </c>
      <c r="AN65" s="293">
        <v>94.14</v>
      </c>
      <c r="AO65" s="237">
        <v>89.26</v>
      </c>
      <c r="AP65" s="237">
        <v>90.83</v>
      </c>
      <c r="AQ65" s="237">
        <v>92.4</v>
      </c>
      <c r="AR65" s="237">
        <v>93.97</v>
      </c>
      <c r="AS65" s="237">
        <v>65.75</v>
      </c>
      <c r="AT65" s="237">
        <v>64.180000000000007</v>
      </c>
      <c r="AU65" s="237">
        <v>62.61</v>
      </c>
      <c r="AV65" s="237">
        <v>61.05</v>
      </c>
      <c r="AW65" s="237">
        <v>59.48</v>
      </c>
    </row>
    <row r="66" spans="1:49">
      <c r="A66" s="2">
        <v>106.12</v>
      </c>
      <c r="B66" s="59">
        <v>108.38</v>
      </c>
      <c r="C66" s="3">
        <v>110.64</v>
      </c>
      <c r="D66" s="297">
        <v>122.54</v>
      </c>
      <c r="E66" s="298">
        <v>124.8</v>
      </c>
      <c r="F66" s="298">
        <v>127.06</v>
      </c>
      <c r="G66" s="298">
        <v>129.31</v>
      </c>
      <c r="H66" s="299">
        <v>131.57</v>
      </c>
      <c r="I66" s="293">
        <v>133.83000000000001</v>
      </c>
      <c r="J66" s="293">
        <v>136.08000000000001</v>
      </c>
      <c r="K66" s="293">
        <v>138.34</v>
      </c>
      <c r="L66" s="293">
        <v>140.6</v>
      </c>
      <c r="M66" s="293">
        <v>142.85</v>
      </c>
      <c r="N66" s="293">
        <v>145.11000000000001</v>
      </c>
      <c r="O66" s="237">
        <v>137.72</v>
      </c>
      <c r="P66" s="237">
        <v>139.97</v>
      </c>
      <c r="Q66" s="237">
        <v>142.22999999999999</v>
      </c>
      <c r="R66" s="237">
        <v>144.49</v>
      </c>
      <c r="S66" s="237">
        <v>103.87</v>
      </c>
      <c r="T66" s="237">
        <v>101.61</v>
      </c>
      <c r="U66" s="237">
        <v>99.35</v>
      </c>
      <c r="V66" s="237">
        <v>97.09</v>
      </c>
      <c r="W66" s="237">
        <v>94.84</v>
      </c>
      <c r="X66" s="51">
        <v>62</v>
      </c>
      <c r="Y66" s="237">
        <v>65.23</v>
      </c>
      <c r="Z66" s="237">
        <v>66.819999999999993</v>
      </c>
      <c r="AA66" s="2">
        <v>68.41</v>
      </c>
      <c r="AB66" s="59">
        <v>70.010000000000005</v>
      </c>
      <c r="AC66" s="3">
        <v>71.599999999999994</v>
      </c>
      <c r="AD66" s="297">
        <v>79.739999999999995</v>
      </c>
      <c r="AE66" s="298">
        <v>81.33</v>
      </c>
      <c r="AF66" s="298">
        <v>82.93</v>
      </c>
      <c r="AG66" s="310">
        <v>84.52</v>
      </c>
      <c r="AH66" s="299">
        <v>86.11</v>
      </c>
      <c r="AI66" s="293">
        <v>87.71</v>
      </c>
      <c r="AJ66" s="293">
        <v>89.3</v>
      </c>
      <c r="AK66" s="293">
        <v>90.89</v>
      </c>
      <c r="AL66" s="293">
        <v>92.49</v>
      </c>
      <c r="AM66" s="293">
        <v>94.08</v>
      </c>
      <c r="AN66" s="293">
        <v>95.67</v>
      </c>
      <c r="AO66" s="237">
        <v>90.72</v>
      </c>
      <c r="AP66" s="237">
        <v>92.31</v>
      </c>
      <c r="AQ66" s="237">
        <v>93.91</v>
      </c>
      <c r="AR66" s="237">
        <v>95.5</v>
      </c>
      <c r="AS66" s="237">
        <v>66.819999999999993</v>
      </c>
      <c r="AT66" s="237">
        <v>65.23</v>
      </c>
      <c r="AU66" s="237">
        <v>63.63</v>
      </c>
      <c r="AV66" s="237">
        <v>62.04</v>
      </c>
      <c r="AW66" s="237">
        <v>60.44</v>
      </c>
    </row>
    <row r="67" spans="1:49">
      <c r="A67" s="2">
        <v>107.8</v>
      </c>
      <c r="B67" s="59">
        <v>110.1</v>
      </c>
      <c r="C67" s="3">
        <v>112.39</v>
      </c>
      <c r="D67" s="297">
        <v>124.48</v>
      </c>
      <c r="E67" s="298">
        <v>126.77</v>
      </c>
      <c r="F67" s="298">
        <v>129.07</v>
      </c>
      <c r="G67" s="298">
        <v>131.36000000000001</v>
      </c>
      <c r="H67" s="299">
        <v>133.65</v>
      </c>
      <c r="I67" s="293">
        <v>135.94999999999999</v>
      </c>
      <c r="J67" s="293">
        <v>138.24</v>
      </c>
      <c r="K67" s="293">
        <v>140.53</v>
      </c>
      <c r="L67" s="293">
        <v>142.83000000000001</v>
      </c>
      <c r="M67" s="293">
        <v>145.12</v>
      </c>
      <c r="N67" s="293">
        <v>147.41</v>
      </c>
      <c r="O67" s="237">
        <v>139.91</v>
      </c>
      <c r="P67" s="237">
        <v>142.19999999999999</v>
      </c>
      <c r="Q67" s="237">
        <v>144.5</v>
      </c>
      <c r="R67" s="237">
        <v>146.79</v>
      </c>
      <c r="S67" s="237">
        <v>105.51</v>
      </c>
      <c r="T67" s="237">
        <v>103.22</v>
      </c>
      <c r="U67" s="237">
        <v>100.92</v>
      </c>
      <c r="V67" s="237">
        <v>98.63</v>
      </c>
      <c r="W67" s="237">
        <v>96.34</v>
      </c>
      <c r="X67" s="51">
        <v>63</v>
      </c>
      <c r="Y67" s="237">
        <v>66.27</v>
      </c>
      <c r="Z67" s="237">
        <v>67.89</v>
      </c>
      <c r="AA67" s="2">
        <v>69.510000000000005</v>
      </c>
      <c r="AB67" s="59">
        <v>71.13</v>
      </c>
      <c r="AC67" s="3">
        <v>72.75</v>
      </c>
      <c r="AD67" s="297">
        <v>81.02</v>
      </c>
      <c r="AE67" s="298">
        <v>82.64</v>
      </c>
      <c r="AF67" s="298">
        <v>84.26</v>
      </c>
      <c r="AG67" s="310">
        <v>85.87</v>
      </c>
      <c r="AH67" s="299">
        <v>87.49</v>
      </c>
      <c r="AI67" s="293">
        <v>89.11</v>
      </c>
      <c r="AJ67" s="293">
        <v>90.73</v>
      </c>
      <c r="AK67" s="293">
        <v>92.35</v>
      </c>
      <c r="AL67" s="293">
        <v>93.97</v>
      </c>
      <c r="AM67" s="293">
        <v>95.59</v>
      </c>
      <c r="AN67" s="293">
        <v>97.21</v>
      </c>
      <c r="AO67" s="237">
        <v>92.18</v>
      </c>
      <c r="AP67" s="237">
        <v>93.8</v>
      </c>
      <c r="AQ67" s="237">
        <v>95.42</v>
      </c>
      <c r="AR67" s="237">
        <v>97.03</v>
      </c>
      <c r="AS67" s="237">
        <v>67.89</v>
      </c>
      <c r="AT67" s="237">
        <v>66.27</v>
      </c>
      <c r="AU67" s="237">
        <v>64.650000000000006</v>
      </c>
      <c r="AV67" s="237">
        <v>63.03</v>
      </c>
      <c r="AW67" s="237">
        <v>61.41</v>
      </c>
    </row>
    <row r="68" spans="1:49">
      <c r="A68" s="2">
        <v>109.49</v>
      </c>
      <c r="B68" s="59">
        <v>111.82</v>
      </c>
      <c r="C68" s="3">
        <v>114.15</v>
      </c>
      <c r="D68" s="297">
        <v>126.43</v>
      </c>
      <c r="E68" s="298">
        <v>128.76</v>
      </c>
      <c r="F68" s="298">
        <v>131.09</v>
      </c>
      <c r="G68" s="298">
        <v>133.41999999999999</v>
      </c>
      <c r="H68" s="299">
        <v>135.75</v>
      </c>
      <c r="I68" s="293">
        <v>138.08000000000001</v>
      </c>
      <c r="J68" s="293">
        <v>140.41</v>
      </c>
      <c r="K68" s="293">
        <v>142.74</v>
      </c>
      <c r="L68" s="293">
        <v>145.07</v>
      </c>
      <c r="M68" s="293">
        <v>147.4</v>
      </c>
      <c r="N68" s="293">
        <v>149.72999999999999</v>
      </c>
      <c r="O68" s="237">
        <v>142.11000000000001</v>
      </c>
      <c r="P68" s="237">
        <v>144.44</v>
      </c>
      <c r="Q68" s="237">
        <v>146.77000000000001</v>
      </c>
      <c r="R68" s="237">
        <v>149.1</v>
      </c>
      <c r="S68" s="237">
        <v>107.16</v>
      </c>
      <c r="T68" s="237">
        <v>104.83</v>
      </c>
      <c r="U68" s="237">
        <v>102.51</v>
      </c>
      <c r="V68" s="237">
        <v>100.18</v>
      </c>
      <c r="W68" s="237">
        <v>97.85</v>
      </c>
      <c r="X68" s="51">
        <v>64</v>
      </c>
      <c r="Y68" s="237">
        <v>67.319999999999993</v>
      </c>
      <c r="Z68" s="237">
        <v>68.97</v>
      </c>
      <c r="AA68" s="2">
        <v>70.61</v>
      </c>
      <c r="AB68" s="59">
        <v>72.25</v>
      </c>
      <c r="AC68" s="3">
        <v>73.900000000000006</v>
      </c>
      <c r="AD68" s="297">
        <v>82.3</v>
      </c>
      <c r="AE68" s="298">
        <v>83.94</v>
      </c>
      <c r="AF68" s="298">
        <v>85.59</v>
      </c>
      <c r="AG68" s="310">
        <v>87.23</v>
      </c>
      <c r="AH68" s="299">
        <v>88.88</v>
      </c>
      <c r="AI68" s="293">
        <v>90.52</v>
      </c>
      <c r="AJ68" s="293">
        <v>92.17</v>
      </c>
      <c r="AK68" s="293">
        <v>93.81</v>
      </c>
      <c r="AL68" s="293">
        <v>95.46</v>
      </c>
      <c r="AM68" s="293">
        <v>97.1</v>
      </c>
      <c r="AN68" s="293">
        <v>98.75</v>
      </c>
      <c r="AO68" s="237">
        <v>93.64</v>
      </c>
      <c r="AP68" s="237">
        <v>95.28</v>
      </c>
      <c r="AQ68" s="237">
        <v>96.93</v>
      </c>
      <c r="AR68" s="237">
        <v>98.57</v>
      </c>
      <c r="AS68" s="237">
        <v>68.97</v>
      </c>
      <c r="AT68" s="237">
        <v>67.319999999999993</v>
      </c>
      <c r="AU68" s="237">
        <v>65.680000000000007</v>
      </c>
      <c r="AV68" s="237">
        <v>64.03</v>
      </c>
      <c r="AW68" s="237">
        <v>62.39</v>
      </c>
    </row>
    <row r="69" spans="1:49">
      <c r="A69" s="2">
        <v>111.19</v>
      </c>
      <c r="B69" s="59">
        <v>113.56</v>
      </c>
      <c r="C69" s="3">
        <v>115.92</v>
      </c>
      <c r="D69" s="297">
        <v>128.38999999999999</v>
      </c>
      <c r="E69" s="298">
        <v>130.75</v>
      </c>
      <c r="F69" s="298">
        <v>133.12</v>
      </c>
      <c r="G69" s="298">
        <v>135.47999999999999</v>
      </c>
      <c r="H69" s="299">
        <v>137.85</v>
      </c>
      <c r="I69" s="293">
        <v>140.22</v>
      </c>
      <c r="J69" s="293">
        <v>142.58000000000001</v>
      </c>
      <c r="K69" s="293">
        <v>144.94999999999999</v>
      </c>
      <c r="L69" s="293">
        <v>147.31</v>
      </c>
      <c r="M69" s="293">
        <v>149.68</v>
      </c>
      <c r="N69" s="293">
        <v>152.05000000000001</v>
      </c>
      <c r="O69" s="237">
        <v>144.31</v>
      </c>
      <c r="P69" s="237">
        <v>146.68</v>
      </c>
      <c r="Q69" s="237">
        <v>149.05000000000001</v>
      </c>
      <c r="R69" s="237">
        <v>151.41</v>
      </c>
      <c r="S69" s="237">
        <v>108.82</v>
      </c>
      <c r="T69" s="237">
        <v>106.46</v>
      </c>
      <c r="U69" s="237">
        <v>104.09</v>
      </c>
      <c r="V69" s="237">
        <v>101.73</v>
      </c>
      <c r="W69" s="237">
        <v>99.36</v>
      </c>
      <c r="X69" s="51">
        <v>65</v>
      </c>
      <c r="Y69" s="237">
        <v>68.36</v>
      </c>
      <c r="Z69" s="237">
        <v>70.03</v>
      </c>
      <c r="AA69" s="2">
        <v>71.7</v>
      </c>
      <c r="AB69" s="59">
        <v>73.37</v>
      </c>
      <c r="AC69" s="3">
        <v>75.040000000000006</v>
      </c>
      <c r="AD69" s="297">
        <v>83.57</v>
      </c>
      <c r="AE69" s="298">
        <v>85.24</v>
      </c>
      <c r="AF69" s="298">
        <v>86.91</v>
      </c>
      <c r="AG69" s="310">
        <v>88.58</v>
      </c>
      <c r="AH69" s="299">
        <v>90.25</v>
      </c>
      <c r="AI69" s="293">
        <v>91.92</v>
      </c>
      <c r="AJ69" s="293">
        <v>93.59</v>
      </c>
      <c r="AK69" s="293">
        <v>95.26</v>
      </c>
      <c r="AL69" s="293">
        <v>96.93</v>
      </c>
      <c r="AM69" s="293">
        <v>98.6</v>
      </c>
      <c r="AN69" s="293">
        <v>100.27</v>
      </c>
      <c r="AO69" s="237">
        <v>95.09</v>
      </c>
      <c r="AP69" s="237">
        <v>96.76</v>
      </c>
      <c r="AQ69" s="237">
        <v>98.43</v>
      </c>
      <c r="AR69" s="237">
        <v>100.1</v>
      </c>
      <c r="AS69" s="237">
        <v>70.03</v>
      </c>
      <c r="AT69" s="237">
        <v>68.36</v>
      </c>
      <c r="AU69" s="237">
        <v>66.69</v>
      </c>
      <c r="AV69" s="237">
        <v>65.02</v>
      </c>
      <c r="AW69" s="237">
        <v>63.35</v>
      </c>
    </row>
    <row r="70" spans="1:49">
      <c r="A70" s="2">
        <v>112.9</v>
      </c>
      <c r="B70" s="59">
        <v>115.3</v>
      </c>
      <c r="C70" s="3">
        <v>117.7</v>
      </c>
      <c r="D70" s="297">
        <v>130.35</v>
      </c>
      <c r="E70" s="298">
        <v>132.76</v>
      </c>
      <c r="F70" s="298">
        <v>135.16</v>
      </c>
      <c r="G70" s="298">
        <v>137.56</v>
      </c>
      <c r="H70" s="299">
        <v>139.96</v>
      </c>
      <c r="I70" s="293">
        <v>142.37</v>
      </c>
      <c r="J70" s="293">
        <v>144.77000000000001</v>
      </c>
      <c r="K70" s="293">
        <v>147.16999999999999</v>
      </c>
      <c r="L70" s="293">
        <v>149.57</v>
      </c>
      <c r="M70" s="293">
        <v>151.97999999999999</v>
      </c>
      <c r="N70" s="293">
        <v>154.38</v>
      </c>
      <c r="O70" s="237">
        <v>146.53</v>
      </c>
      <c r="P70" s="237">
        <v>148.93</v>
      </c>
      <c r="Q70" s="237">
        <v>151.33000000000001</v>
      </c>
      <c r="R70" s="237">
        <v>153.74</v>
      </c>
      <c r="S70" s="237">
        <v>110.49</v>
      </c>
      <c r="T70" s="237">
        <v>108.09</v>
      </c>
      <c r="U70" s="237">
        <v>105.69</v>
      </c>
      <c r="V70" s="237">
        <v>103.29</v>
      </c>
      <c r="W70" s="237">
        <v>100.88</v>
      </c>
      <c r="X70" s="51">
        <v>66</v>
      </c>
      <c r="Y70" s="237">
        <v>69.41</v>
      </c>
      <c r="Z70" s="237">
        <v>71.11</v>
      </c>
      <c r="AA70" s="2">
        <v>72.8</v>
      </c>
      <c r="AB70" s="59">
        <v>74.5</v>
      </c>
      <c r="AC70" s="3">
        <v>76.2</v>
      </c>
      <c r="AD70" s="297">
        <v>84.85</v>
      </c>
      <c r="AE70" s="298">
        <v>86.55</v>
      </c>
      <c r="AF70" s="298">
        <v>88.24</v>
      </c>
      <c r="AG70" s="310">
        <v>89.94</v>
      </c>
      <c r="AH70" s="299">
        <v>91.64</v>
      </c>
      <c r="AI70" s="293">
        <v>93.33</v>
      </c>
      <c r="AJ70" s="293">
        <v>95.03</v>
      </c>
      <c r="AK70" s="293">
        <v>96.73</v>
      </c>
      <c r="AL70" s="293">
        <v>98.42</v>
      </c>
      <c r="AM70" s="293">
        <v>100.12</v>
      </c>
      <c r="AN70" s="293">
        <v>101.81</v>
      </c>
      <c r="AO70" s="237">
        <v>96.55</v>
      </c>
      <c r="AP70" s="237">
        <v>98.25</v>
      </c>
      <c r="AQ70" s="237">
        <v>99.94</v>
      </c>
      <c r="AR70" s="237">
        <v>101.64</v>
      </c>
      <c r="AS70" s="237">
        <v>71.11</v>
      </c>
      <c r="AT70" s="237">
        <v>69.41</v>
      </c>
      <c r="AU70" s="237">
        <v>67.709999999999994</v>
      </c>
      <c r="AV70" s="237">
        <v>66.02</v>
      </c>
      <c r="AW70" s="237">
        <v>64.319999999999993</v>
      </c>
    </row>
    <row r="71" spans="1:49">
      <c r="A71" s="2">
        <v>114.61</v>
      </c>
      <c r="B71" s="59">
        <v>117.05</v>
      </c>
      <c r="C71" s="3">
        <v>119.49</v>
      </c>
      <c r="D71" s="297">
        <v>132.33000000000001</v>
      </c>
      <c r="E71" s="298">
        <v>134.77000000000001</v>
      </c>
      <c r="F71" s="298">
        <v>137.21</v>
      </c>
      <c r="G71" s="298">
        <v>139.65</v>
      </c>
      <c r="H71" s="299">
        <v>142.09</v>
      </c>
      <c r="I71" s="293">
        <v>144.53</v>
      </c>
      <c r="J71" s="293">
        <v>146.96</v>
      </c>
      <c r="K71" s="293">
        <v>149.4</v>
      </c>
      <c r="L71" s="293">
        <v>151.84</v>
      </c>
      <c r="M71" s="293">
        <v>154.28</v>
      </c>
      <c r="N71" s="293">
        <v>156.72</v>
      </c>
      <c r="O71" s="237">
        <v>148.75</v>
      </c>
      <c r="P71" s="237">
        <v>151.19</v>
      </c>
      <c r="Q71" s="237">
        <v>153.63</v>
      </c>
      <c r="R71" s="237">
        <v>156.07</v>
      </c>
      <c r="S71" s="237">
        <v>112.17</v>
      </c>
      <c r="T71" s="237">
        <v>109.73</v>
      </c>
      <c r="U71" s="237">
        <v>107.29</v>
      </c>
      <c r="V71" s="237">
        <v>104.85</v>
      </c>
      <c r="W71" s="237">
        <v>102.41</v>
      </c>
      <c r="X71" s="51">
        <v>67</v>
      </c>
      <c r="Y71" s="237">
        <v>70.45</v>
      </c>
      <c r="Z71" s="237">
        <v>72.17</v>
      </c>
      <c r="AA71" s="2">
        <v>73.900000000000006</v>
      </c>
      <c r="AB71" s="59">
        <v>75.62</v>
      </c>
      <c r="AC71" s="3">
        <v>77.34</v>
      </c>
      <c r="AD71" s="297">
        <v>86.12</v>
      </c>
      <c r="AE71" s="298">
        <v>87.85</v>
      </c>
      <c r="AF71" s="298">
        <v>89.57</v>
      </c>
      <c r="AG71" s="310">
        <v>91.29</v>
      </c>
      <c r="AH71" s="299">
        <v>93.01</v>
      </c>
      <c r="AI71" s="293">
        <v>94.73</v>
      </c>
      <c r="AJ71" s="293">
        <v>96.46</v>
      </c>
      <c r="AK71" s="293">
        <v>98.18</v>
      </c>
      <c r="AL71" s="293">
        <v>99.9</v>
      </c>
      <c r="AM71" s="293">
        <v>101.62</v>
      </c>
      <c r="AN71" s="293">
        <v>103.34</v>
      </c>
      <c r="AO71" s="237">
        <v>98</v>
      </c>
      <c r="AP71" s="237">
        <v>99.73</v>
      </c>
      <c r="AQ71" s="237">
        <v>101.45</v>
      </c>
      <c r="AR71" s="237">
        <v>103.17</v>
      </c>
      <c r="AS71" s="237">
        <v>72.17</v>
      </c>
      <c r="AT71" s="237">
        <v>70.45</v>
      </c>
      <c r="AU71" s="237">
        <v>68.73</v>
      </c>
      <c r="AV71" s="237">
        <v>67.010000000000005</v>
      </c>
      <c r="AW71" s="237">
        <v>35.29</v>
      </c>
    </row>
    <row r="72" spans="1:49">
      <c r="A72" s="2">
        <v>116.28</v>
      </c>
      <c r="B72" s="59">
        <v>118.76</v>
      </c>
      <c r="C72" s="3">
        <v>121.23</v>
      </c>
      <c r="D72" s="297">
        <v>134.26</v>
      </c>
      <c r="E72" s="298">
        <v>136.72999999999999</v>
      </c>
      <c r="F72" s="298">
        <v>139.21</v>
      </c>
      <c r="G72" s="298">
        <v>141.69</v>
      </c>
      <c r="H72" s="299">
        <v>144.16</v>
      </c>
      <c r="I72" s="293">
        <v>146.63999999999999</v>
      </c>
      <c r="J72" s="293">
        <v>149.11000000000001</v>
      </c>
      <c r="K72" s="293">
        <v>151.59</v>
      </c>
      <c r="L72" s="293">
        <v>154.06</v>
      </c>
      <c r="M72" s="293">
        <v>156.54</v>
      </c>
      <c r="N72" s="293">
        <v>159.01</v>
      </c>
      <c r="O72" s="237">
        <v>150.93</v>
      </c>
      <c r="P72" s="237">
        <v>153.41</v>
      </c>
      <c r="Q72" s="237">
        <v>155.88999999999999</v>
      </c>
      <c r="R72" s="237">
        <v>158.36000000000001</v>
      </c>
      <c r="S72" s="237">
        <v>113.81</v>
      </c>
      <c r="T72" s="237">
        <v>111.33</v>
      </c>
      <c r="U72" s="237">
        <v>108.86</v>
      </c>
      <c r="V72" s="237">
        <v>106.38</v>
      </c>
      <c r="W72" s="237">
        <v>103.91</v>
      </c>
      <c r="X72" s="51">
        <v>68</v>
      </c>
      <c r="Y72" s="237">
        <v>71.5</v>
      </c>
      <c r="Z72" s="237">
        <v>73.239999999999995</v>
      </c>
      <c r="AA72" s="2">
        <v>74.989999999999995</v>
      </c>
      <c r="AB72" s="59">
        <v>76.739999999999995</v>
      </c>
      <c r="AC72" s="3">
        <v>78.489999999999995</v>
      </c>
      <c r="AD72" s="297">
        <v>87.4</v>
      </c>
      <c r="AE72" s="298">
        <v>89.15</v>
      </c>
      <c r="AF72" s="298">
        <v>90.89</v>
      </c>
      <c r="AG72" s="310">
        <v>92.64</v>
      </c>
      <c r="AH72" s="299">
        <v>94.39</v>
      </c>
      <c r="AI72" s="293">
        <v>96.14</v>
      </c>
      <c r="AJ72" s="293">
        <v>97.88</v>
      </c>
      <c r="AK72" s="293">
        <v>99.63</v>
      </c>
      <c r="AL72" s="293">
        <v>101.38</v>
      </c>
      <c r="AM72" s="293">
        <v>103.13</v>
      </c>
      <c r="AN72" s="293">
        <v>104.87</v>
      </c>
      <c r="AO72" s="237">
        <v>99.46</v>
      </c>
      <c r="AP72" s="237">
        <v>101.21</v>
      </c>
      <c r="AQ72" s="237">
        <v>102.95</v>
      </c>
      <c r="AR72" s="237">
        <v>104.7</v>
      </c>
      <c r="AS72" s="237">
        <v>73.239999999999995</v>
      </c>
      <c r="AT72" s="237">
        <v>71.5</v>
      </c>
      <c r="AU72" s="237">
        <v>69.75</v>
      </c>
      <c r="AV72" s="237">
        <v>68</v>
      </c>
      <c r="AW72" s="237">
        <v>66.25</v>
      </c>
    </row>
    <row r="73" spans="1:49">
      <c r="A73" s="2">
        <v>118.01</v>
      </c>
      <c r="B73" s="59">
        <v>120.52</v>
      </c>
      <c r="C73" s="3">
        <v>123.03</v>
      </c>
      <c r="D73" s="297">
        <v>136.26</v>
      </c>
      <c r="E73" s="298">
        <v>138.77000000000001</v>
      </c>
      <c r="F73" s="298">
        <v>141.28</v>
      </c>
      <c r="G73" s="298">
        <v>143.79</v>
      </c>
      <c r="H73" s="299">
        <v>146.30000000000001</v>
      </c>
      <c r="I73" s="293">
        <v>148.82</v>
      </c>
      <c r="J73" s="293">
        <v>151.33000000000001</v>
      </c>
      <c r="K73" s="293">
        <v>153.84</v>
      </c>
      <c r="L73" s="293">
        <v>156.35</v>
      </c>
      <c r="M73" s="293">
        <v>158.86000000000001</v>
      </c>
      <c r="N73" s="293">
        <v>161.37</v>
      </c>
      <c r="O73" s="237">
        <v>153.16999999999999</v>
      </c>
      <c r="P73" s="237">
        <v>155.68</v>
      </c>
      <c r="Q73" s="237">
        <v>158.19999999999999</v>
      </c>
      <c r="R73" s="237">
        <v>160.71</v>
      </c>
      <c r="S73" s="237">
        <v>115.5</v>
      </c>
      <c r="T73" s="237">
        <v>112.99</v>
      </c>
      <c r="U73" s="237">
        <v>110.48</v>
      </c>
      <c r="V73" s="237">
        <v>107.96</v>
      </c>
      <c r="W73" s="237">
        <v>105.45</v>
      </c>
      <c r="X73" s="51">
        <v>69</v>
      </c>
      <c r="Y73" s="237">
        <v>72.540000000000006</v>
      </c>
      <c r="Z73" s="237">
        <v>74.319999999999993</v>
      </c>
      <c r="AA73" s="2">
        <v>76.09</v>
      </c>
      <c r="AB73" s="59">
        <v>77.86</v>
      </c>
      <c r="AC73" s="3">
        <v>79.64</v>
      </c>
      <c r="AD73" s="297">
        <v>88.68</v>
      </c>
      <c r="AE73" s="298">
        <v>90.45</v>
      </c>
      <c r="AF73" s="298">
        <v>92.22</v>
      </c>
      <c r="AG73" s="310">
        <v>94</v>
      </c>
      <c r="AH73" s="299">
        <v>95.77</v>
      </c>
      <c r="AI73" s="293">
        <v>97.54</v>
      </c>
      <c r="AJ73" s="293">
        <v>99.32</v>
      </c>
      <c r="AK73" s="293">
        <v>101.09</v>
      </c>
      <c r="AL73" s="293">
        <v>102.86</v>
      </c>
      <c r="AM73" s="293">
        <v>104.64</v>
      </c>
      <c r="AN73" s="293">
        <v>106.41</v>
      </c>
      <c r="AO73" s="237">
        <v>100.91</v>
      </c>
      <c r="AP73" s="237">
        <v>102.69</v>
      </c>
      <c r="AQ73" s="237">
        <v>104.46</v>
      </c>
      <c r="AR73" s="237">
        <v>106.23</v>
      </c>
      <c r="AS73" s="237">
        <v>74.319999999999993</v>
      </c>
      <c r="AT73" s="237">
        <v>72.540000000000006</v>
      </c>
      <c r="AU73" s="237">
        <v>70.77</v>
      </c>
      <c r="AV73" s="237">
        <v>69</v>
      </c>
      <c r="AW73" s="237">
        <v>67.22</v>
      </c>
    </row>
    <row r="74" spans="1:49">
      <c r="A74" s="2">
        <v>119.7</v>
      </c>
      <c r="B74" s="59">
        <v>122.25</v>
      </c>
      <c r="C74" s="3">
        <v>124.79</v>
      </c>
      <c r="D74" s="297">
        <v>138.19999999999999</v>
      </c>
      <c r="E74" s="298">
        <v>140.75</v>
      </c>
      <c r="F74" s="298">
        <v>143.30000000000001</v>
      </c>
      <c r="G74" s="298">
        <v>145.85</v>
      </c>
      <c r="H74" s="299">
        <v>148.38999999999999</v>
      </c>
      <c r="I74" s="293">
        <v>150.94</v>
      </c>
      <c r="J74" s="293">
        <v>153.49</v>
      </c>
      <c r="K74" s="293">
        <v>156.04</v>
      </c>
      <c r="L74" s="293">
        <v>158.59</v>
      </c>
      <c r="M74" s="293">
        <v>161.13</v>
      </c>
      <c r="N74" s="293">
        <v>163.68</v>
      </c>
      <c r="O74" s="237">
        <v>155.37</v>
      </c>
      <c r="P74" s="237">
        <v>157.91999999999999</v>
      </c>
      <c r="Q74" s="237">
        <v>160.47</v>
      </c>
      <c r="R74" s="237">
        <v>163.01</v>
      </c>
      <c r="S74" s="237">
        <v>117.15</v>
      </c>
      <c r="T74" s="237">
        <v>114.6</v>
      </c>
      <c r="U74" s="237">
        <v>112.05</v>
      </c>
      <c r="V74" s="237">
        <v>109.51</v>
      </c>
      <c r="W74" s="237">
        <v>106.96</v>
      </c>
      <c r="X74" s="51">
        <v>70</v>
      </c>
      <c r="Y74" s="237">
        <v>73.59</v>
      </c>
      <c r="Z74" s="237">
        <v>75.39</v>
      </c>
      <c r="AA74" s="2">
        <v>77.19</v>
      </c>
      <c r="AB74" s="59">
        <v>78.989999999999995</v>
      </c>
      <c r="AC74" s="3">
        <v>80.790000000000006</v>
      </c>
      <c r="AD74" s="297">
        <v>89.95</v>
      </c>
      <c r="AE74" s="298">
        <v>91.75</v>
      </c>
      <c r="AF74" s="298">
        <v>93.55</v>
      </c>
      <c r="AG74" s="310">
        <v>95.35</v>
      </c>
      <c r="AH74" s="299">
        <v>97.15</v>
      </c>
      <c r="AI74" s="293">
        <v>98.95</v>
      </c>
      <c r="AJ74" s="293">
        <v>100.75</v>
      </c>
      <c r="AK74" s="293">
        <v>102.55</v>
      </c>
      <c r="AL74" s="293">
        <v>104.35</v>
      </c>
      <c r="AM74" s="293">
        <v>106.15</v>
      </c>
      <c r="AN74" s="293">
        <v>107.94</v>
      </c>
      <c r="AO74" s="237">
        <v>102.37</v>
      </c>
      <c r="AP74" s="237">
        <v>104.17</v>
      </c>
      <c r="AQ74" s="237">
        <v>105.97</v>
      </c>
      <c r="AR74" s="237">
        <v>107.77</v>
      </c>
      <c r="AS74" s="237">
        <v>75.39</v>
      </c>
      <c r="AT74" s="237">
        <v>73.59</v>
      </c>
      <c r="AU74" s="237">
        <v>71.790000000000006</v>
      </c>
      <c r="AV74" s="237">
        <v>69.989999999999995</v>
      </c>
      <c r="AW74" s="237">
        <v>68.19</v>
      </c>
    </row>
    <row r="75" spans="1:49">
      <c r="A75" s="2">
        <v>121.39</v>
      </c>
      <c r="B75" s="59">
        <v>123.98</v>
      </c>
      <c r="C75" s="3">
        <v>126.56</v>
      </c>
      <c r="D75" s="297">
        <v>140.16</v>
      </c>
      <c r="E75" s="298">
        <v>142.74</v>
      </c>
      <c r="F75" s="298">
        <v>145.33000000000001</v>
      </c>
      <c r="G75" s="298">
        <v>147.91</v>
      </c>
      <c r="H75" s="299">
        <v>150.49</v>
      </c>
      <c r="I75" s="293">
        <v>153.08000000000001</v>
      </c>
      <c r="J75" s="293">
        <v>155.66</v>
      </c>
      <c r="K75" s="293">
        <v>158.25</v>
      </c>
      <c r="L75" s="293">
        <v>160.83000000000001</v>
      </c>
      <c r="M75" s="293">
        <v>163.41999999999999</v>
      </c>
      <c r="N75" s="293">
        <v>166</v>
      </c>
      <c r="O75" s="237">
        <v>157.57</v>
      </c>
      <c r="P75" s="237">
        <v>160.16</v>
      </c>
      <c r="Q75" s="237">
        <v>162.74</v>
      </c>
      <c r="R75" s="237">
        <v>165.33</v>
      </c>
      <c r="S75" s="237">
        <v>118.81</v>
      </c>
      <c r="T75" s="237">
        <v>116.22</v>
      </c>
      <c r="U75" s="237">
        <v>113.64</v>
      </c>
      <c r="V75" s="237">
        <v>111.05</v>
      </c>
      <c r="W75" s="237">
        <v>108.47</v>
      </c>
      <c r="X75" s="51">
        <v>71</v>
      </c>
      <c r="Y75" s="237">
        <v>74.94</v>
      </c>
      <c r="Z75" s="237">
        <v>76.459999999999994</v>
      </c>
      <c r="AA75" s="2">
        <v>78.290000000000006</v>
      </c>
      <c r="AB75" s="59">
        <v>80.11</v>
      </c>
      <c r="AC75" s="3">
        <v>81.94</v>
      </c>
      <c r="AD75" s="297">
        <v>91.24</v>
      </c>
      <c r="AE75" s="298">
        <v>93.06</v>
      </c>
      <c r="AF75" s="298">
        <v>94.89</v>
      </c>
      <c r="AG75" s="310">
        <v>96.71</v>
      </c>
      <c r="AH75" s="299">
        <v>98.54</v>
      </c>
      <c r="AI75" s="293">
        <v>100.36</v>
      </c>
      <c r="AJ75" s="293">
        <v>102.19</v>
      </c>
      <c r="AK75" s="293">
        <v>104.01</v>
      </c>
      <c r="AL75" s="293">
        <v>105.83</v>
      </c>
      <c r="AM75" s="293">
        <v>107.66</v>
      </c>
      <c r="AN75" s="293">
        <v>109.48</v>
      </c>
      <c r="AO75" s="237">
        <v>103.83</v>
      </c>
      <c r="AP75" s="237">
        <v>105.66</v>
      </c>
      <c r="AQ75" s="237">
        <v>107.48</v>
      </c>
      <c r="AR75" s="237">
        <v>109.31</v>
      </c>
      <c r="AS75" s="237">
        <v>76.459999999999994</v>
      </c>
      <c r="AT75" s="237">
        <v>74.94</v>
      </c>
      <c r="AU75" s="237">
        <v>72.81</v>
      </c>
      <c r="AV75" s="237">
        <v>70.989999999999995</v>
      </c>
      <c r="AW75" s="237">
        <v>69.16</v>
      </c>
    </row>
    <row r="76" spans="1:49">
      <c r="A76" s="2">
        <v>123.09</v>
      </c>
      <c r="B76" s="59">
        <v>125.71</v>
      </c>
      <c r="C76" s="3">
        <v>128.33000000000001</v>
      </c>
      <c r="D76" s="297">
        <v>142.12</v>
      </c>
      <c r="E76" s="298">
        <v>144.74</v>
      </c>
      <c r="F76" s="298">
        <v>147.36000000000001</v>
      </c>
      <c r="G76" s="298">
        <v>149.97999999999999</v>
      </c>
      <c r="H76" s="299">
        <v>152.6</v>
      </c>
      <c r="I76" s="293">
        <v>155.22</v>
      </c>
      <c r="J76" s="293">
        <v>157.84</v>
      </c>
      <c r="K76" s="293">
        <v>160.47</v>
      </c>
      <c r="L76" s="293">
        <v>163.09</v>
      </c>
      <c r="M76" s="293">
        <v>165.71</v>
      </c>
      <c r="N76" s="293">
        <v>168.33</v>
      </c>
      <c r="O76" s="237">
        <v>159.78</v>
      </c>
      <c r="P76" s="237">
        <v>162.4</v>
      </c>
      <c r="Q76" s="237">
        <v>165.03</v>
      </c>
      <c r="R76" s="237">
        <v>167.65</v>
      </c>
      <c r="S76" s="237">
        <v>120.47</v>
      </c>
      <c r="T76" s="237">
        <v>117.85</v>
      </c>
      <c r="U76" s="237">
        <v>115.23</v>
      </c>
      <c r="V76" s="237">
        <v>112.61</v>
      </c>
      <c r="W76" s="237">
        <v>109.99</v>
      </c>
      <c r="X76" s="51">
        <v>72</v>
      </c>
      <c r="Y76" s="237">
        <v>75.69</v>
      </c>
      <c r="Z76" s="237">
        <v>77.540000000000006</v>
      </c>
      <c r="AA76" s="2">
        <v>79.39</v>
      </c>
      <c r="AB76" s="59">
        <v>81.239999999999995</v>
      </c>
      <c r="AC76" s="3">
        <v>83.09</v>
      </c>
      <c r="AD76" s="297">
        <v>92.52</v>
      </c>
      <c r="AE76" s="298">
        <v>94.37</v>
      </c>
      <c r="AF76" s="298">
        <v>96.22</v>
      </c>
      <c r="AG76" s="310">
        <v>98.07</v>
      </c>
      <c r="AH76" s="299">
        <v>99.92</v>
      </c>
      <c r="AI76" s="293">
        <v>101.77</v>
      </c>
      <c r="AJ76" s="293">
        <v>103.63</v>
      </c>
      <c r="AK76" s="293">
        <v>105.48</v>
      </c>
      <c r="AL76" s="293">
        <v>107.33</v>
      </c>
      <c r="AM76" s="293">
        <v>109.18</v>
      </c>
      <c r="AN76" s="293">
        <v>111.03</v>
      </c>
      <c r="AO76" s="237">
        <v>105.3</v>
      </c>
      <c r="AP76" s="237">
        <v>107.15</v>
      </c>
      <c r="AQ76" s="237">
        <v>109</v>
      </c>
      <c r="AR76" s="237">
        <v>110.85</v>
      </c>
      <c r="AS76" s="237">
        <v>77.540000000000006</v>
      </c>
      <c r="AT76" s="237">
        <v>75.69</v>
      </c>
      <c r="AU76" s="237">
        <v>73.84</v>
      </c>
      <c r="AV76" s="237">
        <v>71.989999999999995</v>
      </c>
      <c r="AW76" s="237">
        <v>70.14</v>
      </c>
    </row>
    <row r="77" spans="1:49">
      <c r="A77" s="2">
        <v>124.8</v>
      </c>
      <c r="B77" s="59">
        <v>127.46</v>
      </c>
      <c r="C77" s="3">
        <v>130.12</v>
      </c>
      <c r="D77" s="297">
        <v>144.09</v>
      </c>
      <c r="E77" s="298">
        <v>146.75</v>
      </c>
      <c r="F77" s="298">
        <v>149.41</v>
      </c>
      <c r="G77" s="298">
        <v>12.06</v>
      </c>
      <c r="H77" s="299">
        <v>154.72</v>
      </c>
      <c r="I77" s="293">
        <v>157.38</v>
      </c>
      <c r="J77" s="293">
        <v>160.03</v>
      </c>
      <c r="K77" s="293">
        <v>162.69</v>
      </c>
      <c r="L77" s="293">
        <v>165.35</v>
      </c>
      <c r="M77" s="293">
        <v>168.01</v>
      </c>
      <c r="N77" s="293">
        <v>170.66</v>
      </c>
      <c r="O77" s="237">
        <v>162</v>
      </c>
      <c r="P77" s="237">
        <v>164.66</v>
      </c>
      <c r="Q77" s="237">
        <v>167.32</v>
      </c>
      <c r="R77" s="237">
        <v>169.97</v>
      </c>
      <c r="S77" s="237">
        <v>122.14</v>
      </c>
      <c r="T77" s="237">
        <v>119.49</v>
      </c>
      <c r="U77" s="237">
        <v>116.83</v>
      </c>
      <c r="V77" s="237">
        <v>114.17</v>
      </c>
      <c r="W77" s="237">
        <v>111.52</v>
      </c>
      <c r="X77" s="51">
        <v>73</v>
      </c>
      <c r="Y77" s="237">
        <v>76.73</v>
      </c>
      <c r="Z77" s="237">
        <v>78.599999999999994</v>
      </c>
      <c r="AA77" s="2">
        <v>80.48</v>
      </c>
      <c r="AB77" s="59">
        <v>82.36</v>
      </c>
      <c r="AC77" s="3">
        <v>84.23</v>
      </c>
      <c r="AD77" s="297">
        <v>93.79</v>
      </c>
      <c r="AE77" s="298">
        <v>95.66</v>
      </c>
      <c r="AF77" s="298">
        <v>97.54</v>
      </c>
      <c r="AG77" s="310">
        <v>99.42</v>
      </c>
      <c r="AH77" s="299">
        <v>101.29</v>
      </c>
      <c r="AI77" s="293">
        <v>103.17</v>
      </c>
      <c r="AJ77" s="293">
        <v>105.05</v>
      </c>
      <c r="AK77" s="293">
        <v>106.92</v>
      </c>
      <c r="AL77" s="293">
        <v>108.8</v>
      </c>
      <c r="AM77" s="293">
        <v>110.67</v>
      </c>
      <c r="AN77" s="293">
        <v>112.55</v>
      </c>
      <c r="AO77" s="237">
        <v>106.75</v>
      </c>
      <c r="AP77" s="237">
        <v>108.62</v>
      </c>
      <c r="AQ77" s="237">
        <v>110.5</v>
      </c>
      <c r="AR77" s="237">
        <v>112.37</v>
      </c>
      <c r="AS77" s="237">
        <v>78.599999999999994</v>
      </c>
      <c r="AT77" s="237">
        <v>76.73</v>
      </c>
      <c r="AU77" s="237">
        <v>74.849999999999994</v>
      </c>
      <c r="AV77" s="237">
        <v>72.98</v>
      </c>
      <c r="AW77" s="237">
        <v>71.099999999999994</v>
      </c>
    </row>
    <row r="78" spans="1:49">
      <c r="A78" s="2">
        <v>126.52</v>
      </c>
      <c r="B78" s="59">
        <v>129.21</v>
      </c>
      <c r="C78" s="3">
        <v>131.9</v>
      </c>
      <c r="D78" s="297">
        <v>146.07</v>
      </c>
      <c r="E78" s="298">
        <v>148.77000000000001</v>
      </c>
      <c r="F78" s="298">
        <v>151.46</v>
      </c>
      <c r="G78" s="298">
        <v>154.15</v>
      </c>
      <c r="H78" s="299">
        <v>156.85</v>
      </c>
      <c r="I78" s="293">
        <v>159.54</v>
      </c>
      <c r="J78" s="293">
        <v>162.22999999999999</v>
      </c>
      <c r="K78" s="293">
        <v>164.93</v>
      </c>
      <c r="L78" s="293">
        <v>167.62</v>
      </c>
      <c r="M78" s="293">
        <v>170.32</v>
      </c>
      <c r="N78" s="293">
        <v>173.01</v>
      </c>
      <c r="O78" s="237">
        <v>164.23</v>
      </c>
      <c r="P78" s="237">
        <v>166.92</v>
      </c>
      <c r="Q78" s="237">
        <v>169.61</v>
      </c>
      <c r="R78" s="237">
        <v>172.31</v>
      </c>
      <c r="S78" s="237">
        <v>123.82</v>
      </c>
      <c r="T78" s="237">
        <v>121.13</v>
      </c>
      <c r="U78" s="237">
        <v>118.44</v>
      </c>
      <c r="V78" s="237">
        <v>115.74</v>
      </c>
      <c r="W78" s="237">
        <v>113.05</v>
      </c>
      <c r="X78" s="51">
        <v>74</v>
      </c>
      <c r="Y78" s="237">
        <v>77.78</v>
      </c>
      <c r="Z78" s="237">
        <v>79.69</v>
      </c>
      <c r="AA78" s="2">
        <v>81.59</v>
      </c>
      <c r="AB78" s="59">
        <v>83.49</v>
      </c>
      <c r="AC78" s="3">
        <v>85.39</v>
      </c>
      <c r="AD78" s="297">
        <v>95.08</v>
      </c>
      <c r="AE78" s="298">
        <v>96.98</v>
      </c>
      <c r="AF78" s="298">
        <v>98.88</v>
      </c>
      <c r="AG78" s="310">
        <v>100.79</v>
      </c>
      <c r="AH78" s="299">
        <v>102.69</v>
      </c>
      <c r="AI78" s="293">
        <v>104.59</v>
      </c>
      <c r="AJ78" s="293">
        <v>106.49</v>
      </c>
      <c r="AK78" s="293">
        <v>108.39</v>
      </c>
      <c r="AL78" s="293">
        <v>110.29</v>
      </c>
      <c r="AM78" s="293">
        <v>112.2</v>
      </c>
      <c r="AN78" s="293">
        <v>114.1</v>
      </c>
      <c r="AO78" s="237">
        <v>108.21</v>
      </c>
      <c r="AP78" s="237">
        <v>110.11</v>
      </c>
      <c r="AQ78" s="237">
        <v>112.02</v>
      </c>
      <c r="AR78" s="237">
        <v>113.92</v>
      </c>
      <c r="AS78" s="237">
        <v>79.69</v>
      </c>
      <c r="AT78" s="237">
        <v>77.78</v>
      </c>
      <c r="AU78" s="237">
        <v>75.88</v>
      </c>
      <c r="AV78" s="237">
        <v>73.98</v>
      </c>
      <c r="AW78" s="237">
        <v>72.08</v>
      </c>
    </row>
    <row r="79" spans="1:49">
      <c r="A79" s="2">
        <v>128.18</v>
      </c>
      <c r="B79" s="59">
        <v>130.91</v>
      </c>
      <c r="C79" s="3">
        <v>133.63999999999999</v>
      </c>
      <c r="D79" s="297">
        <v>147.99</v>
      </c>
      <c r="E79" s="298">
        <v>150.72</v>
      </c>
      <c r="F79" s="298">
        <v>153.44999999999999</v>
      </c>
      <c r="G79" s="298">
        <v>156.18</v>
      </c>
      <c r="H79" s="299">
        <v>158.91</v>
      </c>
      <c r="I79" s="293">
        <v>161.63999999999999</v>
      </c>
      <c r="J79" s="293">
        <v>164.37</v>
      </c>
      <c r="K79" s="293">
        <v>167.1</v>
      </c>
      <c r="L79" s="293">
        <v>169.83</v>
      </c>
      <c r="M79" s="293">
        <v>172.56</v>
      </c>
      <c r="N79" s="293">
        <v>175.29</v>
      </c>
      <c r="O79" s="237">
        <v>166.4</v>
      </c>
      <c r="P79" s="237">
        <v>169.13</v>
      </c>
      <c r="Q79" s="237">
        <v>171.86</v>
      </c>
      <c r="R79" s="237">
        <v>174.59</v>
      </c>
      <c r="S79" s="237">
        <v>125.45</v>
      </c>
      <c r="T79" s="237">
        <v>122.72</v>
      </c>
      <c r="U79" s="237">
        <v>119.99</v>
      </c>
      <c r="V79" s="237">
        <v>117.26</v>
      </c>
      <c r="W79" s="237">
        <v>114.53</v>
      </c>
      <c r="X79" s="51">
        <v>75</v>
      </c>
      <c r="Y79" s="237">
        <v>78.819999999999993</v>
      </c>
      <c r="Z79" s="237">
        <v>80.75</v>
      </c>
      <c r="AA79" s="2">
        <v>82.68</v>
      </c>
      <c r="AB79" s="59">
        <v>84.61</v>
      </c>
      <c r="AC79" s="3">
        <v>86.53</v>
      </c>
      <c r="AD79" s="297">
        <v>96.35</v>
      </c>
      <c r="AE79" s="298">
        <v>98.28</v>
      </c>
      <c r="AF79" s="298">
        <v>100.21</v>
      </c>
      <c r="AG79" s="310">
        <v>102.13</v>
      </c>
      <c r="AH79" s="299">
        <v>104.06</v>
      </c>
      <c r="AI79" s="293">
        <v>105.99</v>
      </c>
      <c r="AJ79" s="293">
        <v>107.92</v>
      </c>
      <c r="AK79" s="293">
        <v>109.84</v>
      </c>
      <c r="AL79" s="293">
        <v>111.77</v>
      </c>
      <c r="AM79" s="293">
        <v>113.7</v>
      </c>
      <c r="AN79" s="293">
        <v>115.63</v>
      </c>
      <c r="AO79" s="237">
        <v>109.66</v>
      </c>
      <c r="AP79" s="237">
        <v>111.59</v>
      </c>
      <c r="AQ79" s="237">
        <v>113.52</v>
      </c>
      <c r="AR79" s="237">
        <v>115.45</v>
      </c>
      <c r="AS79" s="237">
        <v>80.75</v>
      </c>
      <c r="AT79" s="237">
        <v>78.819999999999993</v>
      </c>
      <c r="AU79" s="237">
        <v>76.900000000000006</v>
      </c>
      <c r="AV79" s="237">
        <v>74.97</v>
      </c>
      <c r="AW79" s="237">
        <v>73.040000000000006</v>
      </c>
    </row>
    <row r="80" spans="1:49">
      <c r="A80" s="2">
        <v>129.91</v>
      </c>
      <c r="B80" s="59">
        <v>132.68</v>
      </c>
      <c r="C80" s="3">
        <v>135.44999999999999</v>
      </c>
      <c r="D80" s="297">
        <v>149.99</v>
      </c>
      <c r="E80" s="298">
        <v>152.76</v>
      </c>
      <c r="F80" s="298">
        <v>155.52000000000001</v>
      </c>
      <c r="G80" s="298">
        <v>158.29</v>
      </c>
      <c r="H80" s="299">
        <v>161.06</v>
      </c>
      <c r="I80" s="293">
        <v>163.82</v>
      </c>
      <c r="J80" s="293">
        <v>166.59</v>
      </c>
      <c r="K80" s="293">
        <v>169.36</v>
      </c>
      <c r="L80" s="293">
        <v>172.12</v>
      </c>
      <c r="M80" s="293">
        <v>174.89</v>
      </c>
      <c r="N80" s="293">
        <v>177.66</v>
      </c>
      <c r="O80" s="237">
        <v>168.64</v>
      </c>
      <c r="P80" s="237">
        <v>171.41</v>
      </c>
      <c r="Q80" s="237">
        <v>174.18</v>
      </c>
      <c r="R80" s="237">
        <v>176.94</v>
      </c>
      <c r="S80" s="237">
        <v>127.15</v>
      </c>
      <c r="T80" s="237">
        <v>124.38</v>
      </c>
      <c r="U80" s="237">
        <v>121.61</v>
      </c>
      <c r="V80" s="237">
        <v>118.85</v>
      </c>
      <c r="W80" s="237">
        <v>116.08</v>
      </c>
      <c r="X80" s="51">
        <v>76</v>
      </c>
      <c r="Y80" s="237">
        <v>79.87</v>
      </c>
      <c r="Z80" s="237">
        <v>81.819999999999993</v>
      </c>
      <c r="AA80" s="2">
        <v>83.77</v>
      </c>
      <c r="AB80" s="59">
        <v>85.73</v>
      </c>
      <c r="AC80" s="3">
        <v>87.68</v>
      </c>
      <c r="AD80" s="297">
        <v>97.62</v>
      </c>
      <c r="AE80" s="298">
        <v>99.58</v>
      </c>
      <c r="AF80" s="298">
        <v>101.53</v>
      </c>
      <c r="AG80" s="310">
        <v>103.48</v>
      </c>
      <c r="AH80" s="299">
        <v>105.44</v>
      </c>
      <c r="AI80" s="293">
        <v>107.39</v>
      </c>
      <c r="AJ80" s="293">
        <v>109.34</v>
      </c>
      <c r="AK80" s="293">
        <v>111.3</v>
      </c>
      <c r="AL80" s="293">
        <v>113.25</v>
      </c>
      <c r="AM80" s="293">
        <v>115.2</v>
      </c>
      <c r="AN80" s="293">
        <v>117.16</v>
      </c>
      <c r="AO80" s="237">
        <v>111.12</v>
      </c>
      <c r="AP80" s="237">
        <v>113.07</v>
      </c>
      <c r="AQ80" s="237">
        <v>115.02</v>
      </c>
      <c r="AR80" s="237">
        <v>116.98</v>
      </c>
      <c r="AS80" s="237">
        <v>81.819999999999993</v>
      </c>
      <c r="AT80" s="237">
        <v>79.87</v>
      </c>
      <c r="AU80" s="237">
        <v>77.91</v>
      </c>
      <c r="AV80" s="237">
        <v>75.959999999999994</v>
      </c>
      <c r="AW80" s="237">
        <v>74.010000000000005</v>
      </c>
    </row>
    <row r="81" spans="1:49">
      <c r="A81" s="2">
        <v>131.59</v>
      </c>
      <c r="B81" s="59">
        <v>134.38999999999999</v>
      </c>
      <c r="C81" s="3">
        <v>137.19999999999999</v>
      </c>
      <c r="D81" s="297">
        <v>151.93</v>
      </c>
      <c r="E81" s="298">
        <v>154.72999999999999</v>
      </c>
      <c r="F81" s="298">
        <v>157.53</v>
      </c>
      <c r="G81" s="298">
        <v>160.33000000000001</v>
      </c>
      <c r="H81" s="299">
        <v>163.13999999999999</v>
      </c>
      <c r="I81" s="293">
        <v>165.94</v>
      </c>
      <c r="J81" s="293">
        <v>168.74</v>
      </c>
      <c r="K81" s="293">
        <v>171.54</v>
      </c>
      <c r="L81" s="293">
        <v>174.35</v>
      </c>
      <c r="M81" s="293">
        <v>177.15</v>
      </c>
      <c r="N81" s="293">
        <v>179.95</v>
      </c>
      <c r="O81" s="237">
        <v>170.83</v>
      </c>
      <c r="P81" s="237">
        <v>173.63</v>
      </c>
      <c r="Q81" s="237">
        <v>176.44</v>
      </c>
      <c r="R81" s="237">
        <v>179.24</v>
      </c>
      <c r="S81" s="237">
        <v>128.79</v>
      </c>
      <c r="T81" s="237">
        <v>125.99</v>
      </c>
      <c r="U81" s="237">
        <v>123.18</v>
      </c>
      <c r="V81" s="237">
        <v>120.38</v>
      </c>
      <c r="W81" s="237">
        <v>117.58</v>
      </c>
      <c r="X81" s="51">
        <v>77</v>
      </c>
      <c r="Y81" s="237">
        <v>80.91</v>
      </c>
      <c r="Z81" s="237">
        <v>82.89</v>
      </c>
      <c r="AA81" s="2">
        <v>84.87</v>
      </c>
      <c r="AB81" s="59">
        <v>86.85</v>
      </c>
      <c r="AC81" s="3">
        <v>88.83</v>
      </c>
      <c r="AD81" s="297">
        <v>98.9</v>
      </c>
      <c r="AE81" s="298">
        <v>100.88</v>
      </c>
      <c r="AF81" s="298">
        <v>102.86</v>
      </c>
      <c r="AG81" s="310">
        <v>104.84</v>
      </c>
      <c r="AH81" s="299">
        <v>106.81</v>
      </c>
      <c r="AI81" s="293">
        <v>108.79</v>
      </c>
      <c r="AJ81" s="293">
        <v>110.77</v>
      </c>
      <c r="AK81" s="293">
        <v>112.75</v>
      </c>
      <c r="AL81" s="293">
        <v>114.73</v>
      </c>
      <c r="AM81" s="293">
        <v>116.71</v>
      </c>
      <c r="AN81" s="293">
        <v>118.69</v>
      </c>
      <c r="AO81" s="237">
        <v>112.57</v>
      </c>
      <c r="AP81" s="237">
        <v>114.55</v>
      </c>
      <c r="AQ81" s="237">
        <v>116.53</v>
      </c>
      <c r="AR81" s="237">
        <v>118.51</v>
      </c>
      <c r="AS81" s="237">
        <v>82.89</v>
      </c>
      <c r="AT81" s="237">
        <v>80.91</v>
      </c>
      <c r="AU81" s="237">
        <v>78.930000000000007</v>
      </c>
      <c r="AV81" s="237">
        <v>76.95</v>
      </c>
      <c r="AW81" s="237">
        <v>74.97</v>
      </c>
    </row>
    <row r="82" spans="1:49">
      <c r="A82" s="2">
        <v>133.28</v>
      </c>
      <c r="B82" s="59">
        <v>136.11000000000001</v>
      </c>
      <c r="C82" s="3">
        <v>138.94999999999999</v>
      </c>
      <c r="D82" s="297">
        <v>153.87</v>
      </c>
      <c r="E82" s="298">
        <v>156.71</v>
      </c>
      <c r="F82" s="298">
        <v>159.54</v>
      </c>
      <c r="G82" s="298">
        <v>162.38</v>
      </c>
      <c r="H82" s="299">
        <v>165.22</v>
      </c>
      <c r="I82" s="293">
        <v>168.06</v>
      </c>
      <c r="J82" s="293">
        <v>170.9</v>
      </c>
      <c r="K82" s="293">
        <v>173.74</v>
      </c>
      <c r="L82" s="293">
        <v>176.58</v>
      </c>
      <c r="M82" s="293">
        <v>179.42</v>
      </c>
      <c r="N82" s="293">
        <v>182.26</v>
      </c>
      <c r="O82" s="237">
        <v>173.02</v>
      </c>
      <c r="P82" s="237">
        <v>175.86</v>
      </c>
      <c r="Q82" s="237">
        <v>178.7</v>
      </c>
      <c r="R82" s="237">
        <v>181.54</v>
      </c>
      <c r="S82" s="237">
        <v>130.44</v>
      </c>
      <c r="T82" s="237">
        <v>127.6</v>
      </c>
      <c r="U82" s="237">
        <v>124.76</v>
      </c>
      <c r="V82" s="237">
        <v>121.92</v>
      </c>
      <c r="W82" s="237">
        <v>119.08</v>
      </c>
      <c r="X82" s="51">
        <v>78</v>
      </c>
      <c r="Y82" s="237">
        <v>81.96</v>
      </c>
      <c r="Z82" s="237">
        <v>83.96</v>
      </c>
      <c r="AA82" s="2">
        <v>85.97</v>
      </c>
      <c r="AB82" s="59">
        <v>87.97</v>
      </c>
      <c r="AC82" s="3">
        <v>89.98</v>
      </c>
      <c r="AD82" s="297">
        <v>100.18</v>
      </c>
      <c r="AE82" s="298">
        <v>102.18</v>
      </c>
      <c r="AF82" s="298">
        <v>104.19</v>
      </c>
      <c r="AG82" s="310">
        <v>106.19</v>
      </c>
      <c r="AH82" s="299">
        <v>108.19</v>
      </c>
      <c r="AI82" s="293">
        <v>110.2</v>
      </c>
      <c r="AJ82" s="293">
        <v>112.2</v>
      </c>
      <c r="AK82" s="293">
        <v>114.21</v>
      </c>
      <c r="AL82" s="293">
        <v>116.21</v>
      </c>
      <c r="AM82" s="293">
        <v>118.22</v>
      </c>
      <c r="AN82" s="293">
        <v>120.22</v>
      </c>
      <c r="AO82" s="237">
        <v>114.03</v>
      </c>
      <c r="AP82" s="237">
        <v>116.04</v>
      </c>
      <c r="AQ82" s="237">
        <v>118.04</v>
      </c>
      <c r="AR82" s="237">
        <v>120.04</v>
      </c>
      <c r="AS82" s="237">
        <v>83.96</v>
      </c>
      <c r="AT82" s="237">
        <v>81.96</v>
      </c>
      <c r="AU82" s="237">
        <v>79.95</v>
      </c>
      <c r="AV82" s="237">
        <v>77.95</v>
      </c>
      <c r="AW82" s="237">
        <v>75.94</v>
      </c>
    </row>
    <row r="83" spans="1:49">
      <c r="A83" s="2">
        <v>135.03</v>
      </c>
      <c r="B83" s="59">
        <v>137.9</v>
      </c>
      <c r="C83" s="3">
        <v>140.78</v>
      </c>
      <c r="D83" s="297">
        <v>155.88999999999999</v>
      </c>
      <c r="E83" s="298">
        <v>158.77000000000001</v>
      </c>
      <c r="F83" s="298">
        <v>161.65</v>
      </c>
      <c r="G83" s="298">
        <v>164.52</v>
      </c>
      <c r="H83" s="299">
        <v>167.4</v>
      </c>
      <c r="I83" s="293">
        <v>170.27</v>
      </c>
      <c r="J83" s="293">
        <v>173.15</v>
      </c>
      <c r="K83" s="293">
        <v>176.02</v>
      </c>
      <c r="L83" s="293">
        <v>178.9</v>
      </c>
      <c r="M83" s="293">
        <v>181.78</v>
      </c>
      <c r="N83" s="293">
        <v>184.65</v>
      </c>
      <c r="O83" s="237">
        <v>175.29</v>
      </c>
      <c r="P83" s="237">
        <v>178.16</v>
      </c>
      <c r="Q83" s="237">
        <v>181.04</v>
      </c>
      <c r="R83" s="237">
        <v>183.91</v>
      </c>
      <c r="S83" s="237">
        <v>132.15</v>
      </c>
      <c r="T83" s="237">
        <v>129.28</v>
      </c>
      <c r="U83" s="237">
        <v>126.4</v>
      </c>
      <c r="V83" s="237">
        <v>123.53</v>
      </c>
      <c r="W83" s="237">
        <v>120.65</v>
      </c>
      <c r="X83" s="51">
        <v>79</v>
      </c>
      <c r="Y83" s="237">
        <v>83</v>
      </c>
      <c r="Z83" s="237">
        <v>85.04</v>
      </c>
      <c r="AA83" s="2">
        <v>87.07</v>
      </c>
      <c r="AB83" s="59">
        <v>89.1</v>
      </c>
      <c r="AC83" s="3">
        <v>91.13</v>
      </c>
      <c r="AD83" s="297">
        <v>101.46</v>
      </c>
      <c r="AE83" s="298">
        <v>103.49</v>
      </c>
      <c r="AF83" s="298">
        <v>105.52</v>
      </c>
      <c r="AG83" s="310">
        <v>107.55</v>
      </c>
      <c r="AH83" s="299">
        <v>109.58</v>
      </c>
      <c r="AI83" s="293">
        <v>111.61</v>
      </c>
      <c r="AJ83" s="293">
        <v>113.64</v>
      </c>
      <c r="AK83" s="293">
        <v>115.67</v>
      </c>
      <c r="AL83" s="293">
        <v>117.7</v>
      </c>
      <c r="AM83" s="293">
        <v>119.73</v>
      </c>
      <c r="AN83" s="293">
        <v>121.76</v>
      </c>
      <c r="AO83" s="237">
        <v>115.49</v>
      </c>
      <c r="AP83" s="237">
        <v>117.52</v>
      </c>
      <c r="AQ83" s="237">
        <v>119.55</v>
      </c>
      <c r="AR83" s="237">
        <v>121.58</v>
      </c>
      <c r="AS83" s="237">
        <v>85.04</v>
      </c>
      <c r="AT83" s="237">
        <v>83</v>
      </c>
      <c r="AU83" s="237">
        <v>80.97</v>
      </c>
      <c r="AV83" s="237">
        <v>78.94</v>
      </c>
      <c r="AW83" s="237">
        <v>76.91</v>
      </c>
    </row>
    <row r="84" spans="1:49">
      <c r="A84" s="2">
        <v>136.72</v>
      </c>
      <c r="B84" s="59">
        <v>139.63999999999999</v>
      </c>
      <c r="C84" s="3">
        <v>142.55000000000001</v>
      </c>
      <c r="D84" s="297">
        <v>157.85</v>
      </c>
      <c r="E84" s="298">
        <v>160.76</v>
      </c>
      <c r="F84" s="298">
        <v>163.68</v>
      </c>
      <c r="G84" s="298">
        <v>166.59</v>
      </c>
      <c r="H84" s="299">
        <v>169.5</v>
      </c>
      <c r="I84" s="293">
        <v>172.41</v>
      </c>
      <c r="J84" s="293">
        <v>175.32</v>
      </c>
      <c r="K84" s="293">
        <v>178.24</v>
      </c>
      <c r="L84" s="293">
        <v>181.15</v>
      </c>
      <c r="M84" s="293">
        <v>184.06</v>
      </c>
      <c r="N84" s="293">
        <v>186.97</v>
      </c>
      <c r="O84" s="237">
        <v>177.49</v>
      </c>
      <c r="P84" s="237">
        <v>180.4</v>
      </c>
      <c r="Q84" s="237">
        <v>183.32</v>
      </c>
      <c r="R84" s="237">
        <v>186.23</v>
      </c>
      <c r="S84" s="237">
        <v>133.81</v>
      </c>
      <c r="T84" s="237">
        <v>130.9</v>
      </c>
      <c r="U84" s="237">
        <v>127.99</v>
      </c>
      <c r="V84" s="237">
        <v>125.08</v>
      </c>
      <c r="W84" s="237">
        <v>122.16</v>
      </c>
      <c r="X84" s="51">
        <v>80</v>
      </c>
      <c r="Y84" s="237">
        <v>84.05</v>
      </c>
      <c r="Z84" s="237">
        <v>86.11</v>
      </c>
      <c r="AA84" s="2">
        <v>88.17</v>
      </c>
      <c r="AB84" s="59">
        <v>90.22</v>
      </c>
      <c r="AC84" s="3">
        <v>92.28</v>
      </c>
      <c r="AD84" s="297">
        <v>102.74</v>
      </c>
      <c r="AE84" s="298">
        <v>104.8</v>
      </c>
      <c r="AF84" s="298">
        <v>106.85</v>
      </c>
      <c r="AG84" s="310">
        <v>108.91</v>
      </c>
      <c r="AH84" s="299">
        <v>110.96</v>
      </c>
      <c r="AI84" s="293">
        <v>113.02</v>
      </c>
      <c r="AJ84" s="293">
        <v>115.08</v>
      </c>
      <c r="AK84" s="293">
        <v>117.13</v>
      </c>
      <c r="AL84" s="293">
        <v>119.19</v>
      </c>
      <c r="AM84" s="293">
        <v>121.24</v>
      </c>
      <c r="AN84" s="293">
        <v>123.3</v>
      </c>
      <c r="AO84" s="237">
        <v>116.95</v>
      </c>
      <c r="AP84" s="237">
        <v>119.01</v>
      </c>
      <c r="AQ84" s="237">
        <v>121.06</v>
      </c>
      <c r="AR84" s="237">
        <v>123.12</v>
      </c>
      <c r="AS84" s="237">
        <v>86.11</v>
      </c>
      <c r="AT84" s="237">
        <v>84.05</v>
      </c>
      <c r="AU84" s="237">
        <v>82</v>
      </c>
      <c r="AV84" s="237">
        <v>79.94</v>
      </c>
      <c r="AW84" s="237">
        <v>77.89</v>
      </c>
    </row>
    <row r="85" spans="1:49">
      <c r="A85" s="2">
        <v>138.43</v>
      </c>
      <c r="B85" s="59">
        <v>141.38</v>
      </c>
      <c r="C85" s="3">
        <v>144.32</v>
      </c>
      <c r="D85" s="297">
        <v>159.82</v>
      </c>
      <c r="E85" s="298">
        <v>162.77000000000001</v>
      </c>
      <c r="F85" s="298">
        <v>165.72</v>
      </c>
      <c r="G85" s="298">
        <v>168.66</v>
      </c>
      <c r="H85" s="299">
        <v>171.61</v>
      </c>
      <c r="I85" s="293">
        <v>174.56</v>
      </c>
      <c r="J85" s="293">
        <v>177.51</v>
      </c>
      <c r="K85" s="293">
        <v>180.46</v>
      </c>
      <c r="L85" s="293">
        <v>183.41</v>
      </c>
      <c r="M85" s="293">
        <v>186.35</v>
      </c>
      <c r="N85" s="293">
        <v>189.3</v>
      </c>
      <c r="O85" s="237">
        <v>179.71</v>
      </c>
      <c r="P85" s="237">
        <v>182.65</v>
      </c>
      <c r="Q85" s="237">
        <v>185.6</v>
      </c>
      <c r="R85" s="237">
        <v>188.55</v>
      </c>
      <c r="S85" s="237">
        <v>135.47999999999999</v>
      </c>
      <c r="T85" s="237">
        <v>132.53</v>
      </c>
      <c r="U85" s="237">
        <v>129.58000000000001</v>
      </c>
      <c r="V85" s="237">
        <v>126.63</v>
      </c>
      <c r="W85" s="237">
        <v>123.69</v>
      </c>
      <c r="X85" s="51">
        <v>81</v>
      </c>
      <c r="Y85" s="237">
        <v>85.11</v>
      </c>
      <c r="Z85" s="237">
        <v>87.19</v>
      </c>
      <c r="AA85" s="2">
        <v>89.27</v>
      </c>
      <c r="AB85" s="59">
        <v>91.35</v>
      </c>
      <c r="AC85" s="3">
        <v>93.43</v>
      </c>
      <c r="AD85" s="297">
        <v>104.02</v>
      </c>
      <c r="AE85" s="298">
        <v>106.11</v>
      </c>
      <c r="AF85" s="298">
        <v>108.19</v>
      </c>
      <c r="AG85" s="310">
        <v>110.27</v>
      </c>
      <c r="AH85" s="299">
        <v>112.35</v>
      </c>
      <c r="AI85" s="293">
        <v>114.43</v>
      </c>
      <c r="AJ85" s="293">
        <v>116.51</v>
      </c>
      <c r="AK85" s="293">
        <v>118.6</v>
      </c>
      <c r="AL85" s="293">
        <v>120.68</v>
      </c>
      <c r="AM85" s="293" t="s">
        <v>335</v>
      </c>
      <c r="AN85" s="293">
        <v>124.84</v>
      </c>
      <c r="AO85" s="237">
        <v>118.41</v>
      </c>
      <c r="AP85" s="237">
        <v>120.49</v>
      </c>
      <c r="AQ85" s="237">
        <v>122.58</v>
      </c>
      <c r="AR85" s="237">
        <v>124.66</v>
      </c>
      <c r="AS85" s="237">
        <v>87.19</v>
      </c>
      <c r="AT85" s="237">
        <v>85.11</v>
      </c>
      <c r="AU85" s="237">
        <v>83.02</v>
      </c>
      <c r="AV85" s="237">
        <v>80.94</v>
      </c>
      <c r="AW85" s="237">
        <v>78.86</v>
      </c>
    </row>
    <row r="86" spans="1:49">
      <c r="A86" s="2">
        <v>140.07</v>
      </c>
      <c r="B86" s="59">
        <v>143.06</v>
      </c>
      <c r="C86" s="3">
        <v>146.04</v>
      </c>
      <c r="D86" s="297">
        <v>161.71</v>
      </c>
      <c r="E86" s="298">
        <v>164.69</v>
      </c>
      <c r="F86" s="298">
        <v>167.68</v>
      </c>
      <c r="G86" s="298">
        <v>170.66</v>
      </c>
      <c r="H86" s="299">
        <v>173.65</v>
      </c>
      <c r="I86" s="293">
        <v>176.63</v>
      </c>
      <c r="J86" s="293">
        <v>179.61</v>
      </c>
      <c r="K86" s="293">
        <v>182.6</v>
      </c>
      <c r="L86" s="293">
        <v>185.58</v>
      </c>
      <c r="M86" s="293">
        <v>188.57</v>
      </c>
      <c r="N86" s="293">
        <v>191.55</v>
      </c>
      <c r="O86" s="237">
        <v>181.86</v>
      </c>
      <c r="P86" s="237">
        <v>184.84</v>
      </c>
      <c r="Q86" s="237">
        <v>187.83</v>
      </c>
      <c r="R86" s="237">
        <v>190.81</v>
      </c>
      <c r="S86" s="237">
        <v>137.09</v>
      </c>
      <c r="T86" s="237">
        <v>134.1</v>
      </c>
      <c r="U86" s="237">
        <v>131.12</v>
      </c>
      <c r="V86" s="237">
        <v>128.13</v>
      </c>
      <c r="W86" s="237">
        <v>125.15</v>
      </c>
      <c r="X86" s="51">
        <v>82</v>
      </c>
      <c r="Y86" s="237">
        <v>86.14</v>
      </c>
      <c r="Z86" s="237">
        <v>88.25</v>
      </c>
      <c r="AA86" s="2">
        <v>90.35</v>
      </c>
      <c r="AB86" s="59">
        <v>92.46</v>
      </c>
      <c r="AC86" s="3">
        <v>94.57</v>
      </c>
      <c r="AD86" s="297">
        <v>105.28</v>
      </c>
      <c r="AE86" s="298">
        <v>107.39</v>
      </c>
      <c r="AF86" s="298">
        <v>109.5</v>
      </c>
      <c r="AG86" s="310">
        <v>111.61</v>
      </c>
      <c r="AH86" s="299">
        <v>113.71</v>
      </c>
      <c r="AI86" s="293">
        <v>115.82</v>
      </c>
      <c r="AJ86" s="293">
        <v>117.93</v>
      </c>
      <c r="AK86" s="293">
        <v>120.04</v>
      </c>
      <c r="AL86" s="293">
        <v>122.14</v>
      </c>
      <c r="AM86" s="293">
        <v>124.25</v>
      </c>
      <c r="AN86" s="293">
        <v>126.36</v>
      </c>
      <c r="AO86" s="237">
        <v>119.86</v>
      </c>
      <c r="AP86" s="237">
        <v>121.97</v>
      </c>
      <c r="AQ86" s="237">
        <v>124.07</v>
      </c>
      <c r="AR86" s="237">
        <v>126.18</v>
      </c>
      <c r="AS86" s="237">
        <v>88.25</v>
      </c>
      <c r="AT86" s="237">
        <v>86.14</v>
      </c>
      <c r="AU86" s="237">
        <v>84.03</v>
      </c>
      <c r="AV86" s="237">
        <v>81.92</v>
      </c>
      <c r="AW86" s="237">
        <v>79.819999999999993</v>
      </c>
    </row>
    <row r="87" spans="1:49">
      <c r="A87" s="2">
        <v>141.79</v>
      </c>
      <c r="B87" s="59">
        <v>144.81</v>
      </c>
      <c r="C87" s="3">
        <v>147.83000000000001</v>
      </c>
      <c r="D87" s="297">
        <v>163.69</v>
      </c>
      <c r="E87" s="298">
        <v>166.71</v>
      </c>
      <c r="F87" s="298">
        <v>169.73</v>
      </c>
      <c r="G87" s="298">
        <v>172.75</v>
      </c>
      <c r="H87" s="299">
        <v>175.77</v>
      </c>
      <c r="I87" s="293">
        <v>178.79</v>
      </c>
      <c r="J87" s="293">
        <v>181.81</v>
      </c>
      <c r="K87" s="293">
        <v>184.83</v>
      </c>
      <c r="L87" s="293">
        <v>187.86</v>
      </c>
      <c r="M87" s="293">
        <v>190.88</v>
      </c>
      <c r="N87" s="293">
        <v>193.9</v>
      </c>
      <c r="O87" s="237">
        <v>184.08</v>
      </c>
      <c r="P87" s="237">
        <v>187.1</v>
      </c>
      <c r="Q87" s="237">
        <v>190.12</v>
      </c>
      <c r="R87" s="237">
        <v>193.15</v>
      </c>
      <c r="S87" s="237">
        <v>138.76</v>
      </c>
      <c r="T87" s="237">
        <v>135.74</v>
      </c>
      <c r="U87" s="237">
        <v>132.72</v>
      </c>
      <c r="V87" s="237">
        <v>129.69999999999999</v>
      </c>
      <c r="W87" s="237">
        <v>126.68</v>
      </c>
      <c r="X87" s="51">
        <v>83</v>
      </c>
      <c r="Y87" s="237">
        <v>87.19</v>
      </c>
      <c r="Z87" s="237">
        <v>89.33</v>
      </c>
      <c r="AA87" s="2">
        <v>91.46</v>
      </c>
      <c r="AB87" s="59">
        <v>93.59</v>
      </c>
      <c r="AC87" s="3">
        <v>95.73</v>
      </c>
      <c r="AD87" s="297">
        <v>106.57</v>
      </c>
      <c r="AE87" s="298">
        <v>108.71</v>
      </c>
      <c r="AF87" s="298">
        <v>110.84</v>
      </c>
      <c r="AG87" s="310">
        <v>112.97</v>
      </c>
      <c r="AH87" s="299">
        <v>115.11</v>
      </c>
      <c r="AI87" s="293">
        <v>117.24</v>
      </c>
      <c r="AJ87" s="293">
        <v>119.37</v>
      </c>
      <c r="AK87" s="293">
        <v>121.51</v>
      </c>
      <c r="AL87" s="293">
        <v>123.64</v>
      </c>
      <c r="AM87" s="293">
        <v>125.77</v>
      </c>
      <c r="AN87" s="293">
        <v>127.91</v>
      </c>
      <c r="AO87" s="237">
        <v>121.32</v>
      </c>
      <c r="AP87" s="237">
        <v>123.46</v>
      </c>
      <c r="AQ87" s="237">
        <v>125.59</v>
      </c>
      <c r="AR87" s="237">
        <v>127.72</v>
      </c>
      <c r="AS87" s="237">
        <v>89.33</v>
      </c>
      <c r="AT87" s="237">
        <v>87.19</v>
      </c>
      <c r="AU87" s="237">
        <v>85.06</v>
      </c>
      <c r="AV87" s="237">
        <v>82.93</v>
      </c>
      <c r="AW87" s="237">
        <v>80.8</v>
      </c>
    </row>
    <row r="88" spans="1:49">
      <c r="A88" s="2">
        <v>143.51</v>
      </c>
      <c r="B88" s="59">
        <v>146.56</v>
      </c>
      <c r="C88" s="3">
        <v>149.62</v>
      </c>
      <c r="D88" s="297">
        <v>165.68</v>
      </c>
      <c r="E88" s="298">
        <v>168.73</v>
      </c>
      <c r="F88" s="298">
        <v>171.79</v>
      </c>
      <c r="G88" s="298">
        <v>174.85</v>
      </c>
      <c r="H88" s="299">
        <v>177.91</v>
      </c>
      <c r="I88" s="293">
        <v>180.96</v>
      </c>
      <c r="J88" s="293">
        <v>184.02</v>
      </c>
      <c r="K88" s="293">
        <v>187.08</v>
      </c>
      <c r="L88" s="293">
        <v>190.14</v>
      </c>
      <c r="M88" s="293">
        <v>193.19</v>
      </c>
      <c r="N88" s="293">
        <v>196.25</v>
      </c>
      <c r="O88" s="237">
        <v>186.31</v>
      </c>
      <c r="P88" s="237">
        <v>189.37</v>
      </c>
      <c r="Q88" s="237">
        <v>192.43</v>
      </c>
      <c r="R88" s="237">
        <v>195.49</v>
      </c>
      <c r="S88" s="237">
        <v>140.44999999999999</v>
      </c>
      <c r="T88" s="237">
        <v>137.38999999999999</v>
      </c>
      <c r="U88" s="237">
        <v>134.33000000000001</v>
      </c>
      <c r="V88" s="237">
        <v>131.28</v>
      </c>
      <c r="W88" s="237">
        <v>128.22</v>
      </c>
      <c r="X88" s="51">
        <v>84</v>
      </c>
      <c r="Y88" s="237">
        <v>88.23</v>
      </c>
      <c r="Z88" s="237">
        <v>90.39</v>
      </c>
      <c r="AA88" s="2">
        <v>92.55</v>
      </c>
      <c r="AB88" s="59">
        <v>94.71</v>
      </c>
      <c r="AC88" s="3">
        <v>96.87</v>
      </c>
      <c r="AD88" s="297">
        <v>107.84</v>
      </c>
      <c r="AE88" s="298">
        <v>110</v>
      </c>
      <c r="AF88" s="298">
        <v>112.16</v>
      </c>
      <c r="AG88" s="310">
        <v>114.32</v>
      </c>
      <c r="AH88" s="299">
        <v>116.47</v>
      </c>
      <c r="AI88" s="293">
        <v>118.63</v>
      </c>
      <c r="AJ88" s="293">
        <v>120.79</v>
      </c>
      <c r="AK88" s="293">
        <v>122.95</v>
      </c>
      <c r="AL88" s="293">
        <v>125.11</v>
      </c>
      <c r="AM88" s="293">
        <v>127.27</v>
      </c>
      <c r="AN88" s="293">
        <v>129.43</v>
      </c>
      <c r="AO88" s="237">
        <v>122.77</v>
      </c>
      <c r="AP88" s="237">
        <v>124.93</v>
      </c>
      <c r="AQ88" s="237">
        <v>127.09</v>
      </c>
      <c r="AR88" s="237">
        <v>129.25</v>
      </c>
      <c r="AS88" s="237">
        <v>90.39</v>
      </c>
      <c r="AT88" s="237">
        <v>88.23</v>
      </c>
      <c r="AU88" s="237">
        <v>86.07</v>
      </c>
      <c r="AV88" s="237">
        <v>83.91</v>
      </c>
      <c r="AW88" s="237">
        <v>81.75</v>
      </c>
    </row>
    <row r="89" spans="1:49">
      <c r="A89" s="2">
        <v>145.24</v>
      </c>
      <c r="B89" s="59">
        <v>148.33000000000001</v>
      </c>
      <c r="C89" s="3">
        <v>151.41999999999999</v>
      </c>
      <c r="D89" s="297">
        <v>167.67</v>
      </c>
      <c r="E89" s="298">
        <v>170.77</v>
      </c>
      <c r="F89" s="298">
        <v>173.86</v>
      </c>
      <c r="G89" s="298">
        <v>176.96</v>
      </c>
      <c r="H89" s="299">
        <v>180.05</v>
      </c>
      <c r="I89" s="293">
        <v>183.14</v>
      </c>
      <c r="J89" s="293">
        <v>186.24</v>
      </c>
      <c r="K89" s="293">
        <v>189.33</v>
      </c>
      <c r="L89" s="293">
        <v>192.43</v>
      </c>
      <c r="M89" s="293">
        <v>195.52</v>
      </c>
      <c r="N89" s="293">
        <v>198.61</v>
      </c>
      <c r="O89" s="237">
        <v>188.55</v>
      </c>
      <c r="P89" s="237">
        <v>191.65</v>
      </c>
      <c r="Q89" s="237">
        <v>194.74</v>
      </c>
      <c r="R89" s="237">
        <v>197.83</v>
      </c>
      <c r="S89" s="237">
        <v>142.13999999999999</v>
      </c>
      <c r="T89" s="237">
        <v>139.05000000000001</v>
      </c>
      <c r="U89" s="237">
        <v>135.94999999999999</v>
      </c>
      <c r="V89" s="237">
        <v>132.86000000000001</v>
      </c>
      <c r="W89" s="237">
        <v>129.77000000000001</v>
      </c>
      <c r="X89" s="51">
        <v>85</v>
      </c>
      <c r="Y89" s="237">
        <v>89.29</v>
      </c>
      <c r="Z89" s="237">
        <v>91.47</v>
      </c>
      <c r="AA89" s="2">
        <v>93.66</v>
      </c>
      <c r="AB89" s="59">
        <v>95.84</v>
      </c>
      <c r="AC89" s="3">
        <v>98.03</v>
      </c>
      <c r="AD89" s="297">
        <v>109.13</v>
      </c>
      <c r="AE89" s="298">
        <v>111.32</v>
      </c>
      <c r="AF89" s="298">
        <v>113.5</v>
      </c>
      <c r="AG89" s="310">
        <v>115.69</v>
      </c>
      <c r="AH89" s="299">
        <v>117.87</v>
      </c>
      <c r="AI89" s="293">
        <v>120.06</v>
      </c>
      <c r="AJ89" s="293">
        <v>122.24</v>
      </c>
      <c r="AK89" s="293">
        <v>124.43</v>
      </c>
      <c r="AL89" s="293">
        <v>126.61</v>
      </c>
      <c r="AM89" s="293">
        <v>128.79</v>
      </c>
      <c r="AN89" s="293">
        <v>130.97999999999999</v>
      </c>
      <c r="AO89" s="237">
        <v>124.24</v>
      </c>
      <c r="AP89" s="237">
        <v>126.43</v>
      </c>
      <c r="AQ89" s="237">
        <v>128.61000000000001</v>
      </c>
      <c r="AR89" s="237">
        <v>130.79</v>
      </c>
      <c r="AS89" s="237">
        <v>91.47</v>
      </c>
      <c r="AT89" s="237">
        <v>89.29</v>
      </c>
      <c r="AU89" s="237">
        <v>87.1</v>
      </c>
      <c r="AV89" s="237">
        <v>84.92</v>
      </c>
      <c r="AW89" s="237">
        <v>82.74</v>
      </c>
    </row>
    <row r="90" spans="1:49">
      <c r="A90" s="2">
        <v>146.9</v>
      </c>
      <c r="B90" s="59">
        <v>150.03</v>
      </c>
      <c r="C90" s="3">
        <v>153.16</v>
      </c>
      <c r="D90" s="297">
        <v>169.59</v>
      </c>
      <c r="E90" s="298">
        <v>172.72</v>
      </c>
      <c r="F90" s="298">
        <v>175.85</v>
      </c>
      <c r="G90" s="298">
        <v>178.98</v>
      </c>
      <c r="H90" s="299">
        <v>182.11</v>
      </c>
      <c r="I90" s="293">
        <v>185.24</v>
      </c>
      <c r="J90" s="293">
        <v>188.37</v>
      </c>
      <c r="K90" s="293">
        <v>191.5</v>
      </c>
      <c r="L90" s="293">
        <v>194.63</v>
      </c>
      <c r="M90" s="293">
        <v>197.76</v>
      </c>
      <c r="N90" s="293">
        <v>200.89</v>
      </c>
      <c r="O90" s="237">
        <v>190.72</v>
      </c>
      <c r="P90" s="237">
        <v>193.85</v>
      </c>
      <c r="Q90" s="237">
        <v>196.98</v>
      </c>
      <c r="R90" s="237">
        <v>200.11</v>
      </c>
      <c r="S90" s="237">
        <v>143.77000000000001</v>
      </c>
      <c r="T90" s="237">
        <v>140.63999999999999</v>
      </c>
      <c r="U90" s="237">
        <v>137.51</v>
      </c>
      <c r="V90" s="237">
        <v>134.38</v>
      </c>
      <c r="W90" s="237">
        <v>131.25</v>
      </c>
      <c r="X90" s="51">
        <v>86</v>
      </c>
      <c r="Y90" s="237">
        <v>90.33</v>
      </c>
      <c r="Z90" s="237">
        <v>92.54</v>
      </c>
      <c r="AA90" s="2">
        <v>94.75</v>
      </c>
      <c r="AB90" s="59">
        <v>96.96</v>
      </c>
      <c r="AC90" s="3">
        <v>99.17</v>
      </c>
      <c r="AD90" s="297">
        <v>110.4</v>
      </c>
      <c r="AE90" s="298">
        <v>112.61</v>
      </c>
      <c r="AF90" s="298">
        <v>114.82</v>
      </c>
      <c r="AG90" s="310">
        <v>117.03</v>
      </c>
      <c r="AH90" s="299">
        <v>119.24</v>
      </c>
      <c r="AI90" s="293">
        <v>121.45</v>
      </c>
      <c r="AJ90" s="293">
        <v>123.66</v>
      </c>
      <c r="AK90" s="293">
        <v>125.87</v>
      </c>
      <c r="AL90" s="293">
        <v>128.08000000000001</v>
      </c>
      <c r="AM90" s="293">
        <v>130.29</v>
      </c>
      <c r="AN90" s="293">
        <v>132.5</v>
      </c>
      <c r="AO90" s="237">
        <v>125.69</v>
      </c>
      <c r="AP90" s="237">
        <v>127.9</v>
      </c>
      <c r="AQ90" s="237">
        <v>130.11000000000001</v>
      </c>
      <c r="AR90" s="237">
        <v>132.32</v>
      </c>
      <c r="AS90" s="237">
        <v>92.54</v>
      </c>
      <c r="AT90" s="237">
        <v>90.33</v>
      </c>
      <c r="AU90" s="237">
        <v>88.12</v>
      </c>
      <c r="AV90" s="237">
        <v>85.91</v>
      </c>
      <c r="AW90" s="237">
        <v>83.7</v>
      </c>
    </row>
    <row r="91" spans="1:49">
      <c r="A91" s="2">
        <v>148.56</v>
      </c>
      <c r="B91" s="59">
        <v>151.72999999999999</v>
      </c>
      <c r="C91" s="3">
        <v>154.9</v>
      </c>
      <c r="D91" s="297">
        <v>171.51</v>
      </c>
      <c r="E91" s="298">
        <v>174.67</v>
      </c>
      <c r="F91" s="298">
        <v>177.84</v>
      </c>
      <c r="G91" s="298">
        <v>181.01</v>
      </c>
      <c r="H91" s="299">
        <v>184.17</v>
      </c>
      <c r="I91" s="293">
        <v>187.34</v>
      </c>
      <c r="J91" s="293">
        <v>190.51</v>
      </c>
      <c r="K91" s="293">
        <v>193.67</v>
      </c>
      <c r="L91" s="293">
        <v>196.84</v>
      </c>
      <c r="M91" s="293">
        <v>200.01</v>
      </c>
      <c r="N91" s="293">
        <v>203.17</v>
      </c>
      <c r="O91" s="237">
        <v>192.9</v>
      </c>
      <c r="P91" s="237">
        <v>196.07</v>
      </c>
      <c r="Q91" s="237">
        <v>199.23</v>
      </c>
      <c r="R91" s="237">
        <v>202.4</v>
      </c>
      <c r="S91" s="237">
        <v>145.4</v>
      </c>
      <c r="T91" s="237">
        <v>142.22999999999999</v>
      </c>
      <c r="U91" s="237">
        <v>139.06</v>
      </c>
      <c r="V91" s="237">
        <v>135.9</v>
      </c>
      <c r="W91" s="237">
        <v>132.72999999999999</v>
      </c>
      <c r="X91" s="51">
        <v>87</v>
      </c>
      <c r="Y91" s="237">
        <v>91.37</v>
      </c>
      <c r="Z91" s="237">
        <v>93.6</v>
      </c>
      <c r="AA91" s="2">
        <v>95.84</v>
      </c>
      <c r="AB91" s="59">
        <v>98.08</v>
      </c>
      <c r="AC91" s="3">
        <v>100.31</v>
      </c>
      <c r="AD91" s="297">
        <v>111.67</v>
      </c>
      <c r="AE91" s="298">
        <v>113.91</v>
      </c>
      <c r="AF91" s="298">
        <v>116.14</v>
      </c>
      <c r="AG91" s="310">
        <v>118.38</v>
      </c>
      <c r="AH91" s="299">
        <v>120.62</v>
      </c>
      <c r="AI91" s="293">
        <v>122.85</v>
      </c>
      <c r="AJ91" s="293">
        <v>125.09</v>
      </c>
      <c r="AK91" s="293">
        <v>127.32</v>
      </c>
      <c r="AL91" s="293">
        <v>129.56</v>
      </c>
      <c r="AM91" s="293">
        <v>131.80000000000001</v>
      </c>
      <c r="AN91" s="293">
        <v>134.03</v>
      </c>
      <c r="AO91" s="237">
        <v>127.14</v>
      </c>
      <c r="AP91" s="237">
        <v>129.38</v>
      </c>
      <c r="AQ91" s="237">
        <v>131.61000000000001</v>
      </c>
      <c r="AR91" s="237">
        <v>133.85</v>
      </c>
      <c r="AS91" s="237">
        <v>93.6</v>
      </c>
      <c r="AT91" s="237">
        <v>91.37</v>
      </c>
      <c r="AU91" s="237">
        <v>89.13</v>
      </c>
      <c r="AV91" s="237">
        <v>86.9</v>
      </c>
      <c r="AW91" s="237">
        <v>84.66</v>
      </c>
    </row>
    <row r="92" spans="1:49">
      <c r="A92" s="2">
        <v>150.31</v>
      </c>
      <c r="B92" s="59">
        <v>153.52000000000001</v>
      </c>
      <c r="C92" s="3">
        <v>156.72</v>
      </c>
      <c r="D92" s="297">
        <v>173.53</v>
      </c>
      <c r="E92" s="298">
        <v>176.73</v>
      </c>
      <c r="F92" s="298">
        <v>179.94</v>
      </c>
      <c r="G92" s="298">
        <v>183.14</v>
      </c>
      <c r="H92" s="299">
        <v>186.34</v>
      </c>
      <c r="I92" s="293">
        <v>189.54</v>
      </c>
      <c r="J92" s="293">
        <v>192.75</v>
      </c>
      <c r="K92" s="293">
        <v>195.95</v>
      </c>
      <c r="L92" s="293">
        <v>199.15</v>
      </c>
      <c r="M92" s="293">
        <v>202.36</v>
      </c>
      <c r="N92" s="293">
        <v>205.56</v>
      </c>
      <c r="O92" s="237">
        <v>195.16</v>
      </c>
      <c r="P92" s="237">
        <v>198.36</v>
      </c>
      <c r="Q92" s="237">
        <v>201.56</v>
      </c>
      <c r="R92" s="237">
        <v>204.77</v>
      </c>
      <c r="S92" s="237">
        <v>147.11000000000001</v>
      </c>
      <c r="T92" s="237">
        <v>143.91</v>
      </c>
      <c r="U92" s="237">
        <v>140.69999999999999</v>
      </c>
      <c r="V92" s="237">
        <v>137.5</v>
      </c>
      <c r="W92" s="237">
        <v>134.30000000000001</v>
      </c>
      <c r="X92" s="51">
        <v>88</v>
      </c>
      <c r="Y92" s="237">
        <v>92.41</v>
      </c>
      <c r="Z92" s="237">
        <v>94.67</v>
      </c>
      <c r="AA92" s="2">
        <v>96.93</v>
      </c>
      <c r="AB92" s="59">
        <v>99.2</v>
      </c>
      <c r="AC92" s="3">
        <v>101.46</v>
      </c>
      <c r="AD92" s="297">
        <v>112.94</v>
      </c>
      <c r="AE92" s="298">
        <v>115.21</v>
      </c>
      <c r="AF92" s="298">
        <v>117.47</v>
      </c>
      <c r="AG92" s="310">
        <v>119.73</v>
      </c>
      <c r="AH92" s="299">
        <v>121.99</v>
      </c>
      <c r="AI92" s="293">
        <v>124.25</v>
      </c>
      <c r="AJ92" s="293">
        <v>126.51</v>
      </c>
      <c r="AK92" s="293">
        <v>128.78</v>
      </c>
      <c r="AL92" s="293">
        <v>131.04</v>
      </c>
      <c r="AM92" s="293">
        <v>133.30000000000001</v>
      </c>
      <c r="AN92" s="293">
        <v>135.56</v>
      </c>
      <c r="AO92" s="237">
        <v>128.6</v>
      </c>
      <c r="AP92" s="237">
        <v>130.86000000000001</v>
      </c>
      <c r="AQ92" s="237">
        <v>133.12</v>
      </c>
      <c r="AR92" s="237">
        <v>135.38</v>
      </c>
      <c r="AS92" s="237">
        <v>94.67</v>
      </c>
      <c r="AT92" s="237">
        <v>92.41</v>
      </c>
      <c r="AU92" s="237">
        <v>90.15</v>
      </c>
      <c r="AV92" s="237">
        <v>87.89</v>
      </c>
      <c r="AW92" s="237">
        <v>85.63</v>
      </c>
    </row>
    <row r="93" spans="1:49">
      <c r="A93" s="2">
        <v>151.99</v>
      </c>
      <c r="B93" s="59">
        <v>155.22999999999999</v>
      </c>
      <c r="C93" s="3">
        <v>158.47</v>
      </c>
      <c r="D93" s="297">
        <v>175.46</v>
      </c>
      <c r="E93" s="298">
        <v>178.7</v>
      </c>
      <c r="F93" s="298">
        <v>181.94</v>
      </c>
      <c r="G93" s="298">
        <v>185.18</v>
      </c>
      <c r="H93" s="299">
        <v>188.42</v>
      </c>
      <c r="I93" s="293">
        <v>191.66</v>
      </c>
      <c r="J93" s="293">
        <v>194.9</v>
      </c>
      <c r="K93" s="293">
        <v>198.14</v>
      </c>
      <c r="L93" s="293">
        <v>201.38</v>
      </c>
      <c r="M93" s="293">
        <v>204.62</v>
      </c>
      <c r="N93" s="293">
        <v>207.86</v>
      </c>
      <c r="O93" s="237">
        <v>197.34</v>
      </c>
      <c r="P93" s="237">
        <v>200.58</v>
      </c>
      <c r="Q93" s="237">
        <v>203.82</v>
      </c>
      <c r="R93" s="237">
        <v>207.06</v>
      </c>
      <c r="S93" s="237">
        <v>148.75</v>
      </c>
      <c r="T93" s="237">
        <v>145.51</v>
      </c>
      <c r="U93" s="237">
        <v>142.27000000000001</v>
      </c>
      <c r="V93" s="237">
        <v>139.03</v>
      </c>
      <c r="W93" s="237">
        <v>135.79</v>
      </c>
      <c r="X93" s="51">
        <v>89</v>
      </c>
      <c r="Y93" s="237">
        <v>93.45</v>
      </c>
      <c r="Z93" s="237">
        <v>95.74</v>
      </c>
      <c r="AA93" s="2">
        <v>98.03</v>
      </c>
      <c r="AB93" s="59">
        <v>100.32</v>
      </c>
      <c r="AC93" s="3">
        <v>102.6</v>
      </c>
      <c r="AD93" s="297">
        <v>114.22</v>
      </c>
      <c r="AE93" s="298">
        <v>116.51</v>
      </c>
      <c r="AF93" s="298">
        <v>118.79</v>
      </c>
      <c r="AG93" s="310">
        <v>121.08</v>
      </c>
      <c r="AH93" s="299">
        <v>123.37</v>
      </c>
      <c r="AI93" s="293">
        <v>125.65</v>
      </c>
      <c r="AJ93" s="293">
        <v>127.94</v>
      </c>
      <c r="AK93" s="293">
        <v>130.22999999999999</v>
      </c>
      <c r="AL93" s="293">
        <v>132.52000000000001</v>
      </c>
      <c r="AM93" s="293">
        <v>134.80000000000001</v>
      </c>
      <c r="AN93" s="293">
        <v>137.09</v>
      </c>
      <c r="AO93" s="237">
        <v>130.05000000000001</v>
      </c>
      <c r="AP93" s="237">
        <v>132.34</v>
      </c>
      <c r="AQ93" s="237">
        <v>134.63</v>
      </c>
      <c r="AR93" s="237">
        <v>136.91</v>
      </c>
      <c r="AS93" s="237">
        <v>95.74</v>
      </c>
      <c r="AT93" s="237">
        <v>93.45</v>
      </c>
      <c r="AU93" s="237">
        <v>91.17</v>
      </c>
      <c r="AV93" s="237">
        <v>88.88</v>
      </c>
      <c r="AW93" s="237">
        <v>86.59</v>
      </c>
    </row>
    <row r="94" spans="1:49">
      <c r="A94" s="2">
        <v>153.66999999999999</v>
      </c>
      <c r="B94" s="59">
        <v>156.94999999999999</v>
      </c>
      <c r="C94" s="3">
        <v>160.22</v>
      </c>
      <c r="D94" s="297">
        <v>177.4</v>
      </c>
      <c r="E94" s="298">
        <v>180.67</v>
      </c>
      <c r="F94" s="298">
        <v>183.95</v>
      </c>
      <c r="G94" s="298">
        <v>187.23</v>
      </c>
      <c r="H94" s="299">
        <v>190.5</v>
      </c>
      <c r="I94" s="293">
        <v>193.78</v>
      </c>
      <c r="J94" s="293">
        <v>197.05</v>
      </c>
      <c r="K94" s="293">
        <v>200.33</v>
      </c>
      <c r="L94" s="293">
        <v>203.61</v>
      </c>
      <c r="M94" s="293">
        <v>206.88</v>
      </c>
      <c r="N94" s="293">
        <v>210.16</v>
      </c>
      <c r="O94" s="237">
        <v>199.53</v>
      </c>
      <c r="P94" s="237">
        <v>202.81</v>
      </c>
      <c r="Q94" s="237">
        <v>206.09</v>
      </c>
      <c r="R94" s="237">
        <v>209.36</v>
      </c>
      <c r="S94" s="237">
        <v>150.38999999999999</v>
      </c>
      <c r="T94" s="237">
        <v>147.12</v>
      </c>
      <c r="U94" s="237">
        <v>143.84</v>
      </c>
      <c r="V94" s="237">
        <v>140.57</v>
      </c>
      <c r="W94" s="237">
        <v>137.29</v>
      </c>
      <c r="X94" s="51">
        <v>90</v>
      </c>
      <c r="Y94" s="237">
        <v>94.52</v>
      </c>
      <c r="Z94" s="237">
        <v>96.83</v>
      </c>
      <c r="AA94" s="2">
        <v>99.15</v>
      </c>
      <c r="AB94" s="59">
        <v>101.46</v>
      </c>
      <c r="AC94" s="3">
        <v>103.77</v>
      </c>
      <c r="AD94" s="297">
        <v>115.53</v>
      </c>
      <c r="AE94" s="298">
        <v>117.84</v>
      </c>
      <c r="AF94" s="298">
        <v>120.15</v>
      </c>
      <c r="AG94" s="310">
        <v>122.47</v>
      </c>
      <c r="AH94" s="299">
        <v>124.78</v>
      </c>
      <c r="AI94" s="293">
        <v>127.09</v>
      </c>
      <c r="AJ94" s="293">
        <v>129.4</v>
      </c>
      <c r="AK94" s="293">
        <v>131.72</v>
      </c>
      <c r="AL94" s="293">
        <v>134.03</v>
      </c>
      <c r="AM94" s="293">
        <v>136.34</v>
      </c>
      <c r="AN94" s="293">
        <v>138.66</v>
      </c>
      <c r="AO94" s="237">
        <v>131.53</v>
      </c>
      <c r="AP94" s="237">
        <v>133.84</v>
      </c>
      <c r="AQ94" s="237">
        <v>136.16</v>
      </c>
      <c r="AR94" s="237">
        <v>138.47</v>
      </c>
      <c r="AS94" s="237">
        <v>96.83</v>
      </c>
      <c r="AT94" s="237">
        <v>94.52</v>
      </c>
      <c r="AU94" s="237">
        <v>92.21</v>
      </c>
      <c r="AV94" s="237">
        <v>89.9</v>
      </c>
      <c r="AW94" s="237">
        <v>87.58</v>
      </c>
    </row>
    <row r="95" spans="1:49">
      <c r="A95" s="2">
        <v>155.44</v>
      </c>
      <c r="B95" s="59">
        <v>158.75</v>
      </c>
      <c r="C95" s="3">
        <v>162.06</v>
      </c>
      <c r="D95" s="297">
        <v>179.45</v>
      </c>
      <c r="E95" s="298">
        <v>182.76</v>
      </c>
      <c r="F95" s="298">
        <v>186.07</v>
      </c>
      <c r="G95" s="298">
        <v>189.39</v>
      </c>
      <c r="H95" s="299">
        <v>192.7</v>
      </c>
      <c r="I95" s="293">
        <v>196.01</v>
      </c>
      <c r="J95" s="293">
        <v>199.32</v>
      </c>
      <c r="K95" s="293">
        <v>202.64</v>
      </c>
      <c r="L95" s="293">
        <v>205.95</v>
      </c>
      <c r="M95" s="293">
        <v>209.26</v>
      </c>
      <c r="N95" s="293">
        <v>212.57</v>
      </c>
      <c r="O95" s="237">
        <v>201.81</v>
      </c>
      <c r="P95" s="237">
        <v>205.13</v>
      </c>
      <c r="Q95" s="237">
        <v>208.44</v>
      </c>
      <c r="R95" s="237">
        <v>211.75</v>
      </c>
      <c r="S95" s="237">
        <v>152.13</v>
      </c>
      <c r="T95" s="237">
        <v>148.82</v>
      </c>
      <c r="U95" s="237">
        <v>145.5</v>
      </c>
      <c r="V95" s="237">
        <v>142.19</v>
      </c>
      <c r="W95" s="237">
        <v>138.88</v>
      </c>
      <c r="X95" s="51">
        <v>91</v>
      </c>
      <c r="Y95" s="237">
        <v>95.57</v>
      </c>
      <c r="Z95" s="237">
        <v>97.91</v>
      </c>
      <c r="AA95" s="2">
        <v>100.25</v>
      </c>
      <c r="AB95" s="59">
        <v>102.58</v>
      </c>
      <c r="AC95" s="3">
        <v>104.92</v>
      </c>
      <c r="AD95" s="297">
        <v>116.8</v>
      </c>
      <c r="AE95" s="298">
        <v>119.14</v>
      </c>
      <c r="AF95" s="298">
        <v>121.48</v>
      </c>
      <c r="AG95" s="310">
        <v>123.82</v>
      </c>
      <c r="AH95" s="299">
        <v>126.16</v>
      </c>
      <c r="AI95" s="293">
        <v>128.5</v>
      </c>
      <c r="AJ95" s="293">
        <v>130.84</v>
      </c>
      <c r="AK95" s="293">
        <v>133.18</v>
      </c>
      <c r="AL95" s="293">
        <v>135.51</v>
      </c>
      <c r="AM95" s="293">
        <v>137.85</v>
      </c>
      <c r="AN95" s="293">
        <v>140.19</v>
      </c>
      <c r="AO95" s="237">
        <v>132.99</v>
      </c>
      <c r="AP95" s="237">
        <v>135.33000000000001</v>
      </c>
      <c r="AQ95" s="237">
        <v>137.66</v>
      </c>
      <c r="AR95" s="237">
        <v>140</v>
      </c>
      <c r="AS95" s="237">
        <v>97.91</v>
      </c>
      <c r="AT95" s="237">
        <v>95.57</v>
      </c>
      <c r="AU95" s="237">
        <v>93.23</v>
      </c>
      <c r="AV95" s="237">
        <v>90.89</v>
      </c>
      <c r="AW95" s="237">
        <v>88.55</v>
      </c>
    </row>
    <row r="96" spans="1:49">
      <c r="A96" s="2">
        <v>157.13</v>
      </c>
      <c r="B96" s="59">
        <v>160.47999999999999</v>
      </c>
      <c r="C96" s="3">
        <v>163.83000000000001</v>
      </c>
      <c r="D96" s="297">
        <v>181.4</v>
      </c>
      <c r="E96" s="298">
        <v>184.75</v>
      </c>
      <c r="F96" s="298">
        <v>188.1</v>
      </c>
      <c r="G96" s="298">
        <v>191.45</v>
      </c>
      <c r="H96" s="299">
        <v>194.8</v>
      </c>
      <c r="I96" s="293">
        <v>198.15</v>
      </c>
      <c r="J96" s="293">
        <v>201.5</v>
      </c>
      <c r="K96" s="293">
        <v>204.84</v>
      </c>
      <c r="L96" s="293">
        <v>208.19</v>
      </c>
      <c r="M96" s="293">
        <v>211.54</v>
      </c>
      <c r="N96" s="293">
        <v>214.89</v>
      </c>
      <c r="O96" s="237">
        <v>204.02</v>
      </c>
      <c r="P96" s="237">
        <v>207.37</v>
      </c>
      <c r="Q96" s="237">
        <v>210.71</v>
      </c>
      <c r="R96" s="237">
        <v>214.06</v>
      </c>
      <c r="S96" s="237">
        <v>153.78</v>
      </c>
      <c r="T96" s="237">
        <v>150.44</v>
      </c>
      <c r="U96" s="237">
        <v>147.09</v>
      </c>
      <c r="V96" s="237">
        <v>143.74</v>
      </c>
      <c r="W96" s="237">
        <v>140.38999999999999</v>
      </c>
      <c r="X96" s="51">
        <v>92</v>
      </c>
      <c r="Y96" s="237">
        <v>96.59</v>
      </c>
      <c r="Z96" s="237">
        <v>98.96</v>
      </c>
      <c r="AA96" s="2">
        <v>101.32</v>
      </c>
      <c r="AB96" s="59">
        <v>103.69</v>
      </c>
      <c r="AC96" s="3">
        <v>106.05</v>
      </c>
      <c r="AD96" s="297">
        <v>118.05</v>
      </c>
      <c r="AE96" s="298">
        <v>120.42</v>
      </c>
      <c r="AF96" s="298">
        <v>122.78</v>
      </c>
      <c r="AG96" s="310">
        <v>125.14</v>
      </c>
      <c r="AH96" s="299">
        <v>127.51</v>
      </c>
      <c r="AI96" s="293">
        <v>129.87</v>
      </c>
      <c r="AJ96" s="293">
        <v>132.24</v>
      </c>
      <c r="AK96" s="293">
        <v>134.6</v>
      </c>
      <c r="AL96" s="293">
        <v>136.97</v>
      </c>
      <c r="AM96" s="293">
        <v>139.33000000000001</v>
      </c>
      <c r="AN96" s="293">
        <v>141.69999999999999</v>
      </c>
      <c r="AO96" s="237">
        <v>134.41999999999999</v>
      </c>
      <c r="AP96" s="237">
        <v>136.79</v>
      </c>
      <c r="AQ96" s="237">
        <v>139.15</v>
      </c>
      <c r="AR96" s="237">
        <v>141.52000000000001</v>
      </c>
      <c r="AS96" s="237">
        <v>98.96</v>
      </c>
      <c r="AT96" s="237">
        <v>96.59</v>
      </c>
      <c r="AU96" s="237">
        <v>94.23</v>
      </c>
      <c r="AV96" s="237">
        <v>91.86</v>
      </c>
      <c r="AW96" s="237">
        <v>89.5</v>
      </c>
    </row>
    <row r="97" spans="1:49">
      <c r="A97" s="2">
        <v>158.83000000000001</v>
      </c>
      <c r="B97" s="59">
        <v>162.22</v>
      </c>
      <c r="C97" s="3">
        <v>165.6</v>
      </c>
      <c r="D97" s="297">
        <v>183.36</v>
      </c>
      <c r="E97" s="298">
        <v>186.75</v>
      </c>
      <c r="F97" s="298">
        <v>190.13</v>
      </c>
      <c r="G97" s="298">
        <v>193.52</v>
      </c>
      <c r="H97" s="299">
        <v>196.9</v>
      </c>
      <c r="I97" s="293">
        <v>200.29</v>
      </c>
      <c r="J97" s="293">
        <v>203.67</v>
      </c>
      <c r="K97" s="293">
        <v>207.06</v>
      </c>
      <c r="L97" s="293">
        <v>210.44</v>
      </c>
      <c r="M97" s="293">
        <v>213.83</v>
      </c>
      <c r="N97" s="293">
        <v>217.21</v>
      </c>
      <c r="O97" s="237">
        <v>206.23</v>
      </c>
      <c r="P97" s="237">
        <v>209.61</v>
      </c>
      <c r="Q97" s="237">
        <v>213</v>
      </c>
      <c r="R97" s="237">
        <v>216.38</v>
      </c>
      <c r="S97" s="237">
        <v>155.44999999999999</v>
      </c>
      <c r="T97" s="237">
        <v>152.06</v>
      </c>
      <c r="U97" s="237">
        <v>148.68</v>
      </c>
      <c r="V97" s="237">
        <v>145.29</v>
      </c>
      <c r="W97" s="237">
        <v>141.91</v>
      </c>
      <c r="X97" s="51">
        <v>93</v>
      </c>
      <c r="Y97" s="237">
        <v>97.64</v>
      </c>
      <c r="Z97" s="237">
        <v>100.03</v>
      </c>
      <c r="AA97" s="2">
        <v>102.42</v>
      </c>
      <c r="AB97" s="59">
        <v>104.81</v>
      </c>
      <c r="AC97" s="3">
        <v>107.2</v>
      </c>
      <c r="AD97" s="297">
        <v>119.33</v>
      </c>
      <c r="AE97" s="298">
        <v>121.72</v>
      </c>
      <c r="AF97" s="298">
        <v>124.11</v>
      </c>
      <c r="AG97" s="310">
        <v>126.5</v>
      </c>
      <c r="AH97" s="299">
        <v>128.88999999999999</v>
      </c>
      <c r="AI97" s="293">
        <v>131.28</v>
      </c>
      <c r="AJ97" s="293">
        <v>133.66999999999999</v>
      </c>
      <c r="AK97" s="293">
        <v>136.06</v>
      </c>
      <c r="AL97" s="293">
        <v>138.44999999999999</v>
      </c>
      <c r="AM97" s="293">
        <v>140.84</v>
      </c>
      <c r="AN97" s="293">
        <v>143.22999999999999</v>
      </c>
      <c r="AO97" s="237">
        <v>135.88</v>
      </c>
      <c r="AP97" s="237">
        <v>138.27000000000001</v>
      </c>
      <c r="AQ97" s="237">
        <v>140.66</v>
      </c>
      <c r="AR97" s="237">
        <v>143.05000000000001</v>
      </c>
      <c r="AS97" s="237">
        <v>100.03</v>
      </c>
      <c r="AT97" s="237">
        <v>97.64</v>
      </c>
      <c r="AU97" s="237">
        <v>95.25</v>
      </c>
      <c r="AV97" s="237">
        <v>92.86</v>
      </c>
      <c r="AW97" s="237">
        <v>90.47</v>
      </c>
    </row>
    <row r="98" spans="1:49">
      <c r="A98" s="2">
        <v>160.54</v>
      </c>
      <c r="B98" s="59">
        <v>163.96</v>
      </c>
      <c r="C98" s="3">
        <v>167.38</v>
      </c>
      <c r="D98" s="297">
        <v>185.33</v>
      </c>
      <c r="E98" s="298">
        <v>188.75</v>
      </c>
      <c r="F98" s="298">
        <v>192.17</v>
      </c>
      <c r="G98" s="298">
        <v>195.59</v>
      </c>
      <c r="H98" s="299">
        <v>199.02</v>
      </c>
      <c r="I98" s="293">
        <v>202.44</v>
      </c>
      <c r="J98" s="293">
        <v>205.86</v>
      </c>
      <c r="K98" s="293">
        <v>209.28</v>
      </c>
      <c r="L98" s="293">
        <v>212.7</v>
      </c>
      <c r="M98" s="293">
        <v>216.12</v>
      </c>
      <c r="N98" s="293">
        <v>219.55</v>
      </c>
      <c r="O98" s="237">
        <v>208.44</v>
      </c>
      <c r="P98" s="237">
        <v>211.86</v>
      </c>
      <c r="Q98" s="237">
        <v>215.28</v>
      </c>
      <c r="R98" s="237">
        <v>218.7</v>
      </c>
      <c r="S98" s="237">
        <v>157.11000000000001</v>
      </c>
      <c r="T98" s="237">
        <v>153.69</v>
      </c>
      <c r="U98" s="237">
        <v>150.27000000000001</v>
      </c>
      <c r="V98" s="237">
        <v>146.85</v>
      </c>
      <c r="W98" s="237">
        <v>143.43</v>
      </c>
      <c r="X98" s="51">
        <v>94</v>
      </c>
      <c r="Y98" s="237">
        <v>98.69</v>
      </c>
      <c r="Z98" s="237">
        <v>101.11</v>
      </c>
      <c r="AA98" s="2">
        <v>103.52</v>
      </c>
      <c r="AB98" s="59">
        <v>105.94</v>
      </c>
      <c r="AC98" s="3">
        <v>108.35</v>
      </c>
      <c r="AD98" s="297">
        <v>120.62</v>
      </c>
      <c r="AE98" s="298">
        <v>123.03</v>
      </c>
      <c r="AF98" s="298">
        <v>125.45</v>
      </c>
      <c r="AG98" s="310">
        <v>127.86</v>
      </c>
      <c r="AH98" s="299">
        <v>130.28</v>
      </c>
      <c r="AI98" s="293">
        <v>132.69999999999999</v>
      </c>
      <c r="AJ98" s="293">
        <v>135.11000000000001</v>
      </c>
      <c r="AK98" s="293">
        <v>137.53</v>
      </c>
      <c r="AL98" s="293">
        <v>139.94</v>
      </c>
      <c r="AM98" s="293">
        <v>142.36000000000001</v>
      </c>
      <c r="AN98" s="293">
        <v>144.78</v>
      </c>
      <c r="AO98" s="237">
        <v>137.34</v>
      </c>
      <c r="AP98" s="237">
        <v>139.76</v>
      </c>
      <c r="AQ98" s="237">
        <v>142.18</v>
      </c>
      <c r="AR98" s="237">
        <v>144.59</v>
      </c>
      <c r="AS98" s="237">
        <v>101.11</v>
      </c>
      <c r="AT98" s="237">
        <v>98.69</v>
      </c>
      <c r="AU98" s="237">
        <v>96.28</v>
      </c>
      <c r="AV98" s="237">
        <v>93.86</v>
      </c>
      <c r="AW98" s="237">
        <v>91.44</v>
      </c>
    </row>
    <row r="99" spans="1:49">
      <c r="A99" s="2">
        <v>162.16</v>
      </c>
      <c r="B99" s="59">
        <v>165.61</v>
      </c>
      <c r="C99" s="3">
        <v>169.07</v>
      </c>
      <c r="D99" s="297">
        <v>187.19</v>
      </c>
      <c r="E99" s="298">
        <v>190.65</v>
      </c>
      <c r="F99" s="298">
        <v>194.1</v>
      </c>
      <c r="G99" s="298">
        <v>197.56</v>
      </c>
      <c r="H99" s="299">
        <v>201.02</v>
      </c>
      <c r="I99" s="293">
        <v>204.48</v>
      </c>
      <c r="J99" s="293">
        <v>207.94</v>
      </c>
      <c r="K99" s="293">
        <v>211.39</v>
      </c>
      <c r="L99" s="293">
        <v>214.85</v>
      </c>
      <c r="M99" s="293">
        <v>218.31</v>
      </c>
      <c r="N99" s="293">
        <v>221.77</v>
      </c>
      <c r="O99" s="237">
        <v>210.57</v>
      </c>
      <c r="P99" s="237">
        <v>214.03</v>
      </c>
      <c r="Q99" s="237">
        <v>217.48</v>
      </c>
      <c r="R99" s="237">
        <v>220.94</v>
      </c>
      <c r="S99" s="237">
        <v>158.69999999999999</v>
      </c>
      <c r="T99" s="237">
        <v>155.24</v>
      </c>
      <c r="U99" s="237">
        <v>151.78</v>
      </c>
      <c r="V99" s="237">
        <v>148.32</v>
      </c>
      <c r="W99" s="237">
        <v>144.87</v>
      </c>
      <c r="X99" s="51">
        <v>95</v>
      </c>
      <c r="Y99" s="237">
        <v>99.74</v>
      </c>
      <c r="Z99" s="237">
        <v>102.19</v>
      </c>
      <c r="AA99" s="2">
        <v>104.63</v>
      </c>
      <c r="AB99" s="59">
        <v>107.07</v>
      </c>
      <c r="AC99" s="3">
        <v>109.51</v>
      </c>
      <c r="AD99" s="297">
        <v>121.9</v>
      </c>
      <c r="AE99" s="298">
        <v>124.35</v>
      </c>
      <c r="AF99" s="298">
        <v>126.79</v>
      </c>
      <c r="AG99" s="310">
        <v>129.22999999999999</v>
      </c>
      <c r="AH99" s="299">
        <v>131.66999999999999</v>
      </c>
      <c r="AI99" s="293">
        <v>134.11000000000001</v>
      </c>
      <c r="AJ99" s="293">
        <v>136.55000000000001</v>
      </c>
      <c r="AK99" s="293">
        <v>138.99</v>
      </c>
      <c r="AL99" s="293">
        <v>141.44</v>
      </c>
      <c r="AM99" s="293">
        <v>143.88</v>
      </c>
      <c r="AN99" s="293">
        <v>146.32</v>
      </c>
      <c r="AO99" s="237">
        <v>138.81</v>
      </c>
      <c r="AP99" s="237">
        <v>141.25</v>
      </c>
      <c r="AQ99" s="237">
        <v>143.69</v>
      </c>
      <c r="AR99" s="237">
        <v>146.13</v>
      </c>
      <c r="AS99" s="237">
        <v>102.19</v>
      </c>
      <c r="AT99" s="237">
        <v>99.74</v>
      </c>
      <c r="AU99" s="237">
        <v>97.3</v>
      </c>
      <c r="AV99" s="237">
        <v>94.86</v>
      </c>
      <c r="AW99" s="237">
        <v>92.42</v>
      </c>
    </row>
    <row r="100" spans="1:49">
      <c r="A100" s="2">
        <v>163.87</v>
      </c>
      <c r="B100" s="59">
        <v>167.36</v>
      </c>
      <c r="C100" s="3">
        <v>170.86</v>
      </c>
      <c r="D100" s="297">
        <v>189.17</v>
      </c>
      <c r="E100" s="298">
        <v>192.66</v>
      </c>
      <c r="F100" s="298">
        <v>196.16</v>
      </c>
      <c r="G100" s="298">
        <v>199.65</v>
      </c>
      <c r="H100" s="299">
        <v>203.14</v>
      </c>
      <c r="I100" s="293">
        <v>206.64</v>
      </c>
      <c r="J100" s="293">
        <v>210.13</v>
      </c>
      <c r="K100" s="293">
        <v>213.63</v>
      </c>
      <c r="L100" s="293">
        <v>217.12</v>
      </c>
      <c r="M100" s="293">
        <v>220.62</v>
      </c>
      <c r="N100" s="293">
        <v>224.11</v>
      </c>
      <c r="O100" s="237">
        <v>212.79</v>
      </c>
      <c r="P100" s="237">
        <v>216.29</v>
      </c>
      <c r="Q100" s="237">
        <v>219.78</v>
      </c>
      <c r="R100" s="237">
        <v>223.27</v>
      </c>
      <c r="S100" s="237">
        <v>160.38</v>
      </c>
      <c r="T100" s="237">
        <v>156.88</v>
      </c>
      <c r="U100" s="237">
        <v>153.38999999999999</v>
      </c>
      <c r="V100" s="237">
        <v>149.88999999999999</v>
      </c>
      <c r="W100" s="237">
        <v>146.4</v>
      </c>
      <c r="X100" s="51">
        <v>96</v>
      </c>
      <c r="Y100" s="237">
        <v>100.8</v>
      </c>
      <c r="Z100" s="237">
        <v>103.27</v>
      </c>
      <c r="AA100" s="2">
        <v>105.73</v>
      </c>
      <c r="AB100" s="59">
        <v>108.2</v>
      </c>
      <c r="AC100" s="3">
        <v>110.67</v>
      </c>
      <c r="AD100" s="297">
        <v>123.19</v>
      </c>
      <c r="AE100" s="298">
        <v>125.66</v>
      </c>
      <c r="AF100" s="298">
        <v>128.13</v>
      </c>
      <c r="AG100" s="310">
        <v>130.59</v>
      </c>
      <c r="AH100" s="299">
        <v>133.06</v>
      </c>
      <c r="AI100" s="293">
        <v>135.53</v>
      </c>
      <c r="AJ100" s="293">
        <v>138</v>
      </c>
      <c r="AK100" s="293">
        <v>140.46</v>
      </c>
      <c r="AL100" s="293">
        <v>142.93</v>
      </c>
      <c r="AM100" s="293">
        <v>145.4</v>
      </c>
      <c r="AN100" s="293">
        <v>147.87</v>
      </c>
      <c r="AO100" s="237">
        <v>140.27000000000001</v>
      </c>
      <c r="AP100" s="237">
        <v>142.74</v>
      </c>
      <c r="AQ100" s="237">
        <v>145.21</v>
      </c>
      <c r="AR100" s="237">
        <v>147.66999999999999</v>
      </c>
      <c r="AS100" s="237">
        <v>103.27</v>
      </c>
      <c r="AT100" s="237">
        <v>100.8</v>
      </c>
      <c r="AU100" s="237">
        <v>98.33</v>
      </c>
      <c r="AV100" s="237">
        <v>95.86</v>
      </c>
      <c r="AW100" s="237">
        <v>93.4</v>
      </c>
    </row>
    <row r="101" spans="1:49">
      <c r="A101" s="2">
        <v>165.59</v>
      </c>
      <c r="B101" s="59">
        <v>169.12</v>
      </c>
      <c r="C101" s="3">
        <v>172.65</v>
      </c>
      <c r="D101" s="297">
        <v>191.15</v>
      </c>
      <c r="E101" s="298">
        <v>194.68</v>
      </c>
      <c r="F101" s="298">
        <v>198.21</v>
      </c>
      <c r="G101" s="298">
        <v>201.75</v>
      </c>
      <c r="H101" s="299">
        <v>205.28</v>
      </c>
      <c r="I101" s="293">
        <v>208.81</v>
      </c>
      <c r="J101" s="293">
        <v>212.34</v>
      </c>
      <c r="K101" s="293">
        <v>215.87</v>
      </c>
      <c r="L101" s="293">
        <v>219.4</v>
      </c>
      <c r="M101" s="293">
        <v>222.93</v>
      </c>
      <c r="N101" s="293">
        <v>226.46</v>
      </c>
      <c r="O101" s="237">
        <v>215.02</v>
      </c>
      <c r="P101" s="237">
        <v>218.55</v>
      </c>
      <c r="Q101" s="237">
        <v>222.08</v>
      </c>
      <c r="R101" s="237">
        <v>225.61</v>
      </c>
      <c r="S101" s="237">
        <v>162.06</v>
      </c>
      <c r="T101" s="237">
        <v>158.53</v>
      </c>
      <c r="U101" s="237">
        <v>155</v>
      </c>
      <c r="V101" s="237">
        <v>151.47</v>
      </c>
      <c r="W101" s="237">
        <v>147.94</v>
      </c>
      <c r="X101" s="51">
        <v>97</v>
      </c>
      <c r="Y101" s="237">
        <v>101.83</v>
      </c>
      <c r="Z101" s="237">
        <v>104.32</v>
      </c>
      <c r="AA101" s="2">
        <v>106.81</v>
      </c>
      <c r="AB101" s="59">
        <v>109.31</v>
      </c>
      <c r="AC101" s="3">
        <v>111.8</v>
      </c>
      <c r="AD101" s="297">
        <v>124.45</v>
      </c>
      <c r="AE101" s="298">
        <v>126.94</v>
      </c>
      <c r="AF101" s="298">
        <v>129.43</v>
      </c>
      <c r="AG101" s="310">
        <v>131.93</v>
      </c>
      <c r="AH101" s="299">
        <v>134.41999999999999</v>
      </c>
      <c r="AI101" s="293">
        <v>136.91</v>
      </c>
      <c r="AJ101" s="293">
        <v>139.4</v>
      </c>
      <c r="AK101" s="293">
        <v>141.9</v>
      </c>
      <c r="AL101" s="293">
        <v>144.38999999999999</v>
      </c>
      <c r="AM101" s="293">
        <v>146.88</v>
      </c>
      <c r="AN101" s="293">
        <v>149.38</v>
      </c>
      <c r="AO101" s="237">
        <v>141.71</v>
      </c>
      <c r="AP101" s="237">
        <v>144.21</v>
      </c>
      <c r="AQ101" s="237">
        <v>146.69999999999999</v>
      </c>
      <c r="AR101" s="237">
        <v>149.19</v>
      </c>
      <c r="AS101" s="237">
        <v>104.32</v>
      </c>
      <c r="AT101" s="237">
        <v>101.83</v>
      </c>
      <c r="AU101" s="237">
        <v>99.33</v>
      </c>
      <c r="AV101" s="237">
        <v>96.84</v>
      </c>
      <c r="AW101" s="237">
        <v>94.35</v>
      </c>
    </row>
    <row r="102" spans="1:49">
      <c r="A102" s="2">
        <v>167.31</v>
      </c>
      <c r="B102" s="59">
        <v>170.88</v>
      </c>
      <c r="C102" s="3">
        <v>174.45</v>
      </c>
      <c r="D102" s="297">
        <v>193.15</v>
      </c>
      <c r="E102" s="298">
        <v>196.71</v>
      </c>
      <c r="F102" s="298">
        <v>200.28</v>
      </c>
      <c r="G102" s="298">
        <v>203.85</v>
      </c>
      <c r="H102" s="299">
        <v>207.42</v>
      </c>
      <c r="I102" s="293">
        <v>210.98</v>
      </c>
      <c r="J102" s="293">
        <v>214.55</v>
      </c>
      <c r="K102" s="293">
        <v>218.12</v>
      </c>
      <c r="L102" s="293">
        <v>221.69</v>
      </c>
      <c r="M102" s="293">
        <v>225.25</v>
      </c>
      <c r="N102" s="293">
        <v>228.82</v>
      </c>
      <c r="O102" s="237">
        <v>217.26</v>
      </c>
      <c r="P102" s="237">
        <v>220.82</v>
      </c>
      <c r="Q102" s="237">
        <v>224.39</v>
      </c>
      <c r="R102" s="237">
        <v>227.96</v>
      </c>
      <c r="S102" s="237">
        <v>163.75</v>
      </c>
      <c r="T102" s="237">
        <v>160.18</v>
      </c>
      <c r="U102" s="237">
        <v>156.61000000000001</v>
      </c>
      <c r="V102" s="237">
        <v>153.05000000000001</v>
      </c>
      <c r="W102" s="237">
        <v>149.47999999999999</v>
      </c>
      <c r="X102" s="51">
        <v>98</v>
      </c>
      <c r="Y102" s="237">
        <v>102.88</v>
      </c>
      <c r="Z102" s="237">
        <v>105.4</v>
      </c>
      <c r="AA102" s="2">
        <v>107.92</v>
      </c>
      <c r="AB102" s="59">
        <v>110.44</v>
      </c>
      <c r="AC102" s="3">
        <v>112.96</v>
      </c>
      <c r="AD102" s="297">
        <v>125.74</v>
      </c>
      <c r="AE102" s="298">
        <v>128.26</v>
      </c>
      <c r="AF102" s="298">
        <v>130.78</v>
      </c>
      <c r="AG102" s="310">
        <v>133.30000000000001</v>
      </c>
      <c r="AH102" s="299">
        <v>135.81</v>
      </c>
      <c r="AI102" s="293">
        <v>138.33000000000001</v>
      </c>
      <c r="AJ102" s="293">
        <v>140.85</v>
      </c>
      <c r="AK102" s="293">
        <v>143.37</v>
      </c>
      <c r="AL102" s="293">
        <v>145.88999999999999</v>
      </c>
      <c r="AM102" s="293">
        <v>148.41</v>
      </c>
      <c r="AN102" s="293">
        <v>150.93</v>
      </c>
      <c r="AO102" s="237">
        <v>143.18</v>
      </c>
      <c r="AP102" s="237">
        <v>145.69999999999999</v>
      </c>
      <c r="AQ102" s="237">
        <v>148.22</v>
      </c>
      <c r="AR102" s="237">
        <v>150.74</v>
      </c>
      <c r="AS102" s="237">
        <v>105.4</v>
      </c>
      <c r="AT102" s="237">
        <v>102.88</v>
      </c>
      <c r="AU102" s="237">
        <v>100.37</v>
      </c>
      <c r="AV102" s="237">
        <v>97.85</v>
      </c>
      <c r="AW102" s="237">
        <v>95.33</v>
      </c>
    </row>
    <row r="103" spans="1:49">
      <c r="A103" s="2">
        <v>169.05</v>
      </c>
      <c r="B103" s="59">
        <v>172.65</v>
      </c>
      <c r="C103" s="3">
        <v>176.25</v>
      </c>
      <c r="D103" s="297">
        <v>195.15</v>
      </c>
      <c r="E103" s="298">
        <v>198.75</v>
      </c>
      <c r="F103" s="298">
        <v>202.36</v>
      </c>
      <c r="G103" s="298">
        <v>205.96</v>
      </c>
      <c r="H103" s="299">
        <v>209.56</v>
      </c>
      <c r="I103" s="293">
        <v>213.17</v>
      </c>
      <c r="J103" s="293">
        <v>216.77</v>
      </c>
      <c r="K103" s="293">
        <v>220.38</v>
      </c>
      <c r="L103" s="293">
        <v>223.98</v>
      </c>
      <c r="M103" s="293">
        <v>227.58</v>
      </c>
      <c r="N103" s="293">
        <v>231.19</v>
      </c>
      <c r="O103" s="237">
        <v>219.5</v>
      </c>
      <c r="P103" s="237">
        <v>223.1</v>
      </c>
      <c r="Q103" s="237">
        <v>226.7</v>
      </c>
      <c r="R103" s="237">
        <v>230.31</v>
      </c>
      <c r="S103" s="237">
        <v>165.44</v>
      </c>
      <c r="T103" s="237">
        <v>164.84</v>
      </c>
      <c r="U103" s="237">
        <v>158.24</v>
      </c>
      <c r="V103" s="237">
        <v>154.63</v>
      </c>
      <c r="W103" s="237">
        <v>151.03</v>
      </c>
      <c r="X103" s="51">
        <v>99</v>
      </c>
      <c r="Y103" s="237">
        <v>103.91</v>
      </c>
      <c r="Z103" s="237">
        <v>106.46</v>
      </c>
      <c r="AA103" s="2">
        <v>109</v>
      </c>
      <c r="AB103" s="59">
        <v>111.55</v>
      </c>
      <c r="AC103" s="3">
        <v>114.09</v>
      </c>
      <c r="AD103" s="297">
        <v>127</v>
      </c>
      <c r="AE103" s="298">
        <v>129.54</v>
      </c>
      <c r="AF103" s="298">
        <v>132.08000000000001</v>
      </c>
      <c r="AG103" s="310">
        <v>134.63</v>
      </c>
      <c r="AH103" s="299">
        <v>137.16999999999999</v>
      </c>
      <c r="AI103" s="293">
        <v>139.72</v>
      </c>
      <c r="AJ103" s="293">
        <v>142.26</v>
      </c>
      <c r="AK103" s="293">
        <v>144.81</v>
      </c>
      <c r="AL103" s="293">
        <v>147.35</v>
      </c>
      <c r="AM103" s="293">
        <v>149.88999999999999</v>
      </c>
      <c r="AN103" s="293">
        <v>152.44</v>
      </c>
      <c r="AO103" s="237">
        <v>144.62</v>
      </c>
      <c r="AP103" s="237">
        <v>147.16999999999999</v>
      </c>
      <c r="AQ103" s="237">
        <v>149.71</v>
      </c>
      <c r="AR103" s="237">
        <v>152.26</v>
      </c>
      <c r="AS103" s="237">
        <v>106.46</v>
      </c>
      <c r="AT103" s="237">
        <v>103.91</v>
      </c>
      <c r="AU103" s="237">
        <v>101.37</v>
      </c>
      <c r="AV103" s="237">
        <v>98.83</v>
      </c>
      <c r="AW103" s="237">
        <v>96.28</v>
      </c>
    </row>
    <row r="104" spans="1:49">
      <c r="A104" s="2">
        <v>170.69</v>
      </c>
      <c r="B104" s="59">
        <v>174.33</v>
      </c>
      <c r="C104" s="3">
        <v>177.97</v>
      </c>
      <c r="D104" s="297">
        <v>197.03</v>
      </c>
      <c r="E104" s="298">
        <v>200.67</v>
      </c>
      <c r="F104" s="298">
        <v>204.31</v>
      </c>
      <c r="G104" s="298">
        <v>207.95</v>
      </c>
      <c r="H104" s="299">
        <v>211.59</v>
      </c>
      <c r="I104" s="293">
        <v>215.23</v>
      </c>
      <c r="J104" s="293">
        <v>218.87</v>
      </c>
      <c r="K104" s="293">
        <v>222.51</v>
      </c>
      <c r="L104" s="293">
        <v>226.15</v>
      </c>
      <c r="M104" s="293">
        <v>229.79</v>
      </c>
      <c r="N104" s="293">
        <v>233.43</v>
      </c>
      <c r="O104" s="237">
        <v>221.65</v>
      </c>
      <c r="P104" s="237">
        <v>225.29</v>
      </c>
      <c r="Q104" s="237">
        <v>228.93</v>
      </c>
      <c r="R104" s="237">
        <v>232.57</v>
      </c>
      <c r="S104" s="237">
        <v>167.05</v>
      </c>
      <c r="T104" s="237">
        <v>163.41</v>
      </c>
      <c r="U104" s="237">
        <v>159.77000000000001</v>
      </c>
      <c r="V104" s="237">
        <v>156.13</v>
      </c>
      <c r="W104" s="237">
        <v>152.49</v>
      </c>
      <c r="X104" s="51">
        <v>100</v>
      </c>
      <c r="Y104" s="237">
        <v>104.98</v>
      </c>
      <c r="Z104" s="237">
        <v>107.55</v>
      </c>
      <c r="AA104" s="2">
        <v>110.12</v>
      </c>
      <c r="AB104" s="59">
        <v>112.69</v>
      </c>
      <c r="AC104" s="3">
        <v>115.26</v>
      </c>
      <c r="AD104" s="297">
        <v>128.29</v>
      </c>
      <c r="AE104" s="298">
        <v>130.86000000000001</v>
      </c>
      <c r="AF104" s="298">
        <v>133.43</v>
      </c>
      <c r="AG104" s="310">
        <v>136</v>
      </c>
      <c r="AH104" s="299">
        <v>138.57</v>
      </c>
      <c r="AI104" s="293">
        <v>141.13999999999999</v>
      </c>
      <c r="AJ104" s="293">
        <v>143.71</v>
      </c>
      <c r="AK104" s="293">
        <v>146.28</v>
      </c>
      <c r="AL104" s="293">
        <v>148.85</v>
      </c>
      <c r="AM104" s="293">
        <v>151.41999999999999</v>
      </c>
      <c r="AN104" s="293">
        <v>153.99</v>
      </c>
      <c r="AO104" s="237">
        <v>146.1</v>
      </c>
      <c r="AP104" s="237">
        <v>148.66999999999999</v>
      </c>
      <c r="AQ104" s="237">
        <v>151.24</v>
      </c>
      <c r="AR104" s="237">
        <v>153.81</v>
      </c>
      <c r="AS104" s="237">
        <v>107.55</v>
      </c>
      <c r="AT104" s="237">
        <v>104.98</v>
      </c>
      <c r="AU104" s="237">
        <v>102.41</v>
      </c>
      <c r="AV104" s="237">
        <v>99.84</v>
      </c>
      <c r="AW104" s="237">
        <v>97.27</v>
      </c>
    </row>
    <row r="105" spans="1:49">
      <c r="A105" s="2">
        <v>172.43</v>
      </c>
      <c r="B105" s="59">
        <v>176.11</v>
      </c>
      <c r="C105" s="3">
        <v>179.78</v>
      </c>
      <c r="D105" s="297">
        <v>199.05</v>
      </c>
      <c r="E105" s="298">
        <v>202.73</v>
      </c>
      <c r="F105" s="298">
        <v>206.4</v>
      </c>
      <c r="G105" s="298">
        <v>210.08</v>
      </c>
      <c r="H105" s="299">
        <v>213.76</v>
      </c>
      <c r="I105" s="293">
        <v>217.43</v>
      </c>
      <c r="J105" s="293">
        <v>221.11</v>
      </c>
      <c r="K105" s="293">
        <v>224.78</v>
      </c>
      <c r="L105" s="293">
        <v>228.46</v>
      </c>
      <c r="M105" s="293">
        <v>232.14</v>
      </c>
      <c r="N105" s="293">
        <v>235.81</v>
      </c>
      <c r="O105" s="237">
        <v>223.9</v>
      </c>
      <c r="P105" s="237">
        <v>227.57</v>
      </c>
      <c r="Q105" s="237">
        <v>231.25</v>
      </c>
      <c r="R105" s="237">
        <v>234.93</v>
      </c>
      <c r="S105" s="237">
        <v>168.75</v>
      </c>
      <c r="T105" s="237">
        <v>165.08</v>
      </c>
      <c r="U105" s="237">
        <v>161.4</v>
      </c>
      <c r="V105" s="237">
        <v>157.72</v>
      </c>
      <c r="W105" s="237">
        <v>154.05000000000001</v>
      </c>
      <c r="X105" s="51">
        <v>101</v>
      </c>
      <c r="Y105" s="237">
        <v>106.01</v>
      </c>
      <c r="Z105" s="237">
        <v>108.6</v>
      </c>
      <c r="AA105" s="2">
        <v>111.2</v>
      </c>
      <c r="AB105" s="59">
        <v>113.8</v>
      </c>
      <c r="AC105" s="3">
        <v>116.39</v>
      </c>
      <c r="AD105" s="297">
        <v>129.55000000000001</v>
      </c>
      <c r="AE105" s="298">
        <v>132.15</v>
      </c>
      <c r="AF105" s="298">
        <v>134.74</v>
      </c>
      <c r="AG105" s="310">
        <v>137.34</v>
      </c>
      <c r="AH105" s="299">
        <v>139.94</v>
      </c>
      <c r="AI105" s="293">
        <v>142.53</v>
      </c>
      <c r="AJ105" s="293">
        <v>145.13</v>
      </c>
      <c r="AK105" s="293">
        <v>147.72</v>
      </c>
      <c r="AL105" s="293">
        <v>150.32</v>
      </c>
      <c r="AM105" s="293">
        <v>152.91</v>
      </c>
      <c r="AN105" s="293">
        <v>155.51</v>
      </c>
      <c r="AO105" s="237">
        <v>147.54</v>
      </c>
      <c r="AP105" s="237">
        <v>150.13</v>
      </c>
      <c r="AQ105" s="237">
        <v>152.72999999999999</v>
      </c>
      <c r="AR105" s="237">
        <v>155.33000000000001</v>
      </c>
      <c r="AS105" s="237">
        <v>108.6</v>
      </c>
      <c r="AT105" s="237">
        <v>106.01</v>
      </c>
      <c r="AU105" s="237">
        <v>103.41</v>
      </c>
      <c r="AV105" s="237">
        <v>100.82</v>
      </c>
      <c r="AW105" s="237">
        <v>98.22</v>
      </c>
    </row>
    <row r="106" spans="1:49">
      <c r="A106" s="2">
        <v>174.08</v>
      </c>
      <c r="B106" s="59">
        <v>177.79</v>
      </c>
      <c r="C106" s="3">
        <v>181.5</v>
      </c>
      <c r="D106" s="297">
        <v>200.94</v>
      </c>
      <c r="E106" s="298">
        <v>204.66</v>
      </c>
      <c r="F106" s="298">
        <v>208.37</v>
      </c>
      <c r="G106" s="298">
        <v>212.08</v>
      </c>
      <c r="H106" s="299">
        <v>215.79</v>
      </c>
      <c r="I106" s="293">
        <v>219.51</v>
      </c>
      <c r="J106" s="293">
        <v>223.22</v>
      </c>
      <c r="K106" s="293">
        <v>226.93</v>
      </c>
      <c r="L106" s="293">
        <v>230.65</v>
      </c>
      <c r="M106" s="293">
        <v>234.36</v>
      </c>
      <c r="N106" s="293">
        <v>238.07</v>
      </c>
      <c r="O106" s="237">
        <v>226.05</v>
      </c>
      <c r="P106" s="237">
        <v>229.77</v>
      </c>
      <c r="Q106" s="237">
        <v>233.48</v>
      </c>
      <c r="R106" s="237">
        <v>237.19</v>
      </c>
      <c r="S106" s="237">
        <v>170.36</v>
      </c>
      <c r="T106" s="237">
        <v>166.65</v>
      </c>
      <c r="U106" s="237">
        <v>162.94</v>
      </c>
      <c r="V106" s="237">
        <v>159.22</v>
      </c>
      <c r="W106" s="237">
        <v>155.51</v>
      </c>
      <c r="X106" s="51">
        <v>102</v>
      </c>
      <c r="Y106" s="237">
        <v>107.07</v>
      </c>
      <c r="Z106" s="237">
        <v>109.69</v>
      </c>
      <c r="AA106" s="2">
        <v>112.31</v>
      </c>
      <c r="AB106" s="59">
        <v>114.94</v>
      </c>
      <c r="AC106" s="3">
        <v>117.56</v>
      </c>
      <c r="AD106" s="297">
        <v>130.86000000000001</v>
      </c>
      <c r="AE106" s="298">
        <v>133.47999999999999</v>
      </c>
      <c r="AF106" s="298">
        <v>136.1</v>
      </c>
      <c r="AG106" s="310">
        <v>138.72</v>
      </c>
      <c r="AH106" s="299">
        <v>141.34</v>
      </c>
      <c r="AI106" s="293">
        <v>143.96</v>
      </c>
      <c r="AJ106" s="293">
        <v>146.58000000000001</v>
      </c>
      <c r="AK106" s="293">
        <v>149.21</v>
      </c>
      <c r="AL106" s="293">
        <v>151.83000000000001</v>
      </c>
      <c r="AM106" s="293">
        <v>154.44999999999999</v>
      </c>
      <c r="AN106" s="293">
        <v>157.07</v>
      </c>
      <c r="AO106" s="237">
        <v>149.01</v>
      </c>
      <c r="AP106" s="237">
        <v>151.63999999999999</v>
      </c>
      <c r="AQ106" s="237">
        <v>154.26</v>
      </c>
      <c r="AR106" s="237">
        <v>156.88</v>
      </c>
      <c r="AS106" s="237">
        <v>109.69</v>
      </c>
      <c r="AT106" s="237">
        <v>107.07</v>
      </c>
      <c r="AU106" s="237">
        <v>104.45</v>
      </c>
      <c r="AV106" s="237">
        <v>101.83</v>
      </c>
      <c r="AW106" s="237">
        <v>99.21</v>
      </c>
    </row>
    <row r="107" spans="1:49">
      <c r="A107" s="2">
        <v>175.83</v>
      </c>
      <c r="B107" s="59">
        <v>179.58</v>
      </c>
      <c r="C107" s="3">
        <v>183.33</v>
      </c>
      <c r="D107" s="297">
        <v>202.97</v>
      </c>
      <c r="E107" s="298">
        <v>206.72</v>
      </c>
      <c r="F107" s="298">
        <v>210.47</v>
      </c>
      <c r="G107" s="298">
        <v>214.22</v>
      </c>
      <c r="H107" s="299">
        <v>217.97</v>
      </c>
      <c r="I107" s="293">
        <v>221.72</v>
      </c>
      <c r="J107" s="293">
        <v>225.47</v>
      </c>
      <c r="K107" s="293">
        <v>229.22</v>
      </c>
      <c r="L107" s="293">
        <v>232.97</v>
      </c>
      <c r="M107" s="293">
        <v>236.72</v>
      </c>
      <c r="N107" s="293">
        <v>240.47</v>
      </c>
      <c r="O107" s="237">
        <v>228.32</v>
      </c>
      <c r="P107" s="237">
        <v>232.07</v>
      </c>
      <c r="Q107" s="237">
        <v>235.82</v>
      </c>
      <c r="R107" s="237">
        <v>239.57</v>
      </c>
      <c r="S107" s="237">
        <v>172.08</v>
      </c>
      <c r="T107" s="237">
        <v>168.33</v>
      </c>
      <c r="U107" s="237">
        <v>164.58</v>
      </c>
      <c r="V107" s="237">
        <v>160.83000000000001</v>
      </c>
      <c r="W107" s="237">
        <v>157.08000000000001</v>
      </c>
      <c r="X107" s="51">
        <v>103</v>
      </c>
      <c r="Y107" s="237">
        <v>108.11</v>
      </c>
      <c r="Z107" s="237">
        <v>110.75</v>
      </c>
      <c r="AA107" s="2">
        <v>113.4</v>
      </c>
      <c r="AB107" s="59">
        <v>116.05</v>
      </c>
      <c r="AC107" s="3">
        <v>118.7</v>
      </c>
      <c r="AD107" s="297">
        <v>132.12</v>
      </c>
      <c r="AE107" s="298">
        <v>134.77000000000001</v>
      </c>
      <c r="AF107" s="298">
        <v>137.41</v>
      </c>
      <c r="AG107" s="310">
        <v>140.06</v>
      </c>
      <c r="AH107" s="299">
        <v>142.71</v>
      </c>
      <c r="AI107" s="293">
        <v>145.35</v>
      </c>
      <c r="AJ107" s="293">
        <v>148</v>
      </c>
      <c r="AK107" s="293">
        <v>150.65</v>
      </c>
      <c r="AL107" s="293">
        <v>153.30000000000001</v>
      </c>
      <c r="AM107" s="293">
        <v>155.94</v>
      </c>
      <c r="AN107" s="293">
        <v>158.59</v>
      </c>
      <c r="AO107" s="237">
        <v>150.46</v>
      </c>
      <c r="AP107" s="237">
        <v>153.11000000000001</v>
      </c>
      <c r="AQ107" s="237">
        <v>155.75</v>
      </c>
      <c r="AR107" s="237">
        <v>158.4</v>
      </c>
      <c r="AS107" s="237">
        <v>110.75</v>
      </c>
      <c r="AT107" s="237">
        <v>108.11</v>
      </c>
      <c r="AU107" s="237">
        <v>105.46</v>
      </c>
      <c r="AV107" s="237">
        <v>102.81</v>
      </c>
      <c r="AW107" s="237">
        <v>100.17</v>
      </c>
    </row>
    <row r="108" spans="1:49">
      <c r="A108" s="2">
        <v>177.48</v>
      </c>
      <c r="B108" s="59">
        <v>181.27</v>
      </c>
      <c r="C108" s="3">
        <v>185.06</v>
      </c>
      <c r="D108" s="297">
        <v>204.88</v>
      </c>
      <c r="E108" s="298">
        <v>208.66</v>
      </c>
      <c r="F108" s="298">
        <v>212.45</v>
      </c>
      <c r="G108" s="298">
        <v>216.23</v>
      </c>
      <c r="H108" s="299">
        <v>220.02</v>
      </c>
      <c r="I108" s="293">
        <v>223.81</v>
      </c>
      <c r="J108" s="293">
        <v>227.59</v>
      </c>
      <c r="K108" s="293">
        <v>231.38</v>
      </c>
      <c r="L108" s="293">
        <v>235.16</v>
      </c>
      <c r="M108" s="293">
        <v>238.95</v>
      </c>
      <c r="N108" s="293">
        <v>242.73</v>
      </c>
      <c r="O108" s="237">
        <v>230.48</v>
      </c>
      <c r="P108" s="237">
        <v>234.27</v>
      </c>
      <c r="Q108" s="237">
        <v>238.05</v>
      </c>
      <c r="R108" s="237">
        <v>241.84</v>
      </c>
      <c r="S108" s="237">
        <v>173.7</v>
      </c>
      <c r="T108" s="237">
        <v>169.91</v>
      </c>
      <c r="U108" s="237">
        <v>166.13</v>
      </c>
      <c r="V108" s="237">
        <v>162.34</v>
      </c>
      <c r="W108" s="237">
        <v>158.56</v>
      </c>
      <c r="X108" s="51">
        <v>104</v>
      </c>
      <c r="Y108" s="237">
        <v>109.14</v>
      </c>
      <c r="Z108" s="237">
        <v>111.82</v>
      </c>
      <c r="AA108" s="2">
        <v>114.49</v>
      </c>
      <c r="AB108" s="59">
        <v>117.16</v>
      </c>
      <c r="AC108" s="3">
        <v>119.83</v>
      </c>
      <c r="AD108" s="297">
        <v>133.38</v>
      </c>
      <c r="AE108" s="298">
        <v>136.06</v>
      </c>
      <c r="AF108" s="298">
        <v>138.72999999999999</v>
      </c>
      <c r="AG108" s="310">
        <v>141.4</v>
      </c>
      <c r="AH108" s="299">
        <v>144.07</v>
      </c>
      <c r="AI108" s="293">
        <v>146.75</v>
      </c>
      <c r="AJ108" s="293">
        <v>149.41999999999999</v>
      </c>
      <c r="AK108" s="293">
        <v>152.09</v>
      </c>
      <c r="AL108" s="293">
        <v>154.76</v>
      </c>
      <c r="AM108" s="293">
        <v>157.44</v>
      </c>
      <c r="AN108" s="293">
        <v>160.11000000000001</v>
      </c>
      <c r="AO108" s="237">
        <v>151.91</v>
      </c>
      <c r="AP108" s="237">
        <v>154.58000000000001</v>
      </c>
      <c r="AQ108" s="237">
        <v>157.25</v>
      </c>
      <c r="AR108" s="237">
        <v>159.93</v>
      </c>
      <c r="AS108" s="237">
        <v>111.82</v>
      </c>
      <c r="AT108" s="237">
        <v>109.14</v>
      </c>
      <c r="AU108" s="237">
        <v>106.47</v>
      </c>
      <c r="AV108" s="237">
        <v>103.8</v>
      </c>
      <c r="AW108" s="237">
        <v>101.12</v>
      </c>
    </row>
    <row r="109" spans="1:49">
      <c r="A109" s="2">
        <v>179.25</v>
      </c>
      <c r="B109" s="59">
        <v>183.07</v>
      </c>
      <c r="C109" s="3">
        <v>186.9</v>
      </c>
      <c r="D109" s="297">
        <v>206.93</v>
      </c>
      <c r="E109" s="298">
        <v>210.75</v>
      </c>
      <c r="F109" s="298">
        <v>214.57</v>
      </c>
      <c r="G109" s="298">
        <v>218.39</v>
      </c>
      <c r="H109" s="299">
        <v>222.21</v>
      </c>
      <c r="I109" s="293">
        <v>226.04</v>
      </c>
      <c r="J109" s="293">
        <v>229.86</v>
      </c>
      <c r="K109" s="293">
        <v>233.68</v>
      </c>
      <c r="L109" s="293">
        <v>237.5</v>
      </c>
      <c r="M109" s="293">
        <v>241.32</v>
      </c>
      <c r="N109" s="293">
        <v>245.15</v>
      </c>
      <c r="O109" s="237">
        <v>232.76</v>
      </c>
      <c r="P109" s="237">
        <v>236.58</v>
      </c>
      <c r="Q109" s="237">
        <v>240.4</v>
      </c>
      <c r="R109" s="237">
        <v>244.23</v>
      </c>
      <c r="S109" s="237">
        <v>175.43</v>
      </c>
      <c r="T109" s="237">
        <v>171.61</v>
      </c>
      <c r="U109" s="237">
        <v>167.79</v>
      </c>
      <c r="V109" s="237">
        <v>163.96</v>
      </c>
      <c r="W109" s="237">
        <v>160.13999999999999</v>
      </c>
      <c r="X109" s="51">
        <v>105</v>
      </c>
      <c r="Y109" s="237">
        <v>110.21</v>
      </c>
      <c r="Z109" s="237">
        <v>112.91</v>
      </c>
      <c r="AA109" s="2">
        <v>115.61</v>
      </c>
      <c r="AB109" s="59">
        <v>118.31</v>
      </c>
      <c r="AC109" s="3">
        <v>121.01</v>
      </c>
      <c r="AD109" s="297">
        <v>134.69</v>
      </c>
      <c r="AE109" s="298">
        <v>137.38999999999999</v>
      </c>
      <c r="AF109" s="298">
        <v>140.09</v>
      </c>
      <c r="AG109" s="310">
        <v>142.79</v>
      </c>
      <c r="AH109" s="299">
        <v>145.49</v>
      </c>
      <c r="AI109" s="293">
        <v>148.18</v>
      </c>
      <c r="AJ109" s="293">
        <v>150.88</v>
      </c>
      <c r="AK109" s="293">
        <v>153.58000000000001</v>
      </c>
      <c r="AL109" s="293">
        <v>156.28</v>
      </c>
      <c r="AM109" s="293">
        <v>158.97999999999999</v>
      </c>
      <c r="AN109" s="293">
        <v>161.68</v>
      </c>
      <c r="AO109" s="237">
        <v>153.38999999999999</v>
      </c>
      <c r="AP109" s="237">
        <v>156.09</v>
      </c>
      <c r="AQ109" s="237">
        <v>158.78</v>
      </c>
      <c r="AR109" s="237">
        <v>161.47999999999999</v>
      </c>
      <c r="AS109" s="237">
        <v>112.91</v>
      </c>
      <c r="AT109" s="237">
        <v>110.21</v>
      </c>
      <c r="AU109" s="237">
        <v>107.51</v>
      </c>
      <c r="AV109" s="237">
        <v>104.8</v>
      </c>
      <c r="AW109" s="237">
        <v>102.12</v>
      </c>
    </row>
    <row r="110" spans="1:49">
      <c r="A110" s="2">
        <v>180.91</v>
      </c>
      <c r="B110" s="59">
        <v>184.77</v>
      </c>
      <c r="C110" s="3">
        <v>188.63</v>
      </c>
      <c r="D110" s="297">
        <v>208.84</v>
      </c>
      <c r="E110" s="298">
        <v>212.7</v>
      </c>
      <c r="F110" s="298">
        <v>216.56</v>
      </c>
      <c r="G110" s="298">
        <v>220.41</v>
      </c>
      <c r="H110" s="299">
        <v>224.27</v>
      </c>
      <c r="I110" s="293">
        <v>228.13</v>
      </c>
      <c r="J110" s="293">
        <v>231.99</v>
      </c>
      <c r="K110" s="293">
        <v>235.85</v>
      </c>
      <c r="L110" s="293">
        <v>239.71</v>
      </c>
      <c r="M110" s="293">
        <v>243.56</v>
      </c>
      <c r="N110" s="293">
        <v>247.42</v>
      </c>
      <c r="O110" s="237">
        <v>234.93</v>
      </c>
      <c r="P110" s="237">
        <v>238.79</v>
      </c>
      <c r="Q110" s="237">
        <v>242.65</v>
      </c>
      <c r="R110" s="237">
        <v>246.51</v>
      </c>
      <c r="S110" s="237">
        <v>177.06</v>
      </c>
      <c r="T110" s="237">
        <v>173.2</v>
      </c>
      <c r="U110" s="237">
        <v>169.34</v>
      </c>
      <c r="V110" s="237">
        <v>165.48</v>
      </c>
      <c r="W110" s="237">
        <v>161.62</v>
      </c>
      <c r="X110" s="51">
        <v>106</v>
      </c>
      <c r="Y110" s="237">
        <v>111.25</v>
      </c>
      <c r="Z110" s="237">
        <v>113.97</v>
      </c>
      <c r="AA110" s="2">
        <v>116.7</v>
      </c>
      <c r="AB110" s="59">
        <v>119.42</v>
      </c>
      <c r="AC110" s="3">
        <v>122.15</v>
      </c>
      <c r="AD110" s="297">
        <v>135.96</v>
      </c>
      <c r="AE110" s="298">
        <v>138.68</v>
      </c>
      <c r="AF110" s="298">
        <v>141.41</v>
      </c>
      <c r="AG110" s="310">
        <v>144.13</v>
      </c>
      <c r="AH110" s="299">
        <v>146.86000000000001</v>
      </c>
      <c r="AI110" s="293">
        <v>149.58000000000001</v>
      </c>
      <c r="AJ110" s="293">
        <v>152.30000000000001</v>
      </c>
      <c r="AK110" s="293">
        <v>155.03</v>
      </c>
      <c r="AL110" s="293">
        <v>157.75</v>
      </c>
      <c r="AM110" s="293">
        <v>160.47999999999999</v>
      </c>
      <c r="AN110" s="293">
        <v>163.19999999999999</v>
      </c>
      <c r="AO110" s="237">
        <v>154.84</v>
      </c>
      <c r="AP110" s="237">
        <v>157.56</v>
      </c>
      <c r="AQ110" s="237">
        <v>160.29</v>
      </c>
      <c r="AR110" s="237">
        <v>163.01</v>
      </c>
      <c r="AS110" s="237">
        <v>113.97</v>
      </c>
      <c r="AT110" s="237">
        <v>111.25</v>
      </c>
      <c r="AU110" s="237">
        <v>108.53</v>
      </c>
      <c r="AV110" s="237">
        <v>105.8</v>
      </c>
      <c r="AW110" s="237">
        <v>103.08</v>
      </c>
    </row>
    <row r="111" spans="1:49">
      <c r="A111" s="2">
        <v>182.58</v>
      </c>
      <c r="B111" s="59">
        <v>186.48</v>
      </c>
      <c r="C111" s="3">
        <v>190.37</v>
      </c>
      <c r="D111" s="297">
        <v>210.76</v>
      </c>
      <c r="E111" s="298">
        <v>214.65</v>
      </c>
      <c r="F111" s="298">
        <v>218.55</v>
      </c>
      <c r="G111" s="298">
        <v>222.44</v>
      </c>
      <c r="H111" s="299">
        <v>226.34</v>
      </c>
      <c r="I111" s="293">
        <v>230.23</v>
      </c>
      <c r="J111" s="293">
        <v>234.13</v>
      </c>
      <c r="K111" s="293">
        <v>238.02</v>
      </c>
      <c r="L111" s="293">
        <v>241.92</v>
      </c>
      <c r="M111" s="293">
        <v>245.81</v>
      </c>
      <c r="N111" s="293">
        <v>249.71</v>
      </c>
      <c r="O111" s="237">
        <v>237.11</v>
      </c>
      <c r="P111" s="237">
        <v>241</v>
      </c>
      <c r="Q111" s="237">
        <v>244.9</v>
      </c>
      <c r="R111" s="237">
        <v>248.79</v>
      </c>
      <c r="S111" s="237">
        <v>178.69</v>
      </c>
      <c r="T111" s="237">
        <v>174.79</v>
      </c>
      <c r="U111" s="237">
        <v>170.9</v>
      </c>
      <c r="V111" s="237">
        <v>167</v>
      </c>
      <c r="W111" s="237">
        <v>163.11000000000001</v>
      </c>
      <c r="X111" s="51">
        <v>107</v>
      </c>
      <c r="Y111" s="237">
        <v>112.29</v>
      </c>
      <c r="Z111" s="237">
        <v>115.04</v>
      </c>
      <c r="AA111" s="2">
        <v>117.79</v>
      </c>
      <c r="AB111" s="59">
        <v>120.54</v>
      </c>
      <c r="AC111" s="3">
        <v>123.29</v>
      </c>
      <c r="AD111" s="297">
        <v>137.22999999999999</v>
      </c>
      <c r="AE111" s="298">
        <v>139.97999999999999</v>
      </c>
      <c r="AF111" s="298">
        <v>142.72999999999999</v>
      </c>
      <c r="AG111" s="310">
        <v>145.47999999999999</v>
      </c>
      <c r="AH111" s="299">
        <v>148.22999999999999</v>
      </c>
      <c r="AI111" s="293">
        <v>150.97999999999999</v>
      </c>
      <c r="AJ111" s="293">
        <v>153.72999999999999</v>
      </c>
      <c r="AK111" s="293">
        <v>156.47999999999999</v>
      </c>
      <c r="AL111" s="293">
        <v>159.22999999999999</v>
      </c>
      <c r="AM111" s="293">
        <v>161.97999999999999</v>
      </c>
      <c r="AN111" s="293">
        <v>164.73</v>
      </c>
      <c r="AO111" s="237">
        <v>156.29</v>
      </c>
      <c r="AP111" s="237">
        <v>159.04</v>
      </c>
      <c r="AQ111" s="237">
        <v>161.79</v>
      </c>
      <c r="AR111" s="237">
        <v>164.54</v>
      </c>
      <c r="AS111" s="237">
        <v>115.04</v>
      </c>
      <c r="AT111" s="237">
        <v>112.29</v>
      </c>
      <c r="AU111" s="237">
        <v>109.54</v>
      </c>
      <c r="AV111" s="237">
        <v>106.79</v>
      </c>
      <c r="AW111" s="237">
        <v>104.04</v>
      </c>
    </row>
    <row r="112" spans="1:49">
      <c r="A112" s="2">
        <v>184.25</v>
      </c>
      <c r="B112" s="59">
        <v>188.18</v>
      </c>
      <c r="C112" s="3">
        <v>192.11</v>
      </c>
      <c r="D112" s="297">
        <v>212.68</v>
      </c>
      <c r="E112" s="298">
        <v>216.61</v>
      </c>
      <c r="F112" s="298">
        <v>220.54</v>
      </c>
      <c r="G112" s="298">
        <v>224.47</v>
      </c>
      <c r="H112" s="299">
        <v>228.41</v>
      </c>
      <c r="I112" s="293">
        <v>232.34</v>
      </c>
      <c r="J112" s="293">
        <v>236.27</v>
      </c>
      <c r="K112" s="293">
        <v>240.2</v>
      </c>
      <c r="L112" s="293">
        <v>244.13</v>
      </c>
      <c r="M112" s="293">
        <v>248.06</v>
      </c>
      <c r="N112" s="293">
        <v>251.99</v>
      </c>
      <c r="O112" s="237">
        <v>239.29</v>
      </c>
      <c r="P112" s="237">
        <v>243.22</v>
      </c>
      <c r="Q112" s="237">
        <v>247.15</v>
      </c>
      <c r="R112" s="237">
        <v>251.08</v>
      </c>
      <c r="S112" s="237">
        <v>180.32</v>
      </c>
      <c r="T112" s="237">
        <v>176.39</v>
      </c>
      <c r="U112" s="237">
        <v>172.46</v>
      </c>
      <c r="V112" s="237">
        <v>168.53</v>
      </c>
      <c r="W112" s="237">
        <v>164.6</v>
      </c>
      <c r="X112" s="51">
        <v>108</v>
      </c>
      <c r="Y112" s="237">
        <v>113.33</v>
      </c>
      <c r="Z112" s="237">
        <v>116.11</v>
      </c>
      <c r="AA112" s="2">
        <v>118.88</v>
      </c>
      <c r="AB112" s="59">
        <v>121.66</v>
      </c>
      <c r="AC112" s="3">
        <v>124.43</v>
      </c>
      <c r="AD112" s="297">
        <v>138.5</v>
      </c>
      <c r="AE112" s="298">
        <v>141.27000000000001</v>
      </c>
      <c r="AF112" s="298">
        <v>144.05000000000001</v>
      </c>
      <c r="AG112" s="310">
        <v>146.83000000000001</v>
      </c>
      <c r="AH112" s="299">
        <v>149.6</v>
      </c>
      <c r="AI112" s="293">
        <v>152.38</v>
      </c>
      <c r="AJ112" s="293">
        <v>155.15</v>
      </c>
      <c r="AK112" s="293">
        <v>157.93</v>
      </c>
      <c r="AL112" s="293">
        <v>160.69999999999999</v>
      </c>
      <c r="AM112" s="293">
        <v>163.47999999999999</v>
      </c>
      <c r="AN112" s="293">
        <v>166.25</v>
      </c>
      <c r="AO112" s="237">
        <v>157.74</v>
      </c>
      <c r="AP112" s="237">
        <v>160.52000000000001</v>
      </c>
      <c r="AQ112" s="237">
        <v>163.29</v>
      </c>
      <c r="AR112" s="237">
        <v>166.07</v>
      </c>
      <c r="AS112" s="237">
        <v>116.11</v>
      </c>
      <c r="AT112" s="237">
        <v>113.33</v>
      </c>
      <c r="AU112" s="237">
        <v>110.56</v>
      </c>
      <c r="AV112" s="237">
        <v>107.78</v>
      </c>
      <c r="AW112" s="237">
        <v>105</v>
      </c>
    </row>
    <row r="113" spans="1:49">
      <c r="A113" s="2">
        <v>186.04</v>
      </c>
      <c r="B113" s="59">
        <v>190.01</v>
      </c>
      <c r="C113" s="3">
        <v>193.98</v>
      </c>
      <c r="D113" s="297">
        <v>214.76</v>
      </c>
      <c r="E113" s="298">
        <v>218.73</v>
      </c>
      <c r="F113" s="298">
        <v>222.69</v>
      </c>
      <c r="G113" s="298">
        <v>226.66</v>
      </c>
      <c r="H113" s="299">
        <v>230.63</v>
      </c>
      <c r="I113" s="293">
        <v>234.6</v>
      </c>
      <c r="J113" s="293">
        <v>238.56</v>
      </c>
      <c r="K113" s="293">
        <v>242.53</v>
      </c>
      <c r="L113" s="293">
        <v>246.5</v>
      </c>
      <c r="M113" s="293">
        <v>250.47</v>
      </c>
      <c r="N113" s="293">
        <v>254.44</v>
      </c>
      <c r="O113" s="237">
        <v>241.59</v>
      </c>
      <c r="P113" s="237">
        <v>245.56</v>
      </c>
      <c r="Q113" s="237">
        <v>249.52</v>
      </c>
      <c r="R113" s="237">
        <v>253.49</v>
      </c>
      <c r="S113" s="237">
        <v>182.07</v>
      </c>
      <c r="T113" s="237">
        <v>178.11</v>
      </c>
      <c r="U113" s="237">
        <v>174.14</v>
      </c>
      <c r="V113" s="237">
        <v>170.17</v>
      </c>
      <c r="W113" s="237">
        <v>166.2</v>
      </c>
      <c r="X113" s="51">
        <v>109</v>
      </c>
      <c r="Y113" s="237">
        <v>114.37</v>
      </c>
      <c r="Z113" s="237">
        <v>117.17</v>
      </c>
      <c r="AA113" s="2">
        <v>119.98</v>
      </c>
      <c r="AB113" s="59">
        <v>122.78</v>
      </c>
      <c r="AC113" s="3">
        <v>125.58</v>
      </c>
      <c r="AD113" s="297">
        <v>139.77000000000001</v>
      </c>
      <c r="AE113" s="298">
        <v>142.57</v>
      </c>
      <c r="AF113" s="298">
        <v>145.37</v>
      </c>
      <c r="AG113" s="310">
        <v>148.16999999999999</v>
      </c>
      <c r="AH113" s="299">
        <v>150.97999999999999</v>
      </c>
      <c r="AI113" s="293">
        <v>153.78</v>
      </c>
      <c r="AJ113" s="293">
        <v>156.58000000000001</v>
      </c>
      <c r="AK113" s="293">
        <v>159.38</v>
      </c>
      <c r="AL113" s="293">
        <v>162.18</v>
      </c>
      <c r="AM113" s="293">
        <v>164.98</v>
      </c>
      <c r="AN113" s="293">
        <v>167.78</v>
      </c>
      <c r="AO113" s="237">
        <v>159.19</v>
      </c>
      <c r="AP113" s="237">
        <v>162</v>
      </c>
      <c r="AQ113" s="237">
        <v>164.8</v>
      </c>
      <c r="AR113" s="237">
        <v>167.6</v>
      </c>
      <c r="AS113" s="237">
        <v>117.17</v>
      </c>
      <c r="AT113" s="237">
        <v>114.37</v>
      </c>
      <c r="AU113" s="237">
        <v>111.57</v>
      </c>
      <c r="AV113" s="237">
        <v>108.77</v>
      </c>
      <c r="AW113" s="237">
        <v>105.97</v>
      </c>
    </row>
    <row r="114" spans="1:49">
      <c r="A114" s="2">
        <v>187.72</v>
      </c>
      <c r="B114" s="59">
        <v>191.73</v>
      </c>
      <c r="C114" s="3">
        <v>195.73</v>
      </c>
      <c r="D114" s="297">
        <v>216.69</v>
      </c>
      <c r="E114" s="298">
        <v>220.7</v>
      </c>
      <c r="F114" s="298">
        <v>224.7</v>
      </c>
      <c r="G114" s="298">
        <v>228.71</v>
      </c>
      <c r="H114" s="299">
        <v>232.71</v>
      </c>
      <c r="I114" s="293">
        <v>236.71</v>
      </c>
      <c r="J114" s="293">
        <v>240.72</v>
      </c>
      <c r="K114" s="293">
        <v>244.72</v>
      </c>
      <c r="L114" s="293">
        <v>248.73</v>
      </c>
      <c r="M114" s="293">
        <v>252.73</v>
      </c>
      <c r="N114" s="293">
        <v>256.73</v>
      </c>
      <c r="O114" s="237">
        <v>243.78</v>
      </c>
      <c r="P114" s="237">
        <v>247.78</v>
      </c>
      <c r="Q114" s="237">
        <v>251.79</v>
      </c>
      <c r="R114" s="237">
        <v>255.79</v>
      </c>
      <c r="S114" s="237">
        <v>183.72</v>
      </c>
      <c r="T114" s="237">
        <v>179.71</v>
      </c>
      <c r="U114" s="237">
        <v>175.71</v>
      </c>
      <c r="V114" s="237">
        <v>171.71</v>
      </c>
      <c r="W114" s="237">
        <v>167.7</v>
      </c>
      <c r="X114" s="51">
        <v>110</v>
      </c>
      <c r="Y114" s="237">
        <v>115.42</v>
      </c>
      <c r="Z114" s="237">
        <v>118.24</v>
      </c>
      <c r="AA114" s="2">
        <v>121.07</v>
      </c>
      <c r="AB114" s="59">
        <v>123.9</v>
      </c>
      <c r="AC114" s="3">
        <v>126.72</v>
      </c>
      <c r="AD114" s="297">
        <v>141.04</v>
      </c>
      <c r="AE114" s="298">
        <v>143.87</v>
      </c>
      <c r="AF114" s="298">
        <v>146.69999999999999</v>
      </c>
      <c r="AG114" s="310">
        <v>149.53</v>
      </c>
      <c r="AH114" s="299">
        <v>152.35</v>
      </c>
      <c r="AI114" s="293">
        <v>155.18</v>
      </c>
      <c r="AJ114" s="293">
        <v>158.01</v>
      </c>
      <c r="AK114" s="293">
        <v>160.83000000000001</v>
      </c>
      <c r="AL114" s="293">
        <v>163.66</v>
      </c>
      <c r="AM114" s="293">
        <v>166.49</v>
      </c>
      <c r="AN114" s="293">
        <v>169.31</v>
      </c>
      <c r="AO114" s="237">
        <v>160.65</v>
      </c>
      <c r="AP114" s="237">
        <v>163.47999999999999</v>
      </c>
      <c r="AQ114" s="237">
        <v>166.3</v>
      </c>
      <c r="AR114" s="237">
        <v>169.13</v>
      </c>
      <c r="AS114" s="237">
        <v>118.24</v>
      </c>
      <c r="AT114" s="237">
        <v>115.42</v>
      </c>
      <c r="AU114" s="237">
        <v>112.59</v>
      </c>
      <c r="AV114" s="237">
        <v>109.76</v>
      </c>
      <c r="AW114" s="237">
        <v>106.94</v>
      </c>
    </row>
    <row r="115" spans="1:49">
      <c r="A115" s="2">
        <v>189.41</v>
      </c>
      <c r="B115" s="59">
        <v>193.45</v>
      </c>
      <c r="C115" s="3">
        <v>197.49</v>
      </c>
      <c r="D115" s="297">
        <v>218.63</v>
      </c>
      <c r="E115" s="298">
        <v>222.68</v>
      </c>
      <c r="F115" s="298">
        <v>226.72</v>
      </c>
      <c r="G115" s="298">
        <v>230.76</v>
      </c>
      <c r="H115" s="299">
        <v>234.8</v>
      </c>
      <c r="I115" s="293">
        <v>238.84</v>
      </c>
      <c r="J115" s="293">
        <v>242.88</v>
      </c>
      <c r="K115" s="293">
        <v>246.92</v>
      </c>
      <c r="L115" s="293">
        <v>250.96</v>
      </c>
      <c r="M115" s="293">
        <v>255</v>
      </c>
      <c r="N115" s="293">
        <v>259.04000000000002</v>
      </c>
      <c r="O115" s="237">
        <v>245.97</v>
      </c>
      <c r="P115" s="237">
        <v>250.01</v>
      </c>
      <c r="Q115" s="237">
        <v>254.05</v>
      </c>
      <c r="R115" s="237">
        <v>258.08999999999997</v>
      </c>
      <c r="S115" s="237">
        <v>185.36</v>
      </c>
      <c r="T115" s="237">
        <v>181.32</v>
      </c>
      <c r="U115" s="237">
        <v>177.28</v>
      </c>
      <c r="V115" s="237">
        <v>173.24</v>
      </c>
      <c r="W115" s="237">
        <v>169.2</v>
      </c>
      <c r="X115" s="51">
        <v>111</v>
      </c>
      <c r="Y115" s="237">
        <v>116.46</v>
      </c>
      <c r="Z115" s="237">
        <v>119.31</v>
      </c>
      <c r="AA115" s="2">
        <v>122.17</v>
      </c>
      <c r="AB115" s="59">
        <v>125.02</v>
      </c>
      <c r="AC115" s="3">
        <v>127.87</v>
      </c>
      <c r="AD115" s="297">
        <v>142.32</v>
      </c>
      <c r="AE115" s="298">
        <v>145.16999999999999</v>
      </c>
      <c r="AF115" s="298">
        <v>148.02000000000001</v>
      </c>
      <c r="AG115" s="310">
        <v>150.88</v>
      </c>
      <c r="AH115" s="299">
        <v>153.72999999999999</v>
      </c>
      <c r="AI115" s="293">
        <v>156.58000000000001</v>
      </c>
      <c r="AJ115" s="293">
        <v>159.44</v>
      </c>
      <c r="AK115" s="293">
        <v>162.29</v>
      </c>
      <c r="AL115" s="293">
        <v>165.14</v>
      </c>
      <c r="AM115" s="293">
        <v>167.99</v>
      </c>
      <c r="AN115" s="293">
        <v>170.85</v>
      </c>
      <c r="AO115" s="237">
        <v>162.1</v>
      </c>
      <c r="AP115" s="237">
        <v>164.96</v>
      </c>
      <c r="AQ115" s="237">
        <v>167.81</v>
      </c>
      <c r="AR115" s="237">
        <v>170.66</v>
      </c>
      <c r="AS115" s="237">
        <v>119.31</v>
      </c>
      <c r="AT115" s="237">
        <v>116.46</v>
      </c>
      <c r="AU115" s="237">
        <v>113.61</v>
      </c>
      <c r="AV115" s="237">
        <v>110.75</v>
      </c>
      <c r="AW115" s="237">
        <v>107.9</v>
      </c>
    </row>
    <row r="116" spans="1:49">
      <c r="A116" s="2">
        <v>191.09</v>
      </c>
      <c r="B116" s="59">
        <v>195.17</v>
      </c>
      <c r="C116" s="3">
        <v>199.25</v>
      </c>
      <c r="D116" s="297">
        <v>220.58</v>
      </c>
      <c r="E116" s="298">
        <v>224.66</v>
      </c>
      <c r="F116" s="298">
        <v>228.73</v>
      </c>
      <c r="G116" s="298">
        <v>232.81</v>
      </c>
      <c r="H116" s="299">
        <v>236.89</v>
      </c>
      <c r="I116" s="293">
        <v>240.96</v>
      </c>
      <c r="J116" s="293">
        <v>245.04</v>
      </c>
      <c r="K116" s="293">
        <v>249.12</v>
      </c>
      <c r="L116" s="293">
        <v>253.19</v>
      </c>
      <c r="M116" s="293">
        <v>257.27</v>
      </c>
      <c r="N116" s="293">
        <v>261.35000000000002</v>
      </c>
      <c r="O116" s="237">
        <v>248.17</v>
      </c>
      <c r="P116" s="237">
        <v>252.24</v>
      </c>
      <c r="Q116" s="237">
        <v>256.32</v>
      </c>
      <c r="R116" s="237">
        <v>260.39999999999998</v>
      </c>
      <c r="S116" s="237">
        <v>187.02</v>
      </c>
      <c r="T116" s="237">
        <v>182.94</v>
      </c>
      <c r="U116" s="237">
        <v>178.86</v>
      </c>
      <c r="V116" s="237">
        <v>174.79</v>
      </c>
      <c r="W116" s="237">
        <v>170.71</v>
      </c>
      <c r="X116" s="51">
        <v>112</v>
      </c>
      <c r="Y116" s="237">
        <v>117.51</v>
      </c>
      <c r="Z116" s="237">
        <v>120.38</v>
      </c>
      <c r="AA116" s="2">
        <v>123.26</v>
      </c>
      <c r="AB116" s="59">
        <v>126.14</v>
      </c>
      <c r="AC116" s="3">
        <v>129.02000000000001</v>
      </c>
      <c r="AD116" s="297">
        <v>143.6</v>
      </c>
      <c r="AE116" s="298">
        <v>146.47</v>
      </c>
      <c r="AF116" s="298">
        <v>149.35</v>
      </c>
      <c r="AG116" s="310">
        <v>152.22999999999999</v>
      </c>
      <c r="AH116" s="299">
        <v>155.11000000000001</v>
      </c>
      <c r="AI116" s="293">
        <v>157.99</v>
      </c>
      <c r="AJ116" s="293">
        <v>160.87</v>
      </c>
      <c r="AK116" s="293">
        <v>163.75</v>
      </c>
      <c r="AL116" s="293">
        <v>166.62</v>
      </c>
      <c r="AM116" s="293">
        <v>169.5</v>
      </c>
      <c r="AN116" s="293">
        <v>172.38</v>
      </c>
      <c r="AO116" s="237">
        <v>163.56</v>
      </c>
      <c r="AP116" s="237">
        <v>166.44</v>
      </c>
      <c r="AQ116" s="237">
        <v>169.32</v>
      </c>
      <c r="AR116" s="237">
        <v>172.2</v>
      </c>
      <c r="AS116" s="237">
        <v>120.38</v>
      </c>
      <c r="AT116" s="237">
        <v>117.51</v>
      </c>
      <c r="AU116" s="237">
        <v>114.63</v>
      </c>
      <c r="AV116" s="237">
        <v>111.75</v>
      </c>
      <c r="AW116" s="237">
        <v>108.87</v>
      </c>
    </row>
    <row r="117" spans="1:49">
      <c r="A117" s="2">
        <v>192.78</v>
      </c>
      <c r="B117" s="59">
        <v>196.9</v>
      </c>
      <c r="C117" s="3">
        <v>201.01</v>
      </c>
      <c r="D117" s="297">
        <v>222.53</v>
      </c>
      <c r="E117" s="298">
        <v>226.64</v>
      </c>
      <c r="F117" s="298">
        <v>230.76</v>
      </c>
      <c r="G117" s="298">
        <v>234.87</v>
      </c>
      <c r="H117" s="299">
        <v>238.98</v>
      </c>
      <c r="I117" s="293">
        <v>243.1</v>
      </c>
      <c r="J117" s="293">
        <v>247.21</v>
      </c>
      <c r="K117" s="293">
        <v>251.32</v>
      </c>
      <c r="L117" s="293">
        <v>255.44</v>
      </c>
      <c r="M117" s="293">
        <v>259.55</v>
      </c>
      <c r="N117" s="293">
        <v>263.66000000000003</v>
      </c>
      <c r="O117" s="237">
        <v>250.37</v>
      </c>
      <c r="P117" s="237">
        <v>254.48</v>
      </c>
      <c r="Q117" s="237">
        <v>258.60000000000002</v>
      </c>
      <c r="R117" s="237">
        <v>262.70999999999998</v>
      </c>
      <c r="S117" s="237">
        <v>188.67</v>
      </c>
      <c r="T117" s="237">
        <v>184.56</v>
      </c>
      <c r="U117" s="237">
        <v>180.45</v>
      </c>
      <c r="V117" s="237">
        <v>176.33</v>
      </c>
      <c r="W117" s="237">
        <v>172.22</v>
      </c>
      <c r="X117" s="51">
        <v>113</v>
      </c>
      <c r="Y117" s="237">
        <v>118.55</v>
      </c>
      <c r="Z117" s="237">
        <v>121.46</v>
      </c>
      <c r="AA117" s="2">
        <v>124.36</v>
      </c>
      <c r="AB117" s="59">
        <v>127.26</v>
      </c>
      <c r="AC117" s="3">
        <v>130.16999999999999</v>
      </c>
      <c r="AD117" s="297">
        <v>144.87</v>
      </c>
      <c r="AE117" s="298">
        <v>147.78</v>
      </c>
      <c r="AF117" s="298">
        <v>150.68</v>
      </c>
      <c r="AG117" s="310">
        <v>153.59</v>
      </c>
      <c r="AH117" s="299">
        <v>156.49</v>
      </c>
      <c r="AI117" s="293">
        <v>159.4</v>
      </c>
      <c r="AJ117" s="293">
        <v>162.30000000000001</v>
      </c>
      <c r="AK117" s="293">
        <v>165.2</v>
      </c>
      <c r="AL117" s="293">
        <v>168.11</v>
      </c>
      <c r="AM117" s="293">
        <v>171.01</v>
      </c>
      <c r="AN117" s="293">
        <v>173.92</v>
      </c>
      <c r="AO117" s="237">
        <v>165.02</v>
      </c>
      <c r="AP117" s="237">
        <v>167.92</v>
      </c>
      <c r="AQ117" s="237">
        <v>170.83</v>
      </c>
      <c r="AR117" s="237">
        <v>173.3</v>
      </c>
      <c r="AS117" s="237">
        <v>121.46</v>
      </c>
      <c r="AT117" s="237">
        <v>118.55</v>
      </c>
      <c r="AU117" s="237">
        <v>115.65</v>
      </c>
      <c r="AV117" s="237">
        <v>112.74</v>
      </c>
      <c r="AW117" s="237">
        <v>109.84</v>
      </c>
    </row>
    <row r="118" spans="1:49">
      <c r="A118" s="2">
        <v>194.48</v>
      </c>
      <c r="B118" s="59">
        <v>198.63</v>
      </c>
      <c r="C118" s="3">
        <v>202.78</v>
      </c>
      <c r="D118" s="297">
        <v>224.49</v>
      </c>
      <c r="E118" s="298">
        <v>228.64</v>
      </c>
      <c r="F118" s="298">
        <v>232.79</v>
      </c>
      <c r="G118" s="298">
        <v>236.94</v>
      </c>
      <c r="H118" s="299">
        <v>241.09</v>
      </c>
      <c r="I118" s="293">
        <v>245.24</v>
      </c>
      <c r="J118" s="293">
        <v>249.39</v>
      </c>
      <c r="K118" s="293">
        <v>253.53</v>
      </c>
      <c r="L118" s="293">
        <v>257.68</v>
      </c>
      <c r="M118" s="293">
        <v>261.83</v>
      </c>
      <c r="N118" s="293">
        <v>265.98</v>
      </c>
      <c r="O118" s="237">
        <v>252.57</v>
      </c>
      <c r="P118" s="237">
        <v>256.72000000000003</v>
      </c>
      <c r="Q118" s="237">
        <v>260.87</v>
      </c>
      <c r="R118" s="237">
        <v>265.02</v>
      </c>
      <c r="S118" s="237">
        <v>190.33</v>
      </c>
      <c r="T118" s="237">
        <v>186.18</v>
      </c>
      <c r="U118" s="237">
        <v>182.03</v>
      </c>
      <c r="V118" s="237">
        <v>177.88</v>
      </c>
      <c r="W118" s="237">
        <v>173.73</v>
      </c>
      <c r="X118" s="51">
        <v>114</v>
      </c>
      <c r="Y118" s="237">
        <v>119.6</v>
      </c>
      <c r="Z118" s="237">
        <v>122.53</v>
      </c>
      <c r="AA118" s="2">
        <v>125.46</v>
      </c>
      <c r="AB118" s="59">
        <v>128.38999999999999</v>
      </c>
      <c r="AC118" s="3">
        <v>131.32</v>
      </c>
      <c r="AD118" s="297">
        <v>146.16</v>
      </c>
      <c r="AE118" s="298">
        <v>149.08000000000001</v>
      </c>
      <c r="AF118" s="298">
        <v>152.01</v>
      </c>
      <c r="AG118" s="310">
        <v>154.94</v>
      </c>
      <c r="AH118" s="299">
        <v>157.87</v>
      </c>
      <c r="AI118" s="293">
        <v>160.80000000000001</v>
      </c>
      <c r="AJ118" s="293">
        <v>163.72999999999999</v>
      </c>
      <c r="AK118" s="293">
        <v>166.66</v>
      </c>
      <c r="AL118" s="293">
        <v>169.59</v>
      </c>
      <c r="AM118" s="293">
        <v>172.52</v>
      </c>
      <c r="AN118" s="293">
        <v>175.45</v>
      </c>
      <c r="AO118" s="237">
        <v>166.48</v>
      </c>
      <c r="AP118" s="237">
        <v>169.41</v>
      </c>
      <c r="AQ118" s="237">
        <v>172.34</v>
      </c>
      <c r="AR118" s="237">
        <v>175.27</v>
      </c>
      <c r="AS118" s="237">
        <v>122.53</v>
      </c>
      <c r="AT118" s="237">
        <v>119.6</v>
      </c>
      <c r="AU118" s="237">
        <v>116.67</v>
      </c>
      <c r="AV118" s="237">
        <v>113.74</v>
      </c>
      <c r="AW118" s="237">
        <v>110.81</v>
      </c>
    </row>
    <row r="119" spans="1:49">
      <c r="A119" s="2">
        <v>196.18</v>
      </c>
      <c r="B119" s="59">
        <v>200.37</v>
      </c>
      <c r="C119" s="3">
        <v>204.55</v>
      </c>
      <c r="D119" s="297">
        <v>226.45</v>
      </c>
      <c r="E119" s="298">
        <v>230.64</v>
      </c>
      <c r="F119" s="298">
        <v>234.82</v>
      </c>
      <c r="G119" s="298">
        <v>239.01</v>
      </c>
      <c r="H119" s="299">
        <v>243.19</v>
      </c>
      <c r="I119" s="293">
        <v>247.38</v>
      </c>
      <c r="J119" s="293">
        <v>251.57</v>
      </c>
      <c r="K119" s="293">
        <v>255.75</v>
      </c>
      <c r="L119" s="293">
        <v>259.94</v>
      </c>
      <c r="M119" s="293">
        <v>264.12</v>
      </c>
      <c r="N119" s="293">
        <v>268.31</v>
      </c>
      <c r="O119" s="237">
        <v>254.78</v>
      </c>
      <c r="P119" s="237">
        <v>258.97000000000003</v>
      </c>
      <c r="Q119" s="237">
        <v>263.16000000000003</v>
      </c>
      <c r="R119" s="237">
        <v>267.33999999999997</v>
      </c>
      <c r="S119" s="237">
        <v>191.99</v>
      </c>
      <c r="T119" s="237">
        <v>187.81</v>
      </c>
      <c r="U119" s="237">
        <v>183.62</v>
      </c>
      <c r="V119" s="237">
        <v>179.44</v>
      </c>
      <c r="W119" s="237">
        <v>175.25</v>
      </c>
      <c r="X119" s="51">
        <v>115</v>
      </c>
      <c r="Y119" s="237">
        <v>120.65</v>
      </c>
      <c r="Z119" s="237">
        <v>123.6</v>
      </c>
      <c r="AA119" s="2">
        <v>126.56</v>
      </c>
      <c r="AB119" s="59">
        <v>129.52000000000001</v>
      </c>
      <c r="AC119" s="3">
        <v>132.47</v>
      </c>
      <c r="AD119" s="297">
        <v>147.44</v>
      </c>
      <c r="AE119" s="298">
        <v>150.38999999999999</v>
      </c>
      <c r="AF119" s="298">
        <v>153.35</v>
      </c>
      <c r="AG119" s="310">
        <v>156.30000000000001</v>
      </c>
      <c r="AH119" s="299">
        <v>159.26</v>
      </c>
      <c r="AI119" s="293">
        <v>162.21</v>
      </c>
      <c r="AJ119" s="293">
        <v>165.17</v>
      </c>
      <c r="AK119" s="293">
        <v>168.13</v>
      </c>
      <c r="AL119" s="293">
        <v>171.08</v>
      </c>
      <c r="AM119" s="293">
        <v>174.04</v>
      </c>
      <c r="AN119" s="293">
        <v>176.99</v>
      </c>
      <c r="AO119" s="237">
        <v>167.4</v>
      </c>
      <c r="AP119" s="237">
        <v>170.89</v>
      </c>
      <c r="AQ119" s="237">
        <v>173.85</v>
      </c>
      <c r="AR119" s="237">
        <v>176.8</v>
      </c>
      <c r="AS119" s="237">
        <v>123.6</v>
      </c>
      <c r="AT119" s="237">
        <v>120.65</v>
      </c>
      <c r="AU119" s="237">
        <v>117.69</v>
      </c>
      <c r="AV119" s="237">
        <v>114.74</v>
      </c>
      <c r="AW119" s="237">
        <v>111.78</v>
      </c>
    </row>
    <row r="120" spans="1:49">
      <c r="A120" s="2">
        <v>197.89</v>
      </c>
      <c r="B120" s="59">
        <v>202.11</v>
      </c>
      <c r="C120" s="3">
        <v>206.33</v>
      </c>
      <c r="D120" s="297">
        <v>228.42</v>
      </c>
      <c r="E120" s="298">
        <v>232.64</v>
      </c>
      <c r="F120" s="298">
        <v>236.86</v>
      </c>
      <c r="G120" s="298">
        <v>241.08</v>
      </c>
      <c r="H120" s="299">
        <v>245.31</v>
      </c>
      <c r="I120" s="293">
        <v>249.53</v>
      </c>
      <c r="J120" s="293">
        <v>253.75</v>
      </c>
      <c r="K120" s="293">
        <v>257.97000000000003</v>
      </c>
      <c r="L120" s="293">
        <v>262.2</v>
      </c>
      <c r="M120" s="293">
        <v>266.42</v>
      </c>
      <c r="N120" s="293">
        <v>270.64</v>
      </c>
      <c r="O120" s="237">
        <v>257</v>
      </c>
      <c r="P120" s="237">
        <v>261.22000000000003</v>
      </c>
      <c r="Q120" s="237">
        <v>265.44</v>
      </c>
      <c r="R120" s="237">
        <v>269.67</v>
      </c>
      <c r="S120" s="237">
        <v>193.66</v>
      </c>
      <c r="T120" s="237">
        <v>189.44</v>
      </c>
      <c r="U120" s="237">
        <v>185.22</v>
      </c>
      <c r="V120" s="237">
        <v>181</v>
      </c>
      <c r="W120" s="237">
        <v>176.77</v>
      </c>
      <c r="X120" s="51">
        <v>116</v>
      </c>
      <c r="Y120" s="237">
        <v>121.7</v>
      </c>
      <c r="Z120" s="237">
        <v>134.68</v>
      </c>
      <c r="AA120" s="2">
        <v>127.66</v>
      </c>
      <c r="AB120" s="59">
        <v>130.63999999999999</v>
      </c>
      <c r="AC120" s="3">
        <v>133.62</v>
      </c>
      <c r="AD120" s="297">
        <v>148.72</v>
      </c>
      <c r="AE120" s="298">
        <v>151.69999999999999</v>
      </c>
      <c r="AF120" s="298">
        <v>154.68</v>
      </c>
      <c r="AG120" s="310">
        <v>157.66</v>
      </c>
      <c r="AH120" s="299">
        <v>160.65</v>
      </c>
      <c r="AI120" s="293">
        <v>163.63</v>
      </c>
      <c r="AJ120" s="293">
        <v>166.61</v>
      </c>
      <c r="AK120" s="293">
        <v>169.59</v>
      </c>
      <c r="AL120" s="293">
        <v>172.57</v>
      </c>
      <c r="AM120" s="293">
        <v>175.55</v>
      </c>
      <c r="AN120" s="293">
        <v>178.53</v>
      </c>
      <c r="AO120" s="237">
        <v>169.4</v>
      </c>
      <c r="AP120" s="237">
        <v>172.38</v>
      </c>
      <c r="AQ120" s="237">
        <v>175.36</v>
      </c>
      <c r="AR120" s="237">
        <v>178.34</v>
      </c>
      <c r="AS120" s="237">
        <v>134.68</v>
      </c>
      <c r="AT120" s="237">
        <v>121.7</v>
      </c>
      <c r="AU120" s="237">
        <v>118.72</v>
      </c>
      <c r="AV120" s="237">
        <v>115.74</v>
      </c>
      <c r="AW120" s="237">
        <v>112.76</v>
      </c>
    </row>
    <row r="121" spans="1:49">
      <c r="A121" s="2">
        <v>199.6</v>
      </c>
      <c r="B121" s="59">
        <v>203.85</v>
      </c>
      <c r="C121" s="3">
        <v>208.11</v>
      </c>
      <c r="D121" s="297">
        <v>230.39</v>
      </c>
      <c r="E121" s="298">
        <v>234.65</v>
      </c>
      <c r="F121" s="298">
        <v>238.91</v>
      </c>
      <c r="G121" s="298">
        <v>243.17</v>
      </c>
      <c r="H121" s="299">
        <v>247.43</v>
      </c>
      <c r="I121" s="293">
        <v>251.68</v>
      </c>
      <c r="J121" s="293">
        <v>255.94</v>
      </c>
      <c r="K121" s="293">
        <v>260.2</v>
      </c>
      <c r="L121" s="293">
        <v>264.45999999999998</v>
      </c>
      <c r="M121" s="293">
        <v>268.72000000000003</v>
      </c>
      <c r="N121" s="293">
        <v>272.98</v>
      </c>
      <c r="O121" s="237">
        <v>259.22000000000003</v>
      </c>
      <c r="P121" s="237">
        <v>263.48</v>
      </c>
      <c r="Q121" s="237">
        <v>267.74</v>
      </c>
      <c r="R121" s="237">
        <v>271.99</v>
      </c>
      <c r="S121" s="237">
        <v>195.34</v>
      </c>
      <c r="T121" s="237">
        <v>191.08</v>
      </c>
      <c r="U121" s="237">
        <v>186.82</v>
      </c>
      <c r="V121" s="237">
        <v>182.56</v>
      </c>
      <c r="W121" s="237">
        <v>178.3</v>
      </c>
      <c r="X121" s="51">
        <v>117</v>
      </c>
      <c r="Y121" s="237">
        <v>122.75</v>
      </c>
      <c r="Z121" s="237">
        <v>125.76</v>
      </c>
      <c r="AA121" s="2">
        <v>128.77000000000001</v>
      </c>
      <c r="AB121" s="59">
        <v>131.77000000000001</v>
      </c>
      <c r="AC121" s="3">
        <v>134.78</v>
      </c>
      <c r="AD121" s="297">
        <v>150.01</v>
      </c>
      <c r="AE121" s="298">
        <v>153.01</v>
      </c>
      <c r="AF121" s="298">
        <v>156.02000000000001</v>
      </c>
      <c r="AG121" s="310">
        <v>159.03</v>
      </c>
      <c r="AH121" s="299">
        <v>162.03</v>
      </c>
      <c r="AI121" s="293">
        <v>165.04</v>
      </c>
      <c r="AJ121" s="293">
        <v>168.05</v>
      </c>
      <c r="AK121" s="293">
        <v>171.06</v>
      </c>
      <c r="AL121" s="293">
        <v>174.06</v>
      </c>
      <c r="AM121" s="293">
        <v>177.07</v>
      </c>
      <c r="AN121" s="293">
        <v>180.08</v>
      </c>
      <c r="AO121" s="237">
        <v>170.86</v>
      </c>
      <c r="AP121" s="237">
        <v>173.87</v>
      </c>
      <c r="AQ121" s="237">
        <v>176.88</v>
      </c>
      <c r="AR121" s="237">
        <v>179.88</v>
      </c>
      <c r="AS121" s="237">
        <v>125.76</v>
      </c>
      <c r="AT121" s="237">
        <v>122.75</v>
      </c>
      <c r="AU121" s="237">
        <v>119.74</v>
      </c>
      <c r="AV121" s="237">
        <v>116.74</v>
      </c>
      <c r="AW121" s="237">
        <v>113.73</v>
      </c>
    </row>
    <row r="122" spans="1:49">
      <c r="A122" s="2">
        <v>201.31</v>
      </c>
      <c r="B122" s="59">
        <v>205.6</v>
      </c>
      <c r="C122" s="3">
        <v>209.9</v>
      </c>
      <c r="D122" s="297">
        <v>232.37</v>
      </c>
      <c r="E122" s="298">
        <v>236.67</v>
      </c>
      <c r="F122" s="298">
        <v>240.96</v>
      </c>
      <c r="G122" s="298">
        <v>245.26</v>
      </c>
      <c r="H122" s="299">
        <v>249.55</v>
      </c>
      <c r="I122" s="293">
        <v>253.85</v>
      </c>
      <c r="J122" s="293">
        <v>258.14</v>
      </c>
      <c r="K122" s="293">
        <v>262.44</v>
      </c>
      <c r="L122" s="293">
        <v>266.73</v>
      </c>
      <c r="M122" s="293">
        <v>271.02999999999997</v>
      </c>
      <c r="N122" s="293">
        <v>275.32</v>
      </c>
      <c r="O122" s="237">
        <v>261.44</v>
      </c>
      <c r="P122" s="237">
        <v>265.74</v>
      </c>
      <c r="Q122" s="237">
        <v>270.02999999999997</v>
      </c>
      <c r="R122" s="237">
        <v>274.33</v>
      </c>
      <c r="S122" s="237">
        <v>197.01</v>
      </c>
      <c r="T122" s="237">
        <v>192.72</v>
      </c>
      <c r="U122" s="237">
        <v>188.42</v>
      </c>
      <c r="V122" s="237">
        <v>184.13</v>
      </c>
      <c r="W122" s="237">
        <v>179.83</v>
      </c>
      <c r="X122" s="51">
        <v>118</v>
      </c>
      <c r="Y122" s="237">
        <v>123.8</v>
      </c>
      <c r="Z122" s="237">
        <v>126.84</v>
      </c>
      <c r="AA122" s="2">
        <v>129.87</v>
      </c>
      <c r="AB122" s="59">
        <v>132.9</v>
      </c>
      <c r="AC122" s="3">
        <v>135.93</v>
      </c>
      <c r="AD122" s="297">
        <v>151.29</v>
      </c>
      <c r="AE122" s="298">
        <v>154.33000000000001</v>
      </c>
      <c r="AF122" s="298">
        <v>157.36000000000001</v>
      </c>
      <c r="AG122" s="310">
        <v>160.38999999999999</v>
      </c>
      <c r="AH122" s="299">
        <v>163.41999999999999</v>
      </c>
      <c r="AI122" s="293">
        <v>166.46</v>
      </c>
      <c r="AJ122" s="293">
        <v>169.49</v>
      </c>
      <c r="AK122" s="293">
        <v>172.52</v>
      </c>
      <c r="AL122" s="293">
        <v>175.56</v>
      </c>
      <c r="AM122" s="293">
        <v>178.59</v>
      </c>
      <c r="AN122" s="293">
        <v>181.62</v>
      </c>
      <c r="AO122" s="237">
        <v>172.33</v>
      </c>
      <c r="AP122" s="237">
        <v>175.36</v>
      </c>
      <c r="AQ122" s="237">
        <v>178.39</v>
      </c>
      <c r="AR122" s="237">
        <v>181.42</v>
      </c>
      <c r="AS122" s="237">
        <v>126.84</v>
      </c>
      <c r="AT122" s="237">
        <v>123.8</v>
      </c>
      <c r="AU122" s="237">
        <v>120.77</v>
      </c>
      <c r="AV122" s="237">
        <v>117.74</v>
      </c>
      <c r="AW122" s="237">
        <v>114.71</v>
      </c>
    </row>
    <row r="123" spans="1:49">
      <c r="A123" s="2">
        <v>203.03</v>
      </c>
      <c r="B123" s="59">
        <v>207.36</v>
      </c>
      <c r="C123" s="3">
        <v>211.69</v>
      </c>
      <c r="D123" s="297">
        <v>234.36</v>
      </c>
      <c r="E123" s="298">
        <v>238.69</v>
      </c>
      <c r="F123" s="298">
        <v>243.02</v>
      </c>
      <c r="G123" s="298">
        <v>247.35</v>
      </c>
      <c r="H123" s="299">
        <v>251.68</v>
      </c>
      <c r="I123" s="293">
        <v>256.01</v>
      </c>
      <c r="J123" s="293">
        <v>260.35000000000002</v>
      </c>
      <c r="K123" s="293">
        <v>264.68</v>
      </c>
      <c r="L123" s="293">
        <v>269.01</v>
      </c>
      <c r="M123" s="293">
        <v>273.54000000000002</v>
      </c>
      <c r="N123" s="293">
        <v>277.67</v>
      </c>
      <c r="O123" s="237">
        <v>263.67</v>
      </c>
      <c r="P123" s="237">
        <v>268</v>
      </c>
      <c r="Q123" s="237">
        <v>272.33</v>
      </c>
      <c r="R123" s="237">
        <v>276.67</v>
      </c>
      <c r="S123" s="237">
        <v>198.7</v>
      </c>
      <c r="T123" s="237">
        <v>194.36</v>
      </c>
      <c r="U123" s="237">
        <v>190.03</v>
      </c>
      <c r="V123" s="237">
        <v>185.7</v>
      </c>
      <c r="W123" s="237">
        <v>181.37</v>
      </c>
      <c r="X123" s="51">
        <v>119</v>
      </c>
      <c r="Y123" s="237">
        <v>124.86</v>
      </c>
      <c r="Z123" s="237">
        <v>127.92</v>
      </c>
      <c r="AA123" s="2">
        <v>130.97999999999999</v>
      </c>
      <c r="AB123" s="59">
        <v>134.03</v>
      </c>
      <c r="AC123" s="3">
        <v>137.09</v>
      </c>
      <c r="AD123" s="297">
        <v>152.58000000000001</v>
      </c>
      <c r="AE123" s="298">
        <v>155.63999999999999</v>
      </c>
      <c r="AF123" s="298">
        <v>158.69999999999999</v>
      </c>
      <c r="AG123" s="310">
        <v>161.76</v>
      </c>
      <c r="AH123" s="299">
        <v>164.72</v>
      </c>
      <c r="AI123" s="293">
        <v>167.88</v>
      </c>
      <c r="AJ123" s="293">
        <v>170.93</v>
      </c>
      <c r="AK123" s="293">
        <v>173.99</v>
      </c>
      <c r="AL123" s="293">
        <v>177.05</v>
      </c>
      <c r="AM123" s="293">
        <v>180.11</v>
      </c>
      <c r="AN123" s="293">
        <v>183.17</v>
      </c>
      <c r="AO123" s="237">
        <v>173.79</v>
      </c>
      <c r="AP123" s="237">
        <v>176.85</v>
      </c>
      <c r="AQ123" s="237">
        <v>179.91</v>
      </c>
      <c r="AR123" s="237">
        <v>182.97</v>
      </c>
      <c r="AS123" s="237">
        <v>127.92</v>
      </c>
      <c r="AT123" s="237">
        <v>124.86</v>
      </c>
      <c r="AU123" s="237">
        <v>121.8</v>
      </c>
      <c r="AV123" s="237">
        <v>118.74</v>
      </c>
      <c r="AW123" s="237">
        <v>115.68</v>
      </c>
    </row>
    <row r="124" spans="1:49">
      <c r="A124" s="2">
        <v>204.75</v>
      </c>
      <c r="B124" s="59">
        <v>209.12</v>
      </c>
      <c r="C124" s="3">
        <v>213.49</v>
      </c>
      <c r="D124" s="297">
        <v>236.35</v>
      </c>
      <c r="E124" s="298">
        <v>240.72</v>
      </c>
      <c r="F124" s="298">
        <v>245.08</v>
      </c>
      <c r="G124" s="298">
        <v>249.45</v>
      </c>
      <c r="H124" s="299">
        <v>253.82</v>
      </c>
      <c r="I124" s="293">
        <v>258.19</v>
      </c>
      <c r="J124" s="293">
        <v>262.56</v>
      </c>
      <c r="K124" s="293">
        <v>266.92</v>
      </c>
      <c r="L124" s="293">
        <v>271.29000000000002</v>
      </c>
      <c r="M124" s="293">
        <v>275.66000000000003</v>
      </c>
      <c r="N124" s="293">
        <v>280.02999999999997</v>
      </c>
      <c r="O124" s="237">
        <v>265.89999999999998</v>
      </c>
      <c r="P124" s="237">
        <v>270.27</v>
      </c>
      <c r="Q124" s="237">
        <v>274.64</v>
      </c>
      <c r="R124" s="237">
        <v>279.01</v>
      </c>
      <c r="S124" s="237">
        <v>200.38</v>
      </c>
      <c r="T124" s="237">
        <v>196.02</v>
      </c>
      <c r="U124" s="237">
        <v>191.65</v>
      </c>
      <c r="V124" s="237">
        <v>187.28</v>
      </c>
      <c r="W124" s="237">
        <v>182.91</v>
      </c>
      <c r="X124" s="51">
        <v>120</v>
      </c>
      <c r="Y124" s="237">
        <v>125.87</v>
      </c>
      <c r="Z124" s="237">
        <v>128.96</v>
      </c>
      <c r="AA124" s="2">
        <v>132.04</v>
      </c>
      <c r="AB124" s="59">
        <v>135.13</v>
      </c>
      <c r="AC124" s="3">
        <v>138.21</v>
      </c>
      <c r="AD124" s="297">
        <v>153.82</v>
      </c>
      <c r="AE124" s="298">
        <v>156.9</v>
      </c>
      <c r="AF124" s="298">
        <v>159.99</v>
      </c>
      <c r="AG124" s="310">
        <v>163.07</v>
      </c>
      <c r="AH124" s="299">
        <v>166.16</v>
      </c>
      <c r="AI124" s="293">
        <v>169.24</v>
      </c>
      <c r="AJ124" s="293">
        <v>172.32</v>
      </c>
      <c r="AK124" s="293">
        <v>175.41</v>
      </c>
      <c r="AL124" s="293">
        <v>178.49</v>
      </c>
      <c r="AM124" s="293">
        <v>181.58</v>
      </c>
      <c r="AN124" s="293">
        <v>184.66</v>
      </c>
      <c r="AO124" s="237">
        <v>175.22</v>
      </c>
      <c r="AP124" s="237">
        <v>178.3</v>
      </c>
      <c r="AQ124" s="237">
        <v>181.39</v>
      </c>
      <c r="AR124" s="237">
        <v>184.47</v>
      </c>
      <c r="AS124" s="237">
        <v>128.96</v>
      </c>
      <c r="AT124" s="237">
        <v>125.87</v>
      </c>
      <c r="AU124" s="237">
        <v>122.79</v>
      </c>
      <c r="AV124" s="237">
        <v>119.71</v>
      </c>
      <c r="AW124" s="237">
        <v>116.62</v>
      </c>
    </row>
    <row r="125" spans="1:49">
      <c r="A125" s="2">
        <v>206.34</v>
      </c>
      <c r="B125" s="59">
        <v>210.74</v>
      </c>
      <c r="C125" s="3">
        <v>215.15</v>
      </c>
      <c r="D125" s="297">
        <v>238.16</v>
      </c>
      <c r="E125" s="298">
        <v>242.57</v>
      </c>
      <c r="F125" s="298">
        <v>246.97</v>
      </c>
      <c r="G125" s="298">
        <v>251.38</v>
      </c>
      <c r="H125" s="299">
        <v>255.78</v>
      </c>
      <c r="I125" s="293">
        <v>260.18</v>
      </c>
      <c r="J125" s="293">
        <v>264.58999999999997</v>
      </c>
      <c r="K125" s="293">
        <v>268.99</v>
      </c>
      <c r="L125" s="293">
        <v>273.39999999999998</v>
      </c>
      <c r="M125" s="293">
        <v>277.8</v>
      </c>
      <c r="N125" s="293">
        <v>282.20999999999998</v>
      </c>
      <c r="O125" s="237">
        <v>268</v>
      </c>
      <c r="P125" s="237">
        <v>272.39999999999998</v>
      </c>
      <c r="Q125" s="237">
        <v>276.81</v>
      </c>
      <c r="R125" s="237">
        <v>281.20999999999998</v>
      </c>
      <c r="S125" s="237">
        <v>201.93</v>
      </c>
      <c r="T125" s="237">
        <v>197.53</v>
      </c>
      <c r="U125" s="237">
        <v>193.12</v>
      </c>
      <c r="V125" s="237">
        <v>188.72</v>
      </c>
      <c r="W125" s="237">
        <v>184.31</v>
      </c>
      <c r="X125" s="51">
        <v>121</v>
      </c>
      <c r="Y125" s="237">
        <v>126.93</v>
      </c>
      <c r="Z125" s="237">
        <v>130.04</v>
      </c>
      <c r="AA125" s="2">
        <v>133.15</v>
      </c>
      <c r="AB125" s="59">
        <v>136.26</v>
      </c>
      <c r="AC125" s="3">
        <v>139.37</v>
      </c>
      <c r="AD125" s="297">
        <v>155.11000000000001</v>
      </c>
      <c r="AE125" s="298">
        <v>158.22</v>
      </c>
      <c r="AF125" s="298">
        <v>161.33000000000001</v>
      </c>
      <c r="AG125" s="310">
        <v>164.44</v>
      </c>
      <c r="AH125" s="299">
        <v>167.55</v>
      </c>
      <c r="AI125" s="293">
        <v>170.66</v>
      </c>
      <c r="AJ125" s="293">
        <v>173.77</v>
      </c>
      <c r="AK125" s="293">
        <v>176.88</v>
      </c>
      <c r="AL125" s="293">
        <v>179.99</v>
      </c>
      <c r="AM125" s="293">
        <v>183.1</v>
      </c>
      <c r="AN125" s="293">
        <v>186.21</v>
      </c>
      <c r="AO125" s="237">
        <v>176.69</v>
      </c>
      <c r="AP125" s="237">
        <v>179.8</v>
      </c>
      <c r="AQ125" s="237">
        <v>182.91</v>
      </c>
      <c r="AR125" s="237">
        <v>186.02</v>
      </c>
      <c r="AS125" s="237">
        <v>130.04</v>
      </c>
      <c r="AT125" s="237">
        <v>126.93</v>
      </c>
      <c r="AU125" s="237">
        <v>123.82</v>
      </c>
      <c r="AV125" s="237">
        <v>120.71</v>
      </c>
      <c r="AW125" s="237">
        <v>117.6</v>
      </c>
    </row>
    <row r="126" spans="1:49">
      <c r="A126" s="2">
        <v>208.07</v>
      </c>
      <c r="B126" s="59">
        <v>212.51</v>
      </c>
      <c r="C126" s="3">
        <v>216.95</v>
      </c>
      <c r="D126" s="297">
        <v>240.16</v>
      </c>
      <c r="E126" s="298">
        <v>244.6</v>
      </c>
      <c r="F126" s="298">
        <v>249.05</v>
      </c>
      <c r="G126" s="298">
        <v>253.49</v>
      </c>
      <c r="H126" s="299">
        <v>257.93</v>
      </c>
      <c r="I126" s="293">
        <v>262.37</v>
      </c>
      <c r="J126" s="293">
        <v>266.81</v>
      </c>
      <c r="K126" s="293">
        <v>271.25</v>
      </c>
      <c r="L126" s="293">
        <v>275.69</v>
      </c>
      <c r="M126" s="293">
        <v>280.13</v>
      </c>
      <c r="N126" s="293">
        <v>284.57</v>
      </c>
      <c r="O126" s="237">
        <v>270.24</v>
      </c>
      <c r="P126" s="237">
        <v>274.68</v>
      </c>
      <c r="Q126" s="237">
        <v>279.12</v>
      </c>
      <c r="R126" s="237">
        <v>283.56</v>
      </c>
      <c r="S126" s="237">
        <v>203.63</v>
      </c>
      <c r="T126" s="237">
        <v>199.19</v>
      </c>
      <c r="U126" s="237">
        <v>194.75</v>
      </c>
      <c r="V126" s="237">
        <v>190.31</v>
      </c>
      <c r="W126" s="237">
        <v>185.86</v>
      </c>
      <c r="X126" s="51">
        <v>122</v>
      </c>
      <c r="Y126" s="237">
        <v>127.99</v>
      </c>
      <c r="Z126" s="237">
        <v>131.13</v>
      </c>
      <c r="AA126" s="2">
        <v>134.26</v>
      </c>
      <c r="AB126" s="59">
        <v>137.4</v>
      </c>
      <c r="AC126" s="3">
        <v>140.53</v>
      </c>
      <c r="AD126" s="297">
        <v>156.41</v>
      </c>
      <c r="AE126" s="298">
        <v>159.54</v>
      </c>
      <c r="AF126" s="298">
        <v>162.68</v>
      </c>
      <c r="AG126" s="310">
        <v>165.81</v>
      </c>
      <c r="AH126" s="299">
        <v>168.95</v>
      </c>
      <c r="AI126" s="293">
        <v>172.08</v>
      </c>
      <c r="AJ126" s="293">
        <v>175.22</v>
      </c>
      <c r="AK126" s="293">
        <v>178.35</v>
      </c>
      <c r="AL126" s="293">
        <v>181.49</v>
      </c>
      <c r="AM126" s="293">
        <v>184.63</v>
      </c>
      <c r="AN126" s="293">
        <v>187.76</v>
      </c>
      <c r="AO126" s="237">
        <v>178.16</v>
      </c>
      <c r="AP126" s="237">
        <v>181.29</v>
      </c>
      <c r="AQ126" s="237">
        <v>184.43</v>
      </c>
      <c r="AR126" s="237">
        <v>187.56</v>
      </c>
      <c r="AS126" s="237">
        <v>131.13</v>
      </c>
      <c r="AT126" s="237">
        <v>127.99</v>
      </c>
      <c r="AU126" s="237">
        <v>124.85</v>
      </c>
      <c r="AV126" s="237">
        <v>121.72</v>
      </c>
      <c r="AW126" s="237">
        <v>118.58</v>
      </c>
    </row>
    <row r="127" spans="1:49">
      <c r="A127" s="2">
        <v>209.81</v>
      </c>
      <c r="B127" s="59">
        <v>214.28</v>
      </c>
      <c r="C127" s="3">
        <v>218.76</v>
      </c>
      <c r="D127" s="297">
        <v>242.17</v>
      </c>
      <c r="E127" s="298">
        <v>246.65</v>
      </c>
      <c r="F127" s="298" t="s">
        <v>334</v>
      </c>
      <c r="G127" s="298">
        <v>255.6</v>
      </c>
      <c r="H127" s="299">
        <v>260.08</v>
      </c>
      <c r="I127" s="293">
        <v>264.56</v>
      </c>
      <c r="J127" s="293">
        <v>269.04000000000002</v>
      </c>
      <c r="K127" s="293">
        <v>273.51</v>
      </c>
      <c r="L127" s="293">
        <v>277.99</v>
      </c>
      <c r="M127" s="293">
        <v>282.47000000000003</v>
      </c>
      <c r="N127" s="293">
        <v>286.94</v>
      </c>
      <c r="O127" s="237">
        <v>272.49</v>
      </c>
      <c r="P127" s="237">
        <v>276.95999999999998</v>
      </c>
      <c r="Q127" s="237">
        <v>281.44</v>
      </c>
      <c r="R127" s="237">
        <v>285.92</v>
      </c>
      <c r="S127" s="237">
        <v>205.33</v>
      </c>
      <c r="T127" s="237">
        <v>200.85</v>
      </c>
      <c r="U127" s="237">
        <v>196.37</v>
      </c>
      <c r="V127" s="237">
        <v>191.9</v>
      </c>
      <c r="W127" s="237">
        <v>187.42</v>
      </c>
      <c r="X127" s="51">
        <v>123</v>
      </c>
      <c r="Y127" s="237">
        <v>129.01</v>
      </c>
      <c r="Z127" s="237">
        <v>132.16999999999999</v>
      </c>
      <c r="AA127" s="2">
        <v>135.33000000000001</v>
      </c>
      <c r="AB127" s="59">
        <v>138.49</v>
      </c>
      <c r="AC127" s="3">
        <v>141.65</v>
      </c>
      <c r="AD127" s="297">
        <v>157.63999999999999</v>
      </c>
      <c r="AE127" s="298">
        <v>160.81</v>
      </c>
      <c r="AF127" s="298">
        <v>163.97</v>
      </c>
      <c r="AG127" s="310">
        <v>167.13</v>
      </c>
      <c r="AH127" s="299">
        <v>170.29</v>
      </c>
      <c r="AI127" s="293">
        <v>173.45</v>
      </c>
      <c r="AJ127" s="293">
        <v>176.61</v>
      </c>
      <c r="AK127" s="293">
        <v>179.77</v>
      </c>
      <c r="AL127" s="293">
        <v>182.93</v>
      </c>
      <c r="AM127" s="293">
        <v>186.09</v>
      </c>
      <c r="AN127" s="293">
        <v>189.26</v>
      </c>
      <c r="AO127" s="237">
        <v>179.58</v>
      </c>
      <c r="AP127" s="237">
        <v>182.75</v>
      </c>
      <c r="AQ127" s="237">
        <v>185.91</v>
      </c>
      <c r="AR127" s="237">
        <v>189.07</v>
      </c>
      <c r="AS127" s="237">
        <v>132.16999999999999</v>
      </c>
      <c r="AT127" s="237">
        <v>129.01</v>
      </c>
      <c r="AU127" s="237">
        <v>125.85</v>
      </c>
      <c r="AV127" s="237">
        <v>122.68</v>
      </c>
      <c r="AW127" s="237">
        <v>119.52</v>
      </c>
    </row>
    <row r="128" spans="1:49">
      <c r="A128" s="2">
        <v>211.55</v>
      </c>
      <c r="B128" s="59">
        <v>216.06</v>
      </c>
      <c r="C128" s="3">
        <v>220.57</v>
      </c>
      <c r="D128" s="297">
        <v>244.19</v>
      </c>
      <c r="E128" s="298">
        <v>248.7</v>
      </c>
      <c r="F128" s="298">
        <v>253.22</v>
      </c>
      <c r="G128" s="298">
        <v>257.73</v>
      </c>
      <c r="H128" s="299">
        <v>262.24</v>
      </c>
      <c r="I128" s="293">
        <v>266.76</v>
      </c>
      <c r="J128" s="293">
        <v>271.27</v>
      </c>
      <c r="K128" s="293">
        <v>275.77999999999997</v>
      </c>
      <c r="L128" s="293">
        <v>280.3</v>
      </c>
      <c r="M128" s="293">
        <v>284.81</v>
      </c>
      <c r="N128" s="293">
        <v>289.32</v>
      </c>
      <c r="O128" s="237">
        <v>274.74</v>
      </c>
      <c r="P128" s="237">
        <v>279.25</v>
      </c>
      <c r="Q128" s="237">
        <v>283.77</v>
      </c>
      <c r="R128" s="237">
        <v>288.27999999999997</v>
      </c>
      <c r="S128" s="237">
        <v>207.03</v>
      </c>
      <c r="T128" s="237">
        <v>202.52</v>
      </c>
      <c r="U128" s="237">
        <v>198.01</v>
      </c>
      <c r="V128" s="237">
        <v>193.49</v>
      </c>
      <c r="W128" s="237">
        <v>188.98</v>
      </c>
      <c r="X128" s="51">
        <v>124</v>
      </c>
      <c r="Y128" s="237">
        <v>130.07</v>
      </c>
      <c r="Z128" s="237">
        <v>133.25</v>
      </c>
      <c r="AA128" s="2">
        <v>136.44</v>
      </c>
      <c r="AB128" s="59">
        <v>139.63</v>
      </c>
      <c r="AC128" s="3">
        <v>142.81</v>
      </c>
      <c r="AD128" s="297">
        <v>158.94</v>
      </c>
      <c r="AE128" s="298">
        <v>162.13</v>
      </c>
      <c r="AF128" s="298">
        <v>165.32</v>
      </c>
      <c r="AG128" s="310">
        <v>168.5</v>
      </c>
      <c r="AH128" s="299">
        <v>171.69</v>
      </c>
      <c r="AI128" s="293">
        <v>174.88</v>
      </c>
      <c r="AJ128" s="293">
        <v>178.06</v>
      </c>
      <c r="AK128" s="293">
        <v>181.25</v>
      </c>
      <c r="AL128" s="293">
        <v>184.44</v>
      </c>
      <c r="AM128" s="293">
        <v>187.62</v>
      </c>
      <c r="AN128" s="293">
        <v>190.81</v>
      </c>
      <c r="AO128" s="237">
        <v>181.06</v>
      </c>
      <c r="AP128" s="237">
        <v>184.24</v>
      </c>
      <c r="AQ128" s="237">
        <v>187.43</v>
      </c>
      <c r="AR128" s="237">
        <v>190.62</v>
      </c>
      <c r="AS128" s="237">
        <v>133.25</v>
      </c>
      <c r="AT128" s="237">
        <v>130.07</v>
      </c>
      <c r="AU128" s="237">
        <v>126.88</v>
      </c>
      <c r="AV128" s="237">
        <v>123.69</v>
      </c>
      <c r="AW128" s="237">
        <v>120.51</v>
      </c>
    </row>
    <row r="129" spans="1:49">
      <c r="A129" s="2">
        <v>213.14</v>
      </c>
      <c r="B129" s="59">
        <v>217.69</v>
      </c>
      <c r="C129" s="3">
        <v>222.24</v>
      </c>
      <c r="D129" s="297">
        <v>246.01</v>
      </c>
      <c r="E129" s="298">
        <v>250.56</v>
      </c>
      <c r="F129" s="298">
        <v>255.11</v>
      </c>
      <c r="G129" s="298">
        <v>259.66000000000003</v>
      </c>
      <c r="H129" s="299">
        <v>264.20999999999998</v>
      </c>
      <c r="I129" s="293">
        <v>268.76</v>
      </c>
      <c r="J129" s="293">
        <v>273.31</v>
      </c>
      <c r="K129" s="293">
        <v>277.86</v>
      </c>
      <c r="L129" s="293">
        <v>282.41000000000003</v>
      </c>
      <c r="M129" s="293">
        <v>286.95999999999998</v>
      </c>
      <c r="N129" s="293">
        <v>291.51</v>
      </c>
      <c r="O129" s="237">
        <v>276.83999999999997</v>
      </c>
      <c r="P129" s="237">
        <v>281.39</v>
      </c>
      <c r="Q129" s="237">
        <v>285.94</v>
      </c>
      <c r="R129" s="237">
        <v>290.49</v>
      </c>
      <c r="S129" s="237">
        <v>208.59</v>
      </c>
      <c r="T129" s="237">
        <v>204.04</v>
      </c>
      <c r="U129" s="237">
        <v>199.49</v>
      </c>
      <c r="V129" s="237">
        <v>194.94</v>
      </c>
      <c r="W129" s="237">
        <v>190.39</v>
      </c>
      <c r="X129" s="51">
        <v>125</v>
      </c>
      <c r="Y129" s="237">
        <v>131.13</v>
      </c>
      <c r="Z129" s="237">
        <v>134.34</v>
      </c>
      <c r="AA129" s="2">
        <v>137.55000000000001</v>
      </c>
      <c r="AB129" s="59">
        <v>140.77000000000001</v>
      </c>
      <c r="AC129" s="3">
        <v>143.97999999999999</v>
      </c>
      <c r="AD129" s="297">
        <v>160.24</v>
      </c>
      <c r="AE129" s="298">
        <v>163.46</v>
      </c>
      <c r="AF129" s="298">
        <v>166.67</v>
      </c>
      <c r="AG129" s="310">
        <v>169.88</v>
      </c>
      <c r="AH129" s="299">
        <v>173.09</v>
      </c>
      <c r="AI129" s="293">
        <v>176.31</v>
      </c>
      <c r="AJ129" s="293">
        <v>179.52</v>
      </c>
      <c r="AK129" s="293">
        <v>182.73</v>
      </c>
      <c r="AL129" s="293">
        <v>185.94</v>
      </c>
      <c r="AM129" s="293">
        <v>189.16</v>
      </c>
      <c r="AN129" s="293">
        <v>192.37</v>
      </c>
      <c r="AO129" s="237">
        <v>182.53</v>
      </c>
      <c r="AP129" s="237">
        <v>185.74</v>
      </c>
      <c r="AQ129" s="237">
        <v>188.95</v>
      </c>
      <c r="AR129" s="237">
        <v>192.17</v>
      </c>
      <c r="AS129" s="237">
        <v>134.34</v>
      </c>
      <c r="AT129" s="237">
        <v>131.13</v>
      </c>
      <c r="AU129" s="237">
        <v>127.92</v>
      </c>
      <c r="AV129" s="237">
        <v>124.7</v>
      </c>
      <c r="AW129" s="237">
        <v>121.49</v>
      </c>
    </row>
    <row r="130" spans="1:49">
      <c r="A130" s="2">
        <v>214.89</v>
      </c>
      <c r="B130" s="59">
        <v>219.48</v>
      </c>
      <c r="C130" s="3">
        <v>224.07</v>
      </c>
      <c r="D130" s="297">
        <v>248.04</v>
      </c>
      <c r="E130" s="298">
        <v>252.63</v>
      </c>
      <c r="F130" s="298">
        <v>257.20999999999998</v>
      </c>
      <c r="G130" s="298">
        <v>261.8</v>
      </c>
      <c r="H130" s="299">
        <v>266.39</v>
      </c>
      <c r="I130" s="293">
        <v>270.97000000000003</v>
      </c>
      <c r="J130" s="293">
        <v>275.56</v>
      </c>
      <c r="K130" s="293">
        <v>280.14999999999998</v>
      </c>
      <c r="L130" s="293">
        <v>284.73</v>
      </c>
      <c r="M130" s="293">
        <v>289.32</v>
      </c>
      <c r="N130" s="293">
        <v>293.91000000000003</v>
      </c>
      <c r="O130" s="237">
        <v>279.10000000000002</v>
      </c>
      <c r="P130" s="237">
        <v>283.69</v>
      </c>
      <c r="Q130" s="237">
        <v>288.27999999999997</v>
      </c>
      <c r="R130" s="237">
        <v>292.86</v>
      </c>
      <c r="S130" s="237">
        <v>210.31</v>
      </c>
      <c r="T130" s="237">
        <v>205.72</v>
      </c>
      <c r="U130" s="237">
        <v>201.13</v>
      </c>
      <c r="V130" s="237">
        <v>196.55</v>
      </c>
      <c r="W130" s="237">
        <v>191.96</v>
      </c>
      <c r="X130" s="51">
        <v>126</v>
      </c>
      <c r="Y130" s="237">
        <v>132.15</v>
      </c>
      <c r="Z130" s="237">
        <v>135.38999999999999</v>
      </c>
      <c r="AA130" s="2">
        <v>138.63</v>
      </c>
      <c r="AB130" s="59">
        <v>141.86000000000001</v>
      </c>
      <c r="AC130" s="3">
        <v>145.1</v>
      </c>
      <c r="AD130" s="297">
        <v>161.47999999999999</v>
      </c>
      <c r="AE130" s="298">
        <v>164.72</v>
      </c>
      <c r="AF130" s="298">
        <v>167.96</v>
      </c>
      <c r="AG130" s="310">
        <v>171.2</v>
      </c>
      <c r="AH130" s="299">
        <v>174.44</v>
      </c>
      <c r="AI130" s="293">
        <v>177.67</v>
      </c>
      <c r="AJ130" s="293">
        <v>180.91</v>
      </c>
      <c r="AK130" s="293">
        <v>184.15</v>
      </c>
      <c r="AL130" s="293">
        <v>187.39</v>
      </c>
      <c r="AM130" s="293">
        <v>190.63</v>
      </c>
      <c r="AN130" s="293">
        <v>193.87</v>
      </c>
      <c r="AO130" s="237">
        <v>183.96</v>
      </c>
      <c r="AP130" s="237">
        <v>187.2</v>
      </c>
      <c r="AQ130" s="237">
        <v>190.44</v>
      </c>
      <c r="AR130" s="237">
        <v>193.67</v>
      </c>
      <c r="AS130" s="237">
        <v>135.38999999999999</v>
      </c>
      <c r="AT130" s="237">
        <v>132.15</v>
      </c>
      <c r="AU130" s="237">
        <v>128.91</v>
      </c>
      <c r="AV130" s="237">
        <v>125.67</v>
      </c>
      <c r="AW130" s="237">
        <v>122.43</v>
      </c>
    </row>
    <row r="131" spans="1:49">
      <c r="A131" s="2">
        <v>216.65</v>
      </c>
      <c r="B131" s="59">
        <v>221.27</v>
      </c>
      <c r="C131" s="3">
        <v>225.9</v>
      </c>
      <c r="D131" s="297">
        <v>250.08</v>
      </c>
      <c r="E131" s="298">
        <v>254.7</v>
      </c>
      <c r="F131" s="298">
        <v>259.32</v>
      </c>
      <c r="G131" s="298">
        <v>263.94</v>
      </c>
      <c r="H131" s="299">
        <v>268.57</v>
      </c>
      <c r="I131" s="293">
        <v>273.19</v>
      </c>
      <c r="J131" s="293">
        <v>277.81</v>
      </c>
      <c r="K131" s="293">
        <v>282.44</v>
      </c>
      <c r="L131" s="293">
        <v>287.06</v>
      </c>
      <c r="M131" s="293">
        <v>291.68</v>
      </c>
      <c r="N131" s="293">
        <v>296.3</v>
      </c>
      <c r="O131" s="237">
        <v>281.37</v>
      </c>
      <c r="P131" s="237">
        <v>285.99</v>
      </c>
      <c r="Q131" s="237">
        <v>290.61</v>
      </c>
      <c r="R131" s="237">
        <v>295.24</v>
      </c>
      <c r="S131" s="237">
        <v>212.03</v>
      </c>
      <c r="T131" s="237">
        <v>207.4</v>
      </c>
      <c r="U131" s="237">
        <v>202.78</v>
      </c>
      <c r="V131" s="237">
        <v>198.16</v>
      </c>
      <c r="W131" s="237">
        <v>193.54</v>
      </c>
      <c r="X131" s="51">
        <v>127</v>
      </c>
      <c r="Y131" s="237">
        <v>133.21</v>
      </c>
      <c r="Z131" s="237">
        <v>136.47999999999999</v>
      </c>
      <c r="AA131" s="2">
        <v>139.74</v>
      </c>
      <c r="AB131" s="59">
        <v>143.01</v>
      </c>
      <c r="AC131" s="3">
        <v>146.27000000000001</v>
      </c>
      <c r="AD131" s="297">
        <v>162.79</v>
      </c>
      <c r="AE131" s="298">
        <v>166.05</v>
      </c>
      <c r="AF131" s="298">
        <v>169.32</v>
      </c>
      <c r="AG131" s="310">
        <v>172.58</v>
      </c>
      <c r="AH131" s="299">
        <v>175.84</v>
      </c>
      <c r="AI131" s="293">
        <v>179.11</v>
      </c>
      <c r="AJ131" s="293">
        <v>182.37</v>
      </c>
      <c r="AK131" s="293">
        <v>185.63</v>
      </c>
      <c r="AL131" s="293">
        <v>188.9</v>
      </c>
      <c r="AM131" s="293">
        <v>192.16</v>
      </c>
      <c r="AN131" s="293">
        <v>195.43</v>
      </c>
      <c r="AO131" s="237">
        <v>185.44</v>
      </c>
      <c r="AP131" s="237">
        <v>188.7</v>
      </c>
      <c r="AQ131" s="237">
        <v>191.96</v>
      </c>
      <c r="AR131" s="237">
        <v>195.23</v>
      </c>
      <c r="AS131" s="237">
        <v>136.47999999999999</v>
      </c>
      <c r="AT131" s="237">
        <v>133.21</v>
      </c>
      <c r="AU131" s="237">
        <v>129.94999999999999</v>
      </c>
      <c r="AV131" s="237">
        <v>126.69</v>
      </c>
      <c r="AW131" s="237">
        <v>123.42</v>
      </c>
    </row>
    <row r="132" spans="1:49">
      <c r="A132" s="2">
        <v>218.25</v>
      </c>
      <c r="B132" s="59">
        <v>222.91</v>
      </c>
      <c r="C132" s="3">
        <v>227.57</v>
      </c>
      <c r="D132" s="297">
        <v>251.91</v>
      </c>
      <c r="E132" s="298">
        <v>256.57</v>
      </c>
      <c r="F132" s="298">
        <v>261.23</v>
      </c>
      <c r="G132" s="298">
        <v>265.89</v>
      </c>
      <c r="H132" s="299">
        <v>270.55</v>
      </c>
      <c r="I132" s="293">
        <v>275.20999999999998</v>
      </c>
      <c r="J132" s="293">
        <v>279.87</v>
      </c>
      <c r="K132" s="293">
        <v>284.52999999999997</v>
      </c>
      <c r="L132" s="293">
        <v>289.18</v>
      </c>
      <c r="M132" s="293">
        <v>293.83999999999997</v>
      </c>
      <c r="N132" s="293">
        <v>298.5</v>
      </c>
      <c r="O132" s="237">
        <v>283.48</v>
      </c>
      <c r="P132" s="237">
        <v>288.14</v>
      </c>
      <c r="Q132" s="237">
        <v>292.8</v>
      </c>
      <c r="R132" s="237">
        <v>297.45999999999998</v>
      </c>
      <c r="S132" s="237">
        <v>213.59</v>
      </c>
      <c r="T132" s="237">
        <v>208.93</v>
      </c>
      <c r="U132" s="237">
        <v>204.27</v>
      </c>
      <c r="V132" s="237">
        <v>199.61</v>
      </c>
      <c r="W132" s="237">
        <v>196.54</v>
      </c>
      <c r="X132" s="51">
        <v>128</v>
      </c>
      <c r="Y132" s="237">
        <v>134.28</v>
      </c>
      <c r="Z132" s="237">
        <v>137.57</v>
      </c>
      <c r="AA132" s="2">
        <v>140.86000000000001</v>
      </c>
      <c r="AB132" s="59">
        <v>144.15</v>
      </c>
      <c r="AC132" s="3">
        <v>147.44</v>
      </c>
      <c r="AD132" s="297">
        <v>164.09</v>
      </c>
      <c r="AE132" s="298">
        <v>167.38</v>
      </c>
      <c r="AF132" s="298">
        <v>170.67</v>
      </c>
      <c r="AG132" s="310">
        <v>173.96</v>
      </c>
      <c r="AH132" s="299">
        <v>177.25</v>
      </c>
      <c r="AI132" s="293">
        <v>180.54</v>
      </c>
      <c r="AJ132" s="293">
        <v>183.83</v>
      </c>
      <c r="AK132" s="293">
        <v>187.12</v>
      </c>
      <c r="AL132" s="293">
        <v>190.41</v>
      </c>
      <c r="AM132" s="293">
        <v>193.7</v>
      </c>
      <c r="AN132" s="293">
        <v>196.99</v>
      </c>
      <c r="AO132" s="237">
        <v>186.91</v>
      </c>
      <c r="AP132" s="237">
        <v>190.2</v>
      </c>
      <c r="AQ132" s="237">
        <v>193.49</v>
      </c>
      <c r="AR132" s="237">
        <v>196.78</v>
      </c>
      <c r="AS132" s="237">
        <v>137.57</v>
      </c>
      <c r="AT132" s="237">
        <v>134.28</v>
      </c>
      <c r="AU132" s="237">
        <v>130.99</v>
      </c>
      <c r="AV132" s="237">
        <v>127.7</v>
      </c>
      <c r="AW132" s="237">
        <v>124.41</v>
      </c>
    </row>
    <row r="133" spans="1:49">
      <c r="A133" s="2">
        <v>220.02</v>
      </c>
      <c r="B133" s="59">
        <v>224.71</v>
      </c>
      <c r="C133" s="3">
        <v>229.41</v>
      </c>
      <c r="D133" s="297">
        <v>253.96</v>
      </c>
      <c r="E133" s="298">
        <v>258.64999999999998</v>
      </c>
      <c r="F133" s="298">
        <v>263.35000000000002</v>
      </c>
      <c r="G133" s="298">
        <v>268.04000000000002</v>
      </c>
      <c r="H133" s="299">
        <v>272.74</v>
      </c>
      <c r="I133" s="293">
        <v>277.43</v>
      </c>
      <c r="J133" s="293">
        <v>282.13</v>
      </c>
      <c r="K133" s="293">
        <v>286.83</v>
      </c>
      <c r="L133" s="293">
        <v>291.52</v>
      </c>
      <c r="M133" s="293">
        <v>296.22000000000003</v>
      </c>
      <c r="N133" s="293">
        <v>300.91000000000003</v>
      </c>
      <c r="O133" s="237">
        <v>285.76</v>
      </c>
      <c r="P133" s="237">
        <v>290.45</v>
      </c>
      <c r="Q133" s="237">
        <v>295.14999999999998</v>
      </c>
      <c r="R133" s="237">
        <v>299.83999999999997</v>
      </c>
      <c r="S133" s="237">
        <v>215.32</v>
      </c>
      <c r="T133" s="237">
        <v>210.63</v>
      </c>
      <c r="U133" s="237">
        <v>205.93</v>
      </c>
      <c r="V133" s="237">
        <v>201.23</v>
      </c>
      <c r="W133" s="237">
        <v>198.13</v>
      </c>
      <c r="X133" s="51">
        <v>129</v>
      </c>
      <c r="Y133" s="237">
        <v>135.30000000000001</v>
      </c>
      <c r="Z133" s="237">
        <v>138.62</v>
      </c>
      <c r="AA133" s="2">
        <v>141.93</v>
      </c>
      <c r="AB133" s="59">
        <v>145.25</v>
      </c>
      <c r="AC133" s="3">
        <v>148.56</v>
      </c>
      <c r="AD133" s="297">
        <v>165.34</v>
      </c>
      <c r="AE133" s="298">
        <v>168.65</v>
      </c>
      <c r="AF133" s="298">
        <v>171.97</v>
      </c>
      <c r="AG133" s="310">
        <v>175.28</v>
      </c>
      <c r="AH133" s="299">
        <v>178.6</v>
      </c>
      <c r="AI133" s="293">
        <v>181.91</v>
      </c>
      <c r="AJ133" s="293">
        <v>185.23</v>
      </c>
      <c r="AK133" s="293">
        <v>188.54</v>
      </c>
      <c r="AL133" s="293">
        <v>191.86</v>
      </c>
      <c r="AM133" s="293">
        <v>195.18</v>
      </c>
      <c r="AN133" s="293">
        <v>198.49</v>
      </c>
      <c r="AO133" s="237">
        <v>188.35</v>
      </c>
      <c r="AP133" s="237">
        <v>191.66</v>
      </c>
      <c r="AQ133" s="237">
        <v>194.98</v>
      </c>
      <c r="AR133" s="237">
        <v>198.29</v>
      </c>
      <c r="AS133" s="237">
        <v>138.62</v>
      </c>
      <c r="AT133" s="237">
        <v>135.30000000000001</v>
      </c>
      <c r="AU133" s="237">
        <v>131.99</v>
      </c>
      <c r="AV133" s="237">
        <v>128.66999999999999</v>
      </c>
      <c r="AW133" s="237">
        <v>125.36</v>
      </c>
    </row>
    <row r="134" spans="1:49">
      <c r="A134" s="2">
        <v>221.79300000000001</v>
      </c>
      <c r="B134" s="59">
        <v>226.52</v>
      </c>
      <c r="C134" s="3">
        <v>231.25</v>
      </c>
      <c r="D134" s="297">
        <v>256.01</v>
      </c>
      <c r="E134" s="298">
        <v>260.74</v>
      </c>
      <c r="F134" s="298">
        <v>265.48</v>
      </c>
      <c r="G134" s="298">
        <v>270.20999999999998</v>
      </c>
      <c r="H134" s="299">
        <v>274.94</v>
      </c>
      <c r="I134" s="293">
        <v>279.67</v>
      </c>
      <c r="J134" s="293">
        <v>284.39999999999998</v>
      </c>
      <c r="K134" s="293">
        <v>289.14</v>
      </c>
      <c r="L134" s="293">
        <v>293.87</v>
      </c>
      <c r="M134" s="293">
        <v>298.60000000000002</v>
      </c>
      <c r="N134" s="293">
        <v>303.33</v>
      </c>
      <c r="O134" s="237">
        <v>288.04000000000002</v>
      </c>
      <c r="P134" s="237">
        <v>292.77</v>
      </c>
      <c r="Q134" s="237">
        <v>297.5</v>
      </c>
      <c r="R134" s="237">
        <v>302.23</v>
      </c>
      <c r="S134" s="237">
        <v>217.06</v>
      </c>
      <c r="T134" s="237">
        <v>212.32</v>
      </c>
      <c r="U134" s="237">
        <v>207.59</v>
      </c>
      <c r="V134" s="237">
        <v>202.86</v>
      </c>
      <c r="W134" s="237">
        <v>199.56</v>
      </c>
      <c r="X134" s="51">
        <v>130</v>
      </c>
      <c r="Y134" s="237">
        <v>136.37</v>
      </c>
      <c r="Z134" s="237">
        <v>139.71</v>
      </c>
      <c r="AA134" s="2">
        <v>143.05000000000001</v>
      </c>
      <c r="AB134" s="59">
        <v>146.38999999999999</v>
      </c>
      <c r="AC134" s="3">
        <v>149.74</v>
      </c>
      <c r="AD134" s="297">
        <v>166.65</v>
      </c>
      <c r="AE134" s="298">
        <v>169.99</v>
      </c>
      <c r="AF134" s="298">
        <v>173.33</v>
      </c>
      <c r="AG134" s="310">
        <v>176.67</v>
      </c>
      <c r="AH134" s="299">
        <v>180.01</v>
      </c>
      <c r="AI134" s="293">
        <v>183.35</v>
      </c>
      <c r="AJ134" s="293">
        <v>186.69</v>
      </c>
      <c r="AK134" s="293">
        <v>190.03</v>
      </c>
      <c r="AL134" s="293">
        <v>193.38</v>
      </c>
      <c r="AM134" s="293">
        <v>196.72</v>
      </c>
      <c r="AN134" s="293">
        <v>200.06</v>
      </c>
      <c r="AO134" s="237">
        <v>189.83</v>
      </c>
      <c r="AP134" s="237">
        <v>193.17</v>
      </c>
      <c r="AQ134" s="237">
        <v>196.51</v>
      </c>
      <c r="AR134" s="237">
        <v>199.85</v>
      </c>
      <c r="AS134" s="237">
        <v>139.71</v>
      </c>
      <c r="AT134" s="237">
        <v>136.37</v>
      </c>
      <c r="AU134" s="237">
        <v>133.03</v>
      </c>
      <c r="AV134" s="237">
        <v>129.69</v>
      </c>
      <c r="AW134" s="237">
        <v>126.35</v>
      </c>
    </row>
    <row r="135" spans="1:49">
      <c r="A135" s="2">
        <v>223.4</v>
      </c>
      <c r="B135" s="59">
        <v>228.17</v>
      </c>
      <c r="C135" s="3">
        <v>232.94</v>
      </c>
      <c r="D135" s="297">
        <v>257.86</v>
      </c>
      <c r="E135" s="298">
        <v>262.62</v>
      </c>
      <c r="F135" s="298">
        <v>267.39</v>
      </c>
      <c r="G135" s="298">
        <v>272.16000000000003</v>
      </c>
      <c r="H135" s="299">
        <v>276.93</v>
      </c>
      <c r="I135" s="293">
        <v>281.7</v>
      </c>
      <c r="J135" s="293">
        <v>286.47000000000003</v>
      </c>
      <c r="K135" s="293">
        <v>291.24</v>
      </c>
      <c r="L135" s="293">
        <v>296</v>
      </c>
      <c r="M135" s="293">
        <v>300.77</v>
      </c>
      <c r="N135" s="293">
        <v>305.54000000000002</v>
      </c>
      <c r="O135" s="237">
        <v>290.16000000000003</v>
      </c>
      <c r="P135" s="237">
        <v>294.92</v>
      </c>
      <c r="Q135" s="237">
        <v>299.69</v>
      </c>
      <c r="R135" s="237">
        <v>304.45999999999998</v>
      </c>
      <c r="S135" s="237">
        <v>218.63</v>
      </c>
      <c r="T135" s="237">
        <v>213.86</v>
      </c>
      <c r="U135" s="237">
        <v>209.09</v>
      </c>
      <c r="V135" s="237">
        <v>204.32</v>
      </c>
      <c r="W135" s="237">
        <v>201.16</v>
      </c>
      <c r="X135" s="51">
        <v>131</v>
      </c>
      <c r="Y135" s="237">
        <v>137.38999999999999</v>
      </c>
      <c r="Z135" s="237">
        <v>140.76</v>
      </c>
      <c r="AA135" s="2">
        <v>144.13</v>
      </c>
      <c r="AB135" s="59">
        <v>147.49</v>
      </c>
      <c r="AC135" s="3">
        <v>150.86000000000001</v>
      </c>
      <c r="AD135" s="297">
        <v>167.89</v>
      </c>
      <c r="AE135" s="298">
        <v>171.26</v>
      </c>
      <c r="AF135" s="298">
        <v>174.63</v>
      </c>
      <c r="AG135" s="310">
        <v>177.99</v>
      </c>
      <c r="AH135" s="299">
        <v>181.36</v>
      </c>
      <c r="AI135" s="293">
        <v>184.73</v>
      </c>
      <c r="AJ135" s="293">
        <v>188.09</v>
      </c>
      <c r="AK135" s="293">
        <v>191.46</v>
      </c>
      <c r="AL135" s="293">
        <v>194.83</v>
      </c>
      <c r="AM135" s="293">
        <v>198.19</v>
      </c>
      <c r="AN135" s="293">
        <v>201.56</v>
      </c>
      <c r="AO135" s="237">
        <v>191.26</v>
      </c>
      <c r="AP135" s="237">
        <v>194.63</v>
      </c>
      <c r="AQ135" s="237">
        <v>197.99</v>
      </c>
      <c r="AR135" s="237">
        <v>201.36</v>
      </c>
      <c r="AS135" s="237">
        <v>140.76</v>
      </c>
      <c r="AT135" s="237">
        <v>137.38999999999999</v>
      </c>
      <c r="AU135" s="237">
        <v>134.03</v>
      </c>
      <c r="AV135" s="237">
        <v>130.66</v>
      </c>
      <c r="AW135" s="237">
        <v>127.29</v>
      </c>
    </row>
    <row r="136" spans="1:49">
      <c r="A136" s="2">
        <v>225.18</v>
      </c>
      <c r="B136" s="59">
        <v>229.99</v>
      </c>
      <c r="C136" s="3">
        <v>234.79</v>
      </c>
      <c r="D136" s="297">
        <v>259.92</v>
      </c>
      <c r="E136" s="298">
        <v>264.73</v>
      </c>
      <c r="F136" s="298">
        <v>269.52999999999997</v>
      </c>
      <c r="G136" s="298">
        <v>274.33999999999997</v>
      </c>
      <c r="H136" s="299">
        <v>279.14</v>
      </c>
      <c r="I136" s="293">
        <v>283.95</v>
      </c>
      <c r="J136" s="293">
        <v>288.75</v>
      </c>
      <c r="K136" s="293">
        <v>293.56</v>
      </c>
      <c r="L136" s="293">
        <v>298.36</v>
      </c>
      <c r="M136" s="293">
        <v>303.17</v>
      </c>
      <c r="N136" s="293">
        <v>307.97000000000003</v>
      </c>
      <c r="O136" s="237">
        <v>292.45</v>
      </c>
      <c r="P136" s="237">
        <v>297.25</v>
      </c>
      <c r="Q136" s="237">
        <v>302.06</v>
      </c>
      <c r="R136" s="237">
        <v>306.86</v>
      </c>
      <c r="S136" s="237">
        <v>220.38</v>
      </c>
      <c r="T136" s="237">
        <v>215.57</v>
      </c>
      <c r="U136" s="237">
        <v>210.77</v>
      </c>
      <c r="V136" s="237">
        <v>205.96</v>
      </c>
      <c r="W136" s="237">
        <v>202.59</v>
      </c>
      <c r="X136" s="51">
        <v>132</v>
      </c>
      <c r="Y136" s="237">
        <v>138.41999999999999</v>
      </c>
      <c r="Z136" s="237">
        <v>141.81</v>
      </c>
      <c r="AA136" s="2">
        <v>145.19999999999999</v>
      </c>
      <c r="AB136" s="59">
        <v>148.59</v>
      </c>
      <c r="AC136" s="3">
        <v>151.99</v>
      </c>
      <c r="AD136" s="297">
        <v>169.14</v>
      </c>
      <c r="AE136" s="298">
        <v>172.53</v>
      </c>
      <c r="AF136" s="298">
        <v>175.92</v>
      </c>
      <c r="AG136" s="310">
        <v>179.32</v>
      </c>
      <c r="AH136" s="299">
        <v>182.71</v>
      </c>
      <c r="AI136" s="293">
        <v>186.1</v>
      </c>
      <c r="AJ136" s="293">
        <v>189.49</v>
      </c>
      <c r="AK136" s="293">
        <v>192.89</v>
      </c>
      <c r="AL136" s="293">
        <v>196.28</v>
      </c>
      <c r="AM136" s="293">
        <v>199.67</v>
      </c>
      <c r="AN136" s="293">
        <v>203.06</v>
      </c>
      <c r="AO136" s="237">
        <v>192.7</v>
      </c>
      <c r="AP136" s="237">
        <v>196.09</v>
      </c>
      <c r="AQ136" s="237">
        <v>199.48</v>
      </c>
      <c r="AR136" s="237">
        <v>202.87</v>
      </c>
      <c r="AS136" s="237">
        <v>141.81</v>
      </c>
      <c r="AT136" s="237">
        <v>138.41999999999999</v>
      </c>
      <c r="AU136" s="237">
        <v>135.03</v>
      </c>
      <c r="AV136" s="237">
        <v>131.63</v>
      </c>
      <c r="AW136" s="237">
        <v>128.24</v>
      </c>
    </row>
    <row r="137" spans="1:49">
      <c r="A137" s="2">
        <v>226.79</v>
      </c>
      <c r="B137" s="59">
        <v>231.64</v>
      </c>
      <c r="C137" s="3">
        <v>236.48</v>
      </c>
      <c r="D137" s="297">
        <v>261.77</v>
      </c>
      <c r="E137" s="298">
        <v>266.62</v>
      </c>
      <c r="F137" s="298">
        <v>271.45999999999998</v>
      </c>
      <c r="G137" s="298">
        <v>276.3</v>
      </c>
      <c r="H137" s="299">
        <v>281.14</v>
      </c>
      <c r="I137" s="293">
        <v>285.98</v>
      </c>
      <c r="J137" s="293">
        <v>290.82</v>
      </c>
      <c r="K137" s="293">
        <v>295.66000000000003</v>
      </c>
      <c r="L137" s="293">
        <v>300.5</v>
      </c>
      <c r="M137" s="293">
        <v>305.35000000000002</v>
      </c>
      <c r="N137" s="293">
        <v>310.19</v>
      </c>
      <c r="O137" s="237">
        <v>294.57</v>
      </c>
      <c r="P137" s="237">
        <v>299.41000000000003</v>
      </c>
      <c r="Q137" s="237">
        <v>304.25</v>
      </c>
      <c r="R137" s="237">
        <v>309.10000000000002</v>
      </c>
      <c r="S137" s="237">
        <v>221.95</v>
      </c>
      <c r="T137" s="237">
        <v>217.11</v>
      </c>
      <c r="U137" s="237">
        <v>212.27</v>
      </c>
      <c r="V137" s="237">
        <v>207.43</v>
      </c>
      <c r="W137" s="237">
        <v>204.2</v>
      </c>
      <c r="X137" s="51">
        <v>133</v>
      </c>
      <c r="Y137" s="237">
        <v>139.49</v>
      </c>
      <c r="Z137" s="237">
        <v>142.91</v>
      </c>
      <c r="AA137" s="2">
        <v>146.33000000000001</v>
      </c>
      <c r="AB137" s="59">
        <v>149.75</v>
      </c>
      <c r="AC137" s="3">
        <v>153.16</v>
      </c>
      <c r="AD137" s="297">
        <v>170.45</v>
      </c>
      <c r="AE137" s="298">
        <v>173.87</v>
      </c>
      <c r="AF137" s="298">
        <v>177.29</v>
      </c>
      <c r="AG137" s="310">
        <v>180.71</v>
      </c>
      <c r="AH137" s="299">
        <v>184.13</v>
      </c>
      <c r="AI137" s="293">
        <v>187.55</v>
      </c>
      <c r="AJ137" s="293">
        <v>190.96</v>
      </c>
      <c r="AK137" s="293">
        <v>194.38</v>
      </c>
      <c r="AL137" s="293">
        <v>197.8</v>
      </c>
      <c r="AM137" s="293">
        <v>201.22</v>
      </c>
      <c r="AN137" s="293">
        <v>204.64</v>
      </c>
      <c r="AO137" s="237">
        <v>194.18</v>
      </c>
      <c r="AP137" s="237">
        <v>197.6</v>
      </c>
      <c r="AQ137" s="237">
        <v>201.02</v>
      </c>
      <c r="AR137" s="237">
        <v>204.43</v>
      </c>
      <c r="AS137" s="237">
        <v>142.91</v>
      </c>
      <c r="AT137" s="237">
        <v>139.49</v>
      </c>
      <c r="AU137" s="237">
        <v>136.07</v>
      </c>
      <c r="AV137" s="237">
        <v>132.65</v>
      </c>
      <c r="AW137" s="237">
        <v>129.24</v>
      </c>
    </row>
    <row r="138" spans="1:49">
      <c r="A138" s="2">
        <v>228.59</v>
      </c>
      <c r="B138" s="59">
        <v>233.46</v>
      </c>
      <c r="C138" s="3">
        <v>238.34</v>
      </c>
      <c r="D138" s="297">
        <v>263.85000000000002</v>
      </c>
      <c r="E138" s="298">
        <v>268.73</v>
      </c>
      <c r="F138" s="298">
        <v>273.61</v>
      </c>
      <c r="G138" s="298">
        <v>278.49</v>
      </c>
      <c r="H138" s="299">
        <v>283.36</v>
      </c>
      <c r="I138" s="293">
        <v>288.24</v>
      </c>
      <c r="J138" s="293">
        <v>293.12</v>
      </c>
      <c r="K138" s="293">
        <v>298</v>
      </c>
      <c r="L138" s="293">
        <v>302.88</v>
      </c>
      <c r="M138" s="293">
        <v>307.75</v>
      </c>
      <c r="N138" s="293">
        <v>312.63</v>
      </c>
      <c r="O138" s="237">
        <v>296.87</v>
      </c>
      <c r="P138" s="237">
        <v>301.75</v>
      </c>
      <c r="Q138" s="237">
        <v>306.63</v>
      </c>
      <c r="R138" s="237">
        <v>311.51</v>
      </c>
      <c r="S138" s="237">
        <v>223.71</v>
      </c>
      <c r="T138" s="237">
        <v>218.83</v>
      </c>
      <c r="U138" s="237">
        <v>213.95</v>
      </c>
      <c r="V138" s="237">
        <v>209.08</v>
      </c>
      <c r="W138" s="237">
        <v>205.64</v>
      </c>
      <c r="X138" s="51">
        <v>134</v>
      </c>
      <c r="Y138" s="237">
        <v>140.52000000000001</v>
      </c>
      <c r="Z138" s="237">
        <v>143.96</v>
      </c>
      <c r="AA138" s="2">
        <v>147.4</v>
      </c>
      <c r="AB138" s="59">
        <v>150.85</v>
      </c>
      <c r="AC138" s="3">
        <v>154.29</v>
      </c>
      <c r="AD138" s="297">
        <v>171.7</v>
      </c>
      <c r="AE138" s="298">
        <v>175.15</v>
      </c>
      <c r="AF138" s="298">
        <v>178.59</v>
      </c>
      <c r="AG138" s="310">
        <v>182.03</v>
      </c>
      <c r="AH138" s="299">
        <v>185.48</v>
      </c>
      <c r="AI138" s="293">
        <v>188.92</v>
      </c>
      <c r="AJ138" s="293">
        <v>192.37</v>
      </c>
      <c r="AK138" s="293">
        <v>195.81</v>
      </c>
      <c r="AL138" s="293">
        <v>199.25</v>
      </c>
      <c r="AM138" s="293">
        <v>202.7</v>
      </c>
      <c r="AN138" s="293">
        <v>206.14</v>
      </c>
      <c r="AO138" s="237">
        <v>195.62</v>
      </c>
      <c r="AP138" s="237">
        <v>199.06</v>
      </c>
      <c r="AQ138" s="237">
        <v>202.5</v>
      </c>
      <c r="AR138" s="237">
        <v>205.95</v>
      </c>
      <c r="AS138" s="237">
        <v>143.96</v>
      </c>
      <c r="AT138" s="237">
        <v>140.52000000000001</v>
      </c>
      <c r="AU138" s="237">
        <v>137.07</v>
      </c>
      <c r="AV138" s="237">
        <v>133.63</v>
      </c>
      <c r="AW138" s="237">
        <v>130.18</v>
      </c>
    </row>
    <row r="139" spans="1:49">
      <c r="A139" s="2">
        <v>230.21</v>
      </c>
      <c r="B139" s="59">
        <v>235.12</v>
      </c>
      <c r="C139" s="3">
        <v>240.03</v>
      </c>
      <c r="D139" s="297">
        <v>265.70999999999998</v>
      </c>
      <c r="E139" s="298">
        <v>270.63</v>
      </c>
      <c r="F139" s="298">
        <v>275.54000000000002</v>
      </c>
      <c r="G139" s="298">
        <v>280.45</v>
      </c>
      <c r="H139" s="299">
        <v>285.37</v>
      </c>
      <c r="I139" s="293">
        <v>290.27999999999997</v>
      </c>
      <c r="J139" s="293">
        <v>295.2</v>
      </c>
      <c r="K139" s="293">
        <v>300.11</v>
      </c>
      <c r="L139" s="293">
        <v>305.02</v>
      </c>
      <c r="M139" s="293">
        <v>309.94</v>
      </c>
      <c r="N139" s="293">
        <v>314.85000000000002</v>
      </c>
      <c r="O139" s="237">
        <v>299</v>
      </c>
      <c r="P139" s="237">
        <v>303.92</v>
      </c>
      <c r="Q139" s="237">
        <v>308.83</v>
      </c>
      <c r="R139" s="237">
        <v>313.74</v>
      </c>
      <c r="S139" s="237">
        <v>225.29</v>
      </c>
      <c r="T139" s="237">
        <v>220.38</v>
      </c>
      <c r="U139" s="237">
        <v>215.46</v>
      </c>
      <c r="V139" s="237">
        <v>210.55</v>
      </c>
      <c r="W139" s="237">
        <v>207.08</v>
      </c>
      <c r="X139" s="51">
        <v>135</v>
      </c>
      <c r="Y139" s="237">
        <v>141.59</v>
      </c>
      <c r="Z139" s="237">
        <v>145.06</v>
      </c>
      <c r="AA139" s="2">
        <v>148.53</v>
      </c>
      <c r="AB139" s="59">
        <v>152</v>
      </c>
      <c r="AC139" s="3">
        <v>155.47</v>
      </c>
      <c r="AD139" s="297">
        <v>173.02</v>
      </c>
      <c r="AE139" s="298">
        <v>176.49</v>
      </c>
      <c r="AF139" s="298">
        <v>179.96</v>
      </c>
      <c r="AG139" s="310">
        <v>183.43</v>
      </c>
      <c r="AH139" s="299">
        <v>186.9</v>
      </c>
      <c r="AI139" s="293">
        <v>190.37</v>
      </c>
      <c r="AJ139" s="293">
        <v>193.84</v>
      </c>
      <c r="AK139" s="293">
        <v>197.31</v>
      </c>
      <c r="AL139" s="293">
        <v>200.78</v>
      </c>
      <c r="AM139" s="293">
        <v>204.25</v>
      </c>
      <c r="AN139" s="293">
        <v>207.72</v>
      </c>
      <c r="AO139" s="237">
        <v>197.1</v>
      </c>
      <c r="AP139" s="237">
        <v>200.57</v>
      </c>
      <c r="AQ139" s="237">
        <v>204.04</v>
      </c>
      <c r="AR139" s="237">
        <v>207.51</v>
      </c>
      <c r="AS139" s="237">
        <v>145.06</v>
      </c>
      <c r="AT139" s="237">
        <v>141.59</v>
      </c>
      <c r="AU139" s="237">
        <v>138.12</v>
      </c>
      <c r="AV139" s="237">
        <v>134.65</v>
      </c>
      <c r="AW139" s="237">
        <v>131.18</v>
      </c>
    </row>
    <row r="140" spans="1:49">
      <c r="A140" s="2">
        <v>231.83</v>
      </c>
      <c r="B140" s="59">
        <v>236.78</v>
      </c>
      <c r="C140" s="3">
        <v>241.73</v>
      </c>
      <c r="D140" s="297">
        <v>267.57</v>
      </c>
      <c r="E140" s="298">
        <v>272.52</v>
      </c>
      <c r="F140" s="298">
        <v>277.47000000000003</v>
      </c>
      <c r="G140" s="298">
        <v>282.42</v>
      </c>
      <c r="H140" s="299">
        <v>287.37</v>
      </c>
      <c r="I140" s="293">
        <v>292.33</v>
      </c>
      <c r="J140" s="293">
        <v>297.27999999999997</v>
      </c>
      <c r="K140" s="293">
        <v>302.23</v>
      </c>
      <c r="L140" s="293">
        <v>307.18</v>
      </c>
      <c r="M140" s="293">
        <v>312.13</v>
      </c>
      <c r="N140" s="293">
        <v>317.08</v>
      </c>
      <c r="O140" s="237">
        <v>301.13</v>
      </c>
      <c r="P140" s="237">
        <v>306.08</v>
      </c>
      <c r="Q140" s="237">
        <v>311.02999999999997</v>
      </c>
      <c r="R140" s="237">
        <v>315.98</v>
      </c>
      <c r="S140" s="237">
        <v>226.88</v>
      </c>
      <c r="T140" s="237">
        <v>221.93</v>
      </c>
      <c r="U140" s="237">
        <v>216.98</v>
      </c>
      <c r="V140" s="237">
        <v>212.03</v>
      </c>
      <c r="W140" s="237">
        <v>208.7</v>
      </c>
      <c r="X140" s="51">
        <v>136</v>
      </c>
      <c r="Y140" s="237">
        <v>142.62</v>
      </c>
      <c r="Z140" s="237">
        <v>146.11000000000001</v>
      </c>
      <c r="AA140" s="2">
        <v>149.61000000000001</v>
      </c>
      <c r="AB140" s="59">
        <v>153.1</v>
      </c>
      <c r="AC140" s="3">
        <v>156.6</v>
      </c>
      <c r="AD140" s="297">
        <v>174.27</v>
      </c>
      <c r="AE140" s="298">
        <v>177.77</v>
      </c>
      <c r="AF140" s="298">
        <v>181.26</v>
      </c>
      <c r="AG140" s="310">
        <v>184.76</v>
      </c>
      <c r="AH140" s="299">
        <v>188.25</v>
      </c>
      <c r="AI140" s="293">
        <v>191.75</v>
      </c>
      <c r="AJ140" s="293">
        <v>195.24</v>
      </c>
      <c r="AK140" s="293">
        <v>198.74</v>
      </c>
      <c r="AL140" s="293">
        <v>202.23</v>
      </c>
      <c r="AM140" s="293">
        <v>205.73</v>
      </c>
      <c r="AN140" s="293">
        <v>209.22</v>
      </c>
      <c r="AO140" s="237">
        <v>198.54</v>
      </c>
      <c r="AP140" s="237">
        <v>202.04</v>
      </c>
      <c r="AQ140" s="237">
        <v>205.53</v>
      </c>
      <c r="AR140" s="237">
        <v>209.03</v>
      </c>
      <c r="AS140" s="237">
        <v>146.11000000000001</v>
      </c>
      <c r="AT140" s="237">
        <v>142.62</v>
      </c>
      <c r="AU140" s="237">
        <v>139.12</v>
      </c>
      <c r="AV140" s="237">
        <v>135.63</v>
      </c>
      <c r="AW140" s="237">
        <v>132.13</v>
      </c>
    </row>
    <row r="141" spans="1:49">
      <c r="A141" s="2">
        <v>233.63</v>
      </c>
      <c r="B141" s="59">
        <v>238.62</v>
      </c>
      <c r="C141" s="3">
        <v>243.61</v>
      </c>
      <c r="D141" s="297">
        <v>269.67</v>
      </c>
      <c r="E141" s="298">
        <v>274.66000000000003</v>
      </c>
      <c r="F141" s="298">
        <v>279.64999999999998</v>
      </c>
      <c r="G141" s="298">
        <v>284.63</v>
      </c>
      <c r="H141" s="299">
        <v>289.62</v>
      </c>
      <c r="I141" s="293">
        <v>294.61</v>
      </c>
      <c r="J141" s="293">
        <v>299.58999999999997</v>
      </c>
      <c r="K141" s="293">
        <v>304.58</v>
      </c>
      <c r="L141" s="293">
        <v>309.57</v>
      </c>
      <c r="M141" s="293">
        <v>314.55</v>
      </c>
      <c r="N141" s="293">
        <v>319.54000000000002</v>
      </c>
      <c r="O141" s="237">
        <v>303.45</v>
      </c>
      <c r="P141" s="237">
        <v>308.44</v>
      </c>
      <c r="Q141" s="237">
        <v>313.42</v>
      </c>
      <c r="R141" s="237">
        <v>318.41000000000003</v>
      </c>
      <c r="S141" s="237">
        <v>228.65</v>
      </c>
      <c r="T141" s="237">
        <v>223.66</v>
      </c>
      <c r="U141" s="237">
        <v>218.67</v>
      </c>
      <c r="V141" s="237">
        <v>213.69</v>
      </c>
      <c r="W141" s="237">
        <v>210</v>
      </c>
      <c r="X141" s="51">
        <v>137</v>
      </c>
      <c r="Y141" s="237">
        <v>143.69999999999999</v>
      </c>
      <c r="Z141" s="237">
        <v>147.22</v>
      </c>
      <c r="AA141" s="2">
        <v>150.74</v>
      </c>
      <c r="AB141" s="59">
        <v>154.26</v>
      </c>
      <c r="AC141" s="3">
        <v>157.78</v>
      </c>
      <c r="AD141" s="297">
        <v>175.6</v>
      </c>
      <c r="AE141" s="298">
        <v>179.12</v>
      </c>
      <c r="AF141" s="298">
        <v>182.64</v>
      </c>
      <c r="AG141" s="310">
        <v>186.16</v>
      </c>
      <c r="AH141" s="299">
        <v>189.68</v>
      </c>
      <c r="AI141" s="293">
        <v>193.2</v>
      </c>
      <c r="AJ141" s="293">
        <v>196.72</v>
      </c>
      <c r="AK141" s="293">
        <v>200.24</v>
      </c>
      <c r="AL141" s="293">
        <v>203.76</v>
      </c>
      <c r="AM141" s="293">
        <v>207.29</v>
      </c>
      <c r="AN141" s="293">
        <v>210.81</v>
      </c>
      <c r="AO141" s="237">
        <v>200.03</v>
      </c>
      <c r="AP141" s="237">
        <v>203.55</v>
      </c>
      <c r="AQ141" s="237">
        <v>207.07</v>
      </c>
      <c r="AR141" s="237">
        <v>210.59</v>
      </c>
      <c r="AS141" s="237">
        <v>147.22</v>
      </c>
      <c r="AT141" s="237">
        <v>143.69999999999999</v>
      </c>
      <c r="AU141" s="237">
        <v>140.18</v>
      </c>
      <c r="AV141" s="237">
        <v>136.66</v>
      </c>
      <c r="AW141" s="237">
        <v>133.13</v>
      </c>
    </row>
    <row r="142" spans="1:49">
      <c r="A142" s="2">
        <v>235.26</v>
      </c>
      <c r="B142" s="59">
        <v>240.28</v>
      </c>
      <c r="C142" s="3">
        <v>245.31</v>
      </c>
      <c r="D142" s="297">
        <v>271.54000000000002</v>
      </c>
      <c r="E142" s="298">
        <v>276.56</v>
      </c>
      <c r="F142" s="298">
        <v>281.58999999999997</v>
      </c>
      <c r="G142" s="298">
        <v>286.61</v>
      </c>
      <c r="H142" s="299">
        <v>291.63</v>
      </c>
      <c r="I142" s="293">
        <v>296.66000000000003</v>
      </c>
      <c r="J142" s="293">
        <v>301.68</v>
      </c>
      <c r="K142" s="293">
        <v>306.7</v>
      </c>
      <c r="L142" s="293">
        <v>311.73</v>
      </c>
      <c r="M142" s="293">
        <v>316.75</v>
      </c>
      <c r="N142" s="293">
        <v>321.77</v>
      </c>
      <c r="O142" s="237">
        <v>305.58999999999997</v>
      </c>
      <c r="P142" s="237">
        <v>310.61</v>
      </c>
      <c r="Q142" s="237">
        <v>615.63</v>
      </c>
      <c r="R142" s="237">
        <v>320.66000000000003</v>
      </c>
      <c r="S142" s="237">
        <v>230.24</v>
      </c>
      <c r="T142" s="237">
        <v>225.22</v>
      </c>
      <c r="U142" s="237">
        <v>220.19</v>
      </c>
      <c r="V142" s="237">
        <v>215.17</v>
      </c>
      <c r="W142" s="237">
        <v>15</v>
      </c>
      <c r="X142" s="51">
        <v>138</v>
      </c>
      <c r="Y142" s="237">
        <v>144.72999999999999</v>
      </c>
      <c r="Z142" s="237">
        <v>148.27000000000001</v>
      </c>
      <c r="AA142" s="2">
        <v>151.82</v>
      </c>
      <c r="AB142" s="59">
        <v>155.37</v>
      </c>
      <c r="AC142" s="3">
        <v>158.91</v>
      </c>
      <c r="AD142" s="297">
        <v>176.85</v>
      </c>
      <c r="AE142" s="298">
        <v>180.4</v>
      </c>
      <c r="AF142" s="298">
        <v>183.94</v>
      </c>
      <c r="AG142" s="310">
        <v>187.49</v>
      </c>
      <c r="AH142" s="299">
        <v>191.04</v>
      </c>
      <c r="AI142" s="293">
        <v>194.58</v>
      </c>
      <c r="AJ142" s="293">
        <v>198.13</v>
      </c>
      <c r="AK142" s="293">
        <v>201.68</v>
      </c>
      <c r="AL142" s="293">
        <v>205.22</v>
      </c>
      <c r="AM142" s="293">
        <v>208.77</v>
      </c>
      <c r="AN142" s="293">
        <v>212.32</v>
      </c>
      <c r="AO142" s="237">
        <v>201.47</v>
      </c>
      <c r="AP142" s="237">
        <v>205.02</v>
      </c>
      <c r="AQ142" s="237">
        <v>208.56</v>
      </c>
      <c r="AR142" s="237">
        <v>212.11</v>
      </c>
      <c r="AS142" s="237">
        <v>148.27000000000001</v>
      </c>
      <c r="AT142" s="237">
        <v>144.72999999999999</v>
      </c>
      <c r="AU142" s="237">
        <v>141.18</v>
      </c>
      <c r="AV142" s="237">
        <v>137.63</v>
      </c>
      <c r="AW142" s="237">
        <v>134.09</v>
      </c>
    </row>
    <row r="143" spans="1:49">
      <c r="A143" s="2">
        <v>237.08</v>
      </c>
      <c r="B143" s="59">
        <v>242.14</v>
      </c>
      <c r="C143" s="3">
        <v>247.2</v>
      </c>
      <c r="D143" s="297">
        <v>273.64999999999998</v>
      </c>
      <c r="E143" s="298">
        <v>278.70999999999998</v>
      </c>
      <c r="F143" s="298">
        <v>283.77</v>
      </c>
      <c r="G143" s="298">
        <v>288.83</v>
      </c>
      <c r="H143" s="299">
        <v>293.89</v>
      </c>
      <c r="I143" s="293">
        <v>298.95</v>
      </c>
      <c r="J143" s="293">
        <v>304.01</v>
      </c>
      <c r="K143" s="293">
        <v>309.07</v>
      </c>
      <c r="L143" s="293">
        <v>314.13</v>
      </c>
      <c r="M143" s="293">
        <v>319.19</v>
      </c>
      <c r="N143" s="293">
        <v>324.25</v>
      </c>
      <c r="O143" s="237">
        <v>307.91000000000003</v>
      </c>
      <c r="P143" s="237">
        <v>312.97000000000003</v>
      </c>
      <c r="Q143" s="237">
        <v>318.02999999999997</v>
      </c>
      <c r="R143" s="237">
        <v>323.08999999999997</v>
      </c>
      <c r="S143" s="237">
        <v>232.02</v>
      </c>
      <c r="T143" s="237">
        <v>226.96</v>
      </c>
      <c r="U143" s="237">
        <v>221.9</v>
      </c>
      <c r="V143" s="237">
        <v>216.84</v>
      </c>
      <c r="W143" s="237">
        <v>211.78</v>
      </c>
      <c r="X143" s="51">
        <v>139</v>
      </c>
      <c r="Y143" s="237">
        <v>145.75</v>
      </c>
      <c r="Z143" s="237">
        <v>149.33000000000001</v>
      </c>
      <c r="AA143" s="2">
        <v>152.9</v>
      </c>
      <c r="AB143" s="59">
        <v>156.47</v>
      </c>
      <c r="AC143" s="3">
        <v>160.04</v>
      </c>
      <c r="AD143" s="297">
        <v>178.1</v>
      </c>
      <c r="AE143" s="298">
        <v>181.68</v>
      </c>
      <c r="AF143" s="298">
        <v>185.25</v>
      </c>
      <c r="AG143" s="310">
        <v>188.82</v>
      </c>
      <c r="AH143" s="299">
        <v>192.39</v>
      </c>
      <c r="AI143" s="293">
        <v>195.96</v>
      </c>
      <c r="AJ143" s="293">
        <v>199.54</v>
      </c>
      <c r="AK143" s="293">
        <v>203.11</v>
      </c>
      <c r="AL143" s="293">
        <v>206.68</v>
      </c>
      <c r="AM143" s="293">
        <v>210.25</v>
      </c>
      <c r="AN143" s="293">
        <v>213.83</v>
      </c>
      <c r="AO143" s="237">
        <v>202.91</v>
      </c>
      <c r="AP143" s="237">
        <v>206.48</v>
      </c>
      <c r="AQ143" s="237">
        <v>210.06</v>
      </c>
      <c r="AR143" s="237">
        <v>213.63</v>
      </c>
      <c r="AS143" s="237">
        <v>149.33000000000001</v>
      </c>
      <c r="AT143" s="237">
        <v>145.75</v>
      </c>
      <c r="AU143" s="237">
        <v>142.18</v>
      </c>
      <c r="AV143" s="237">
        <v>138.61000000000001</v>
      </c>
      <c r="AW143" s="237">
        <v>135.04</v>
      </c>
    </row>
    <row r="144" spans="1:49">
      <c r="A144" s="2">
        <v>238.71</v>
      </c>
      <c r="B144" s="59">
        <v>243.81</v>
      </c>
      <c r="C144" s="3">
        <v>248.9</v>
      </c>
      <c r="D144" s="297">
        <v>275.52999999999997</v>
      </c>
      <c r="E144" s="298">
        <v>280.62</v>
      </c>
      <c r="F144" s="298">
        <v>285.72000000000003</v>
      </c>
      <c r="G144" s="298">
        <v>290.82</v>
      </c>
      <c r="H144" s="299">
        <v>295.91000000000003</v>
      </c>
      <c r="I144" s="293">
        <v>301.01</v>
      </c>
      <c r="J144" s="293">
        <v>306.10000000000002</v>
      </c>
      <c r="K144" s="293">
        <v>311.2</v>
      </c>
      <c r="L144" s="293">
        <v>316.3</v>
      </c>
      <c r="M144" s="293">
        <v>321.39</v>
      </c>
      <c r="N144" s="293">
        <v>326.49</v>
      </c>
      <c r="O144" s="237">
        <v>310.06</v>
      </c>
      <c r="P144" s="237">
        <v>315.14999999999998</v>
      </c>
      <c r="Q144" s="237">
        <v>320.25</v>
      </c>
      <c r="R144" s="237">
        <v>325.33999999999997</v>
      </c>
      <c r="S144" s="237">
        <v>233.62</v>
      </c>
      <c r="T144" s="237">
        <v>228.52</v>
      </c>
      <c r="U144" s="237">
        <v>223.42</v>
      </c>
      <c r="V144" s="237">
        <v>218.33</v>
      </c>
      <c r="W144" s="237">
        <v>213.23</v>
      </c>
      <c r="X144" s="51">
        <v>140</v>
      </c>
      <c r="Y144" s="237">
        <v>146.77799999999999</v>
      </c>
      <c r="Z144" s="237">
        <v>150.38</v>
      </c>
      <c r="AA144" s="2">
        <v>153.97999999999999</v>
      </c>
      <c r="AB144" s="59">
        <v>157.58000000000001</v>
      </c>
      <c r="AC144" s="3">
        <v>161.18</v>
      </c>
      <c r="AD144" s="297">
        <v>179.36</v>
      </c>
      <c r="AE144" s="298">
        <v>182.96</v>
      </c>
      <c r="AF144" s="298">
        <v>186.55</v>
      </c>
      <c r="AG144" s="310">
        <v>190.15</v>
      </c>
      <c r="AH144" s="299">
        <v>193.75</v>
      </c>
      <c r="AI144" s="293">
        <v>197.35</v>
      </c>
      <c r="AJ144" s="293">
        <v>200.95</v>
      </c>
      <c r="AK144" s="293">
        <v>204.54</v>
      </c>
      <c r="AL144" s="293">
        <v>208.14</v>
      </c>
      <c r="AM144" s="293">
        <v>211.74</v>
      </c>
      <c r="AN144" s="293">
        <v>215.34</v>
      </c>
      <c r="AO144" s="237">
        <v>204.35</v>
      </c>
      <c r="AP144" s="237">
        <v>207.95</v>
      </c>
      <c r="AQ144" s="237">
        <v>211.55</v>
      </c>
      <c r="AR144" s="237">
        <v>215.15</v>
      </c>
      <c r="AS144" s="237">
        <v>150.38</v>
      </c>
      <c r="AT144" s="237">
        <v>146.77799999999999</v>
      </c>
      <c r="AU144" s="237">
        <v>143.19</v>
      </c>
      <c r="AV144" s="237">
        <v>139.59</v>
      </c>
      <c r="AW144" s="237">
        <v>135.99</v>
      </c>
    </row>
    <row r="145" spans="1:49">
      <c r="A145" s="2">
        <v>240.35</v>
      </c>
      <c r="B145" s="59">
        <v>245.48</v>
      </c>
      <c r="C145" s="3">
        <v>250.61</v>
      </c>
      <c r="D145" s="297">
        <v>277.41000000000003</v>
      </c>
      <c r="E145" s="298">
        <v>282.54000000000002</v>
      </c>
      <c r="F145" s="298">
        <v>287.67</v>
      </c>
      <c r="G145" s="298">
        <v>292.8</v>
      </c>
      <c r="H145" s="299">
        <v>297.93</v>
      </c>
      <c r="I145" s="293">
        <v>303.07</v>
      </c>
      <c r="J145" s="293">
        <v>308.2</v>
      </c>
      <c r="K145" s="293">
        <v>313.33</v>
      </c>
      <c r="L145" s="293">
        <v>318.45999999999998</v>
      </c>
      <c r="M145" s="293">
        <v>323.60000000000002</v>
      </c>
      <c r="N145" s="293">
        <v>328.73</v>
      </c>
      <c r="O145" s="237">
        <v>312.2</v>
      </c>
      <c r="P145" s="237">
        <v>317.33</v>
      </c>
      <c r="Q145" s="237">
        <v>322.47000000000003</v>
      </c>
      <c r="R145" s="237">
        <v>327.60000000000002</v>
      </c>
      <c r="S145" s="237">
        <v>235.21</v>
      </c>
      <c r="T145" s="237">
        <v>230.08</v>
      </c>
      <c r="U145" s="237">
        <v>224.95</v>
      </c>
      <c r="V145" s="237">
        <v>219.82</v>
      </c>
      <c r="W145" s="237">
        <v>214.69</v>
      </c>
      <c r="X145" s="51">
        <v>141</v>
      </c>
      <c r="Y145" s="237">
        <v>147.87</v>
      </c>
      <c r="Z145" s="237">
        <v>151.49</v>
      </c>
      <c r="AA145" s="2">
        <v>155.12</v>
      </c>
      <c r="AB145" s="59">
        <v>158.74</v>
      </c>
      <c r="AC145" s="3">
        <v>162.36000000000001</v>
      </c>
      <c r="AD145" s="297">
        <v>180.69</v>
      </c>
      <c r="AE145" s="298">
        <v>184.31</v>
      </c>
      <c r="AF145" s="298">
        <v>187.94</v>
      </c>
      <c r="AG145" s="310">
        <v>191.56</v>
      </c>
      <c r="AH145" s="299">
        <v>195.18</v>
      </c>
      <c r="AI145" s="293">
        <v>198.81</v>
      </c>
      <c r="AJ145" s="293">
        <v>202.43</v>
      </c>
      <c r="AK145" s="293">
        <v>206.06</v>
      </c>
      <c r="AL145" s="293">
        <v>209.68</v>
      </c>
      <c r="AM145" s="293">
        <v>213.3</v>
      </c>
      <c r="AN145" s="293">
        <v>216.93</v>
      </c>
      <c r="AO145" s="237">
        <v>205.85</v>
      </c>
      <c r="AP145" s="237">
        <v>209.47</v>
      </c>
      <c r="AQ145" s="237">
        <v>213.09</v>
      </c>
      <c r="AR145" s="237">
        <v>216.72</v>
      </c>
      <c r="AS145" s="237">
        <v>151.49</v>
      </c>
      <c r="AT145" s="237">
        <v>147.87</v>
      </c>
      <c r="AU145" s="237">
        <v>144.24</v>
      </c>
      <c r="AV145" s="237">
        <v>140.62</v>
      </c>
      <c r="AW145" s="237">
        <v>137</v>
      </c>
    </row>
    <row r="146" spans="1:49">
      <c r="A146" s="2">
        <v>242.18</v>
      </c>
      <c r="B146" s="59">
        <v>247.35</v>
      </c>
      <c r="C146" s="3">
        <v>252.52</v>
      </c>
      <c r="D146" s="297">
        <v>279.54000000000002</v>
      </c>
      <c r="E146" s="298">
        <v>284.70999999999998</v>
      </c>
      <c r="F146" s="298">
        <v>289.88</v>
      </c>
      <c r="G146" s="298">
        <v>295.05</v>
      </c>
      <c r="H146" s="299">
        <v>300.20999999999998</v>
      </c>
      <c r="I146" s="293">
        <v>305.38</v>
      </c>
      <c r="J146" s="293">
        <v>310.55</v>
      </c>
      <c r="K146" s="293">
        <v>315.72000000000003</v>
      </c>
      <c r="L146" s="293">
        <v>320.89</v>
      </c>
      <c r="M146" s="293">
        <v>326.06</v>
      </c>
      <c r="N146" s="293">
        <v>331.23</v>
      </c>
      <c r="O146" s="237">
        <v>314.54000000000002</v>
      </c>
      <c r="P146" s="237">
        <v>319.70999999999998</v>
      </c>
      <c r="Q146" s="237">
        <v>324.88</v>
      </c>
      <c r="R146" s="237">
        <v>330.05</v>
      </c>
      <c r="S146" s="237">
        <v>237.01</v>
      </c>
      <c r="T146" s="237">
        <v>231.84</v>
      </c>
      <c r="U146" s="237">
        <v>226.67</v>
      </c>
      <c r="V146" s="237">
        <v>221.51</v>
      </c>
      <c r="W146" s="237">
        <v>216.34</v>
      </c>
      <c r="X146" s="51">
        <v>142</v>
      </c>
      <c r="Y146" s="237">
        <v>148.9</v>
      </c>
      <c r="Z146" s="237">
        <v>152.55000000000001</v>
      </c>
      <c r="AA146" s="2">
        <v>156.19999999999999</v>
      </c>
      <c r="AB146" s="59">
        <v>159.85</v>
      </c>
      <c r="AC146" s="3">
        <v>163.5</v>
      </c>
      <c r="AD146" s="297">
        <v>181.95</v>
      </c>
      <c r="AE146" s="298">
        <v>185.6</v>
      </c>
      <c r="AF146" s="298">
        <v>189.24</v>
      </c>
      <c r="AG146" s="310">
        <v>192.89</v>
      </c>
      <c r="AH146" s="299">
        <v>196.54</v>
      </c>
      <c r="AI146" s="293">
        <v>200.19</v>
      </c>
      <c r="AJ146" s="293">
        <v>203.84</v>
      </c>
      <c r="AK146" s="293">
        <v>207.49</v>
      </c>
      <c r="AL146" s="293">
        <v>211.14</v>
      </c>
      <c r="AM146" s="293">
        <v>214.79</v>
      </c>
      <c r="AN146" s="293">
        <v>218.44</v>
      </c>
      <c r="AO146" s="237">
        <v>207.29</v>
      </c>
      <c r="AP146" s="237">
        <v>210.94</v>
      </c>
      <c r="AQ146" s="237">
        <v>214.59</v>
      </c>
      <c r="AR146" s="237">
        <v>218.24</v>
      </c>
      <c r="AS146" s="237">
        <v>152.55000000000001</v>
      </c>
      <c r="AT146" s="237">
        <v>148.9</v>
      </c>
      <c r="AU146" s="237">
        <v>145.285</v>
      </c>
      <c r="AV146" s="237">
        <v>141.6</v>
      </c>
      <c r="AW146" s="237">
        <v>137.94999999999999</v>
      </c>
    </row>
    <row r="147" spans="1:49">
      <c r="A147" s="2">
        <v>243.82</v>
      </c>
      <c r="B147" s="59">
        <v>249.03</v>
      </c>
      <c r="C147" s="3">
        <v>254.23</v>
      </c>
      <c r="D147" s="297">
        <v>281.42</v>
      </c>
      <c r="E147" s="298">
        <v>286.63</v>
      </c>
      <c r="F147" s="298">
        <v>291.83</v>
      </c>
      <c r="G147" s="298">
        <v>297.04000000000002</v>
      </c>
      <c r="H147" s="299">
        <v>302.25</v>
      </c>
      <c r="I147" s="293">
        <v>307.45</v>
      </c>
      <c r="J147" s="293">
        <v>312.66000000000003</v>
      </c>
      <c r="K147" s="293">
        <v>317.86</v>
      </c>
      <c r="L147" s="293">
        <v>323.07</v>
      </c>
      <c r="M147" s="293">
        <v>328.27</v>
      </c>
      <c r="N147" s="293">
        <v>333.48</v>
      </c>
      <c r="O147" s="237">
        <v>316.69</v>
      </c>
      <c r="P147" s="237">
        <v>321.89999999999998</v>
      </c>
      <c r="Q147" s="237">
        <v>327.11</v>
      </c>
      <c r="R147" s="237">
        <v>332.31</v>
      </c>
      <c r="S147" s="237">
        <v>238.62</v>
      </c>
      <c r="T147" s="237">
        <v>233.41</v>
      </c>
      <c r="U147" s="237">
        <v>228.21</v>
      </c>
      <c r="V147" s="237">
        <v>223</v>
      </c>
      <c r="W147" s="237">
        <v>217.8</v>
      </c>
      <c r="X147" s="51">
        <v>143</v>
      </c>
      <c r="Y147" s="237">
        <v>149.93</v>
      </c>
      <c r="Z147" s="237">
        <v>153.61000000000001</v>
      </c>
      <c r="AA147" s="2">
        <v>157.28</v>
      </c>
      <c r="AB147" s="59">
        <v>160.96</v>
      </c>
      <c r="AC147" s="3">
        <v>164.63</v>
      </c>
      <c r="AD147" s="297">
        <v>183.2</v>
      </c>
      <c r="AE147" s="298">
        <v>186.88</v>
      </c>
      <c r="AF147" s="298">
        <v>190.55</v>
      </c>
      <c r="AG147" s="310">
        <v>194.23</v>
      </c>
      <c r="AH147" s="299">
        <v>197.9</v>
      </c>
      <c r="AI147" s="293">
        <v>201.58</v>
      </c>
      <c r="AJ147" s="293">
        <v>205.25</v>
      </c>
      <c r="AK147" s="293">
        <v>208.93</v>
      </c>
      <c r="AL147" s="293">
        <v>212.6</v>
      </c>
      <c r="AM147" s="293">
        <v>216.28</v>
      </c>
      <c r="AN147" s="293">
        <v>219.95</v>
      </c>
      <c r="AO147" s="237">
        <v>208.73</v>
      </c>
      <c r="AP147" s="237">
        <v>212.41</v>
      </c>
      <c r="AQ147" s="237">
        <v>216.08</v>
      </c>
      <c r="AR147" s="237">
        <v>219.76</v>
      </c>
      <c r="AS147" s="237">
        <v>153.61000000000001</v>
      </c>
      <c r="AT147" s="237">
        <v>149.93</v>
      </c>
      <c r="AU147" s="237">
        <v>146.26</v>
      </c>
      <c r="AV147" s="237">
        <v>142.58000000000001</v>
      </c>
      <c r="AW147" s="237">
        <v>138.91</v>
      </c>
    </row>
    <row r="148" spans="1:49">
      <c r="A148" s="2">
        <v>245.47</v>
      </c>
      <c r="B148" s="59">
        <v>250.71</v>
      </c>
      <c r="C148" s="3">
        <v>255.95</v>
      </c>
      <c r="D148" s="297">
        <v>283.31</v>
      </c>
      <c r="E148" s="298">
        <v>288.55</v>
      </c>
      <c r="F148" s="298">
        <v>293.8</v>
      </c>
      <c r="G148" s="298">
        <v>299.04000000000002</v>
      </c>
      <c r="H148" s="299">
        <v>304.27999999999997</v>
      </c>
      <c r="I148" s="293">
        <v>309.52</v>
      </c>
      <c r="J148" s="293">
        <v>314.76</v>
      </c>
      <c r="K148" s="293">
        <v>320</v>
      </c>
      <c r="L148" s="293">
        <v>325.25</v>
      </c>
      <c r="M148" s="293">
        <v>330.49</v>
      </c>
      <c r="N148" s="293">
        <v>335.73</v>
      </c>
      <c r="O148" s="237">
        <v>318.85000000000002</v>
      </c>
      <c r="P148" s="237">
        <v>324.08999999999997</v>
      </c>
      <c r="Q148" s="237">
        <v>329.33</v>
      </c>
      <c r="R148" s="237">
        <v>334.57</v>
      </c>
      <c r="S148" s="237">
        <v>240.22</v>
      </c>
      <c r="T148" s="237">
        <v>234.98</v>
      </c>
      <c r="U148" s="237">
        <v>229.74</v>
      </c>
      <c r="V148" s="237">
        <v>224.5</v>
      </c>
      <c r="W148" s="237">
        <v>219.26</v>
      </c>
      <c r="X148" s="51">
        <v>144</v>
      </c>
      <c r="Y148" s="237">
        <v>151.02000000000001</v>
      </c>
      <c r="Z148" s="237">
        <v>154.72</v>
      </c>
      <c r="AA148" s="2">
        <v>158.41999999999999</v>
      </c>
      <c r="AB148" s="59">
        <v>162.12</v>
      </c>
      <c r="AC148" s="3">
        <v>165.82</v>
      </c>
      <c r="AD148" s="297">
        <v>184.54</v>
      </c>
      <c r="AE148" s="298">
        <v>188.24</v>
      </c>
      <c r="AF148" s="298">
        <v>191.94</v>
      </c>
      <c r="AG148" s="310">
        <v>195.64</v>
      </c>
      <c r="AH148" s="299">
        <v>199.35</v>
      </c>
      <c r="AI148" s="293">
        <v>203.05</v>
      </c>
      <c r="AJ148" s="293">
        <v>206.75</v>
      </c>
      <c r="AK148" s="293">
        <v>210.45</v>
      </c>
      <c r="AL148" s="293">
        <v>214.15</v>
      </c>
      <c r="AM148" s="293">
        <v>217.85</v>
      </c>
      <c r="AN148" s="293">
        <v>221.55</v>
      </c>
      <c r="AO148" s="237">
        <v>210.23</v>
      </c>
      <c r="AP148" s="237">
        <v>213.93</v>
      </c>
      <c r="AQ148" s="237">
        <v>217.63</v>
      </c>
      <c r="AR148" s="237">
        <v>221.34</v>
      </c>
      <c r="AS148" s="237">
        <v>154.72</v>
      </c>
      <c r="AT148" s="237">
        <v>151.02000000000001</v>
      </c>
      <c r="AU148" s="237">
        <v>147.32</v>
      </c>
      <c r="AV148" s="237">
        <v>143.62</v>
      </c>
      <c r="AW148" s="237">
        <v>139.91999999999999</v>
      </c>
    </row>
    <row r="149" spans="1:49">
      <c r="A149" s="2">
        <v>247.32</v>
      </c>
      <c r="B149" s="59">
        <v>252.59</v>
      </c>
      <c r="C149" s="3">
        <v>257.87</v>
      </c>
      <c r="D149" s="297">
        <v>285.47000000000003</v>
      </c>
      <c r="E149" s="298">
        <v>290.75</v>
      </c>
      <c r="F149" s="298">
        <v>296.02</v>
      </c>
      <c r="G149" s="298">
        <v>301.3</v>
      </c>
      <c r="H149" s="299">
        <v>306.58</v>
      </c>
      <c r="I149" s="293">
        <v>311.86</v>
      </c>
      <c r="J149" s="293">
        <v>317.14</v>
      </c>
      <c r="K149" s="293">
        <v>322.41000000000003</v>
      </c>
      <c r="L149" s="293">
        <v>327.69</v>
      </c>
      <c r="M149" s="293">
        <v>332.97</v>
      </c>
      <c r="N149" s="293">
        <v>338.25</v>
      </c>
      <c r="O149" s="237">
        <v>321.20999999999998</v>
      </c>
      <c r="P149" s="237">
        <v>326.49</v>
      </c>
      <c r="Q149" s="237">
        <v>331.76</v>
      </c>
      <c r="R149" s="237">
        <v>337.04</v>
      </c>
      <c r="S149" s="237">
        <v>242.04</v>
      </c>
      <c r="T149" s="237">
        <v>236.76</v>
      </c>
      <c r="U149" s="237">
        <v>231.48</v>
      </c>
      <c r="V149" s="237">
        <v>226.2</v>
      </c>
      <c r="W149" s="237">
        <v>220.93</v>
      </c>
      <c r="X149" s="51">
        <v>145</v>
      </c>
      <c r="Y149" s="237">
        <v>152.05000000000001</v>
      </c>
      <c r="Z149" s="237">
        <v>155.78</v>
      </c>
      <c r="AA149" s="2">
        <v>159.51</v>
      </c>
      <c r="AB149" s="59">
        <v>163.22999999999999</v>
      </c>
      <c r="AC149" s="3">
        <v>166.96</v>
      </c>
      <c r="AD149" s="297">
        <v>185.8</v>
      </c>
      <c r="AE149" s="298">
        <v>189.53</v>
      </c>
      <c r="AF149" s="298">
        <v>193.26</v>
      </c>
      <c r="AG149" s="310">
        <v>196.98</v>
      </c>
      <c r="AH149" s="299">
        <v>200.71</v>
      </c>
      <c r="AI149" s="293">
        <v>204.43</v>
      </c>
      <c r="AJ149" s="293">
        <v>208.16</v>
      </c>
      <c r="AK149" s="293">
        <v>211.89</v>
      </c>
      <c r="AL149" s="293">
        <v>215.61</v>
      </c>
      <c r="AM149" s="293">
        <v>219.34</v>
      </c>
      <c r="AN149" s="293">
        <v>223.07</v>
      </c>
      <c r="AO149" s="237">
        <v>210.68</v>
      </c>
      <c r="AP149" s="237">
        <v>215.4</v>
      </c>
      <c r="AQ149" s="237">
        <v>219.13</v>
      </c>
      <c r="AR149" s="237">
        <v>222.86</v>
      </c>
      <c r="AS149" s="237">
        <v>155.78</v>
      </c>
      <c r="AT149" s="237">
        <v>152.05000000000001</v>
      </c>
      <c r="AU149" s="237">
        <v>148.33000000000001</v>
      </c>
      <c r="AV149" s="237">
        <v>144.6</v>
      </c>
      <c r="AW149" s="237">
        <v>140.87</v>
      </c>
    </row>
    <row r="150" spans="1:49">
      <c r="A150" s="2">
        <v>248.97</v>
      </c>
      <c r="B150" s="59">
        <v>254.28</v>
      </c>
      <c r="C150" s="3">
        <v>259.58999999999997</v>
      </c>
      <c r="D150" s="297">
        <v>287.37</v>
      </c>
      <c r="E150" s="298">
        <v>292.68</v>
      </c>
      <c r="F150" s="298">
        <v>297.99</v>
      </c>
      <c r="G150" s="298">
        <v>303.31</v>
      </c>
      <c r="H150" s="299">
        <v>308.62</v>
      </c>
      <c r="I150" s="293">
        <v>313.94</v>
      </c>
      <c r="J150" s="293">
        <v>319.25</v>
      </c>
      <c r="K150" s="293">
        <v>324.57</v>
      </c>
      <c r="L150" s="293">
        <v>329.88</v>
      </c>
      <c r="M150" s="293">
        <v>335.19</v>
      </c>
      <c r="N150" s="293">
        <v>340.51</v>
      </c>
      <c r="O150" s="237">
        <v>323.37</v>
      </c>
      <c r="P150" s="237">
        <v>328.68</v>
      </c>
      <c r="Q150" s="237">
        <v>334</v>
      </c>
      <c r="R150" s="237">
        <v>339.31</v>
      </c>
      <c r="S150" s="237">
        <v>243.65</v>
      </c>
      <c r="T150" s="237">
        <v>238.34</v>
      </c>
      <c r="U150" s="237">
        <v>233.02</v>
      </c>
      <c r="V150" s="237">
        <v>227.71</v>
      </c>
      <c r="W150" s="237">
        <v>222.39</v>
      </c>
      <c r="X150" s="51">
        <v>146</v>
      </c>
      <c r="Y150" s="237">
        <v>153.09</v>
      </c>
      <c r="Z150" s="237">
        <v>156.84</v>
      </c>
      <c r="AA150" s="2">
        <v>160.59</v>
      </c>
      <c r="AB150" s="59">
        <v>164.34</v>
      </c>
      <c r="AC150" s="3">
        <v>168.1</v>
      </c>
      <c r="AD150" s="297">
        <v>187.06</v>
      </c>
      <c r="AE150" s="298">
        <v>190.82</v>
      </c>
      <c r="AF150" s="298">
        <v>194.57</v>
      </c>
      <c r="AG150" s="310">
        <v>198.32</v>
      </c>
      <c r="AH150" s="299">
        <v>202.07</v>
      </c>
      <c r="AI150" s="293">
        <v>205.82</v>
      </c>
      <c r="AJ150" s="293">
        <v>209.58</v>
      </c>
      <c r="AK150" s="293">
        <v>213.33</v>
      </c>
      <c r="AL150" s="293">
        <v>217.08</v>
      </c>
      <c r="AM150" s="293">
        <v>220.83</v>
      </c>
      <c r="AN150" s="293">
        <v>224.59</v>
      </c>
      <c r="AO150" s="237">
        <v>213.12</v>
      </c>
      <c r="AP150" s="237">
        <v>216.88</v>
      </c>
      <c r="AQ150" s="237">
        <v>220.63</v>
      </c>
      <c r="AR150" s="237">
        <v>224.38</v>
      </c>
      <c r="AS150" s="237">
        <v>156.84</v>
      </c>
      <c r="AT150" s="237">
        <v>153.09</v>
      </c>
      <c r="AU150" s="237">
        <v>149.34</v>
      </c>
      <c r="AV150" s="237">
        <v>145.58000000000001</v>
      </c>
      <c r="AW150" s="237">
        <v>141.83000000000001</v>
      </c>
    </row>
    <row r="151" spans="1:49">
      <c r="A151" s="2">
        <v>250.62</v>
      </c>
      <c r="B151" s="59">
        <v>255.97</v>
      </c>
      <c r="C151" s="3">
        <v>261.32</v>
      </c>
      <c r="D151" s="297">
        <v>289.27</v>
      </c>
      <c r="E151" s="298">
        <v>294.62</v>
      </c>
      <c r="F151" s="298">
        <v>299.97000000000003</v>
      </c>
      <c r="G151" s="298">
        <v>305.32</v>
      </c>
      <c r="H151" s="299">
        <v>310.67</v>
      </c>
      <c r="I151" s="293">
        <v>316.02</v>
      </c>
      <c r="J151" s="293">
        <v>321.37</v>
      </c>
      <c r="K151" s="293">
        <v>326.72000000000003</v>
      </c>
      <c r="L151" s="293">
        <v>332.07</v>
      </c>
      <c r="M151" s="293">
        <v>337.42</v>
      </c>
      <c r="N151" s="293">
        <v>342.77</v>
      </c>
      <c r="O151" s="237">
        <v>325.52999999999997</v>
      </c>
      <c r="P151" s="237">
        <v>330.88</v>
      </c>
      <c r="Q151" s="237">
        <v>336.23</v>
      </c>
      <c r="R151" s="237">
        <v>341.58</v>
      </c>
      <c r="S151" s="237">
        <v>245.27</v>
      </c>
      <c r="T151" s="237">
        <v>239.92</v>
      </c>
      <c r="U151" s="237">
        <v>234.57</v>
      </c>
      <c r="V151" s="237">
        <v>229.21</v>
      </c>
      <c r="W151" s="237">
        <v>223.86</v>
      </c>
      <c r="X151" s="51">
        <v>147</v>
      </c>
      <c r="Y151" s="237">
        <v>154.12</v>
      </c>
      <c r="Z151" s="237">
        <v>157.9</v>
      </c>
      <c r="AA151" s="2">
        <v>161.68</v>
      </c>
      <c r="AB151" s="59">
        <v>165.46</v>
      </c>
      <c r="AC151" s="3">
        <v>169.23</v>
      </c>
      <c r="AD151" s="297">
        <v>188.33</v>
      </c>
      <c r="AE151" s="298">
        <v>192.1</v>
      </c>
      <c r="AF151" s="298">
        <v>195.88</v>
      </c>
      <c r="AG151" s="310">
        <v>199.66</v>
      </c>
      <c r="AH151" s="299">
        <v>203.44</v>
      </c>
      <c r="AI151" s="293">
        <v>207.21</v>
      </c>
      <c r="AJ151" s="293">
        <v>210.99</v>
      </c>
      <c r="AK151" s="293">
        <v>214.77</v>
      </c>
      <c r="AL151" s="293">
        <v>218.55</v>
      </c>
      <c r="AM151" s="293">
        <v>222.33</v>
      </c>
      <c r="AN151" s="293">
        <v>226.1</v>
      </c>
      <c r="AO151" s="237">
        <v>214.57</v>
      </c>
      <c r="AP151" s="237">
        <v>218.35</v>
      </c>
      <c r="AQ151" s="237">
        <v>222.12</v>
      </c>
      <c r="AR151" s="237">
        <v>225.9</v>
      </c>
      <c r="AS151" s="237">
        <v>157.9</v>
      </c>
      <c r="AT151" s="237">
        <v>154.12</v>
      </c>
      <c r="AU151" s="237">
        <v>150.34</v>
      </c>
      <c r="AV151" s="237">
        <v>146.57</v>
      </c>
      <c r="AW151" s="237">
        <v>142.79</v>
      </c>
    </row>
    <row r="152" spans="1:49">
      <c r="A152" s="2">
        <v>252.27</v>
      </c>
      <c r="B152" s="59">
        <v>257.66000000000003</v>
      </c>
      <c r="C152" s="3">
        <v>263.05</v>
      </c>
      <c r="D152" s="297">
        <v>291.17</v>
      </c>
      <c r="E152" s="298">
        <v>296.56</v>
      </c>
      <c r="F152" s="298">
        <v>301.94</v>
      </c>
      <c r="G152" s="298">
        <v>307.33</v>
      </c>
      <c r="H152" s="299">
        <v>312.72000000000003</v>
      </c>
      <c r="I152" s="293">
        <v>318.10000000000002</v>
      </c>
      <c r="J152" s="293">
        <v>323.49</v>
      </c>
      <c r="K152" s="293">
        <v>328.88</v>
      </c>
      <c r="L152" s="293">
        <v>334.27</v>
      </c>
      <c r="M152" s="293">
        <v>339.65</v>
      </c>
      <c r="N152" s="293">
        <v>345.04</v>
      </c>
      <c r="O152" s="237">
        <v>327.69</v>
      </c>
      <c r="P152" s="237">
        <v>333.08</v>
      </c>
      <c r="Q152" s="237">
        <v>338.47</v>
      </c>
      <c r="R152" s="237">
        <v>343.85</v>
      </c>
      <c r="S152" s="237">
        <v>246.88</v>
      </c>
      <c r="T152" s="237">
        <v>241.5</v>
      </c>
      <c r="U152" s="237">
        <v>236.11</v>
      </c>
      <c r="V152" s="237">
        <v>230.72</v>
      </c>
      <c r="W152" s="237">
        <v>225.34</v>
      </c>
      <c r="X152" s="51">
        <v>148</v>
      </c>
      <c r="Y152" s="237">
        <v>155.16</v>
      </c>
      <c r="Z152" s="237">
        <v>158.96</v>
      </c>
      <c r="AA152" s="2">
        <v>162.76</v>
      </c>
      <c r="AB152" s="59">
        <v>166.57</v>
      </c>
      <c r="AC152" s="3">
        <v>170.37</v>
      </c>
      <c r="AD152" s="297">
        <v>189.59</v>
      </c>
      <c r="AE152" s="298">
        <v>193.39</v>
      </c>
      <c r="AF152" s="298">
        <v>197.2</v>
      </c>
      <c r="AG152" s="310">
        <v>201</v>
      </c>
      <c r="AH152" s="299">
        <v>204.8</v>
      </c>
      <c r="AI152" s="293">
        <v>208.61</v>
      </c>
      <c r="AJ152" s="293">
        <v>212.41</v>
      </c>
      <c r="AK152" s="293">
        <v>216.21</v>
      </c>
      <c r="AL152" s="293">
        <v>220.02</v>
      </c>
      <c r="AM152" s="293">
        <v>223.82</v>
      </c>
      <c r="AN152" s="293">
        <v>227.62</v>
      </c>
      <c r="AO152" s="237">
        <v>216.02</v>
      </c>
      <c r="AP152" s="237">
        <v>219.82</v>
      </c>
      <c r="AQ152" s="237">
        <v>223.62</v>
      </c>
      <c r="AR152" s="237">
        <v>227.43</v>
      </c>
      <c r="AS152" s="237">
        <v>158.96</v>
      </c>
      <c r="AT152" s="237">
        <v>155.16</v>
      </c>
      <c r="AU152" s="237">
        <v>151.35</v>
      </c>
      <c r="AV152" s="237">
        <v>147.55000000000001</v>
      </c>
      <c r="AW152" s="237">
        <v>143.75</v>
      </c>
    </row>
    <row r="153" spans="1:49">
      <c r="A153" s="2">
        <v>253.93</v>
      </c>
      <c r="B153" s="59">
        <v>259.35000000000002</v>
      </c>
      <c r="C153" s="3">
        <v>264.77999999999997</v>
      </c>
      <c r="D153" s="297">
        <v>293.07</v>
      </c>
      <c r="E153" s="298">
        <v>298.5</v>
      </c>
      <c r="F153" s="298">
        <v>303.92</v>
      </c>
      <c r="G153" s="298">
        <v>309.33999999999997</v>
      </c>
      <c r="H153" s="299">
        <v>314.77</v>
      </c>
      <c r="I153" s="293">
        <v>320.19</v>
      </c>
      <c r="J153" s="293">
        <v>325.62</v>
      </c>
      <c r="K153" s="293">
        <v>331.04</v>
      </c>
      <c r="L153" s="293">
        <v>336.46</v>
      </c>
      <c r="M153" s="293">
        <v>341.89</v>
      </c>
      <c r="N153" s="293">
        <v>347.31</v>
      </c>
      <c r="O153" s="237">
        <v>329.86</v>
      </c>
      <c r="P153" s="237">
        <v>335.28</v>
      </c>
      <c r="Q153" s="237">
        <v>340.71</v>
      </c>
      <c r="R153" s="237">
        <v>346.13</v>
      </c>
      <c r="S153" s="237">
        <v>248.51</v>
      </c>
      <c r="T153" s="237">
        <v>243.08</v>
      </c>
      <c r="U153" s="237">
        <v>237.66</v>
      </c>
      <c r="V153" s="237">
        <v>232.23</v>
      </c>
      <c r="W153" s="237">
        <v>226.81</v>
      </c>
      <c r="X153" s="51">
        <v>149</v>
      </c>
      <c r="Y153" s="237">
        <v>156.26</v>
      </c>
      <c r="Z153" s="237">
        <v>160.08000000000001</v>
      </c>
      <c r="AA153" s="2">
        <v>163.91</v>
      </c>
      <c r="AB153" s="59">
        <v>167.74</v>
      </c>
      <c r="AC153" s="3">
        <v>171.57</v>
      </c>
      <c r="AD153" s="297">
        <v>190.94</v>
      </c>
      <c r="AE153" s="298">
        <v>194.77</v>
      </c>
      <c r="AF153" s="298">
        <v>198.6</v>
      </c>
      <c r="AG153" s="310">
        <v>202.43</v>
      </c>
      <c r="AH153" s="299">
        <v>206.25</v>
      </c>
      <c r="AI153" s="293">
        <v>210.08</v>
      </c>
      <c r="AJ153" s="293">
        <v>213.91</v>
      </c>
      <c r="AK153" s="293">
        <v>217.74</v>
      </c>
      <c r="AL153" s="293">
        <v>221.57</v>
      </c>
      <c r="AM153" s="293">
        <v>225.4</v>
      </c>
      <c r="AN153" s="293">
        <v>229.23</v>
      </c>
      <c r="AO153" s="237">
        <v>217.52</v>
      </c>
      <c r="AP153" s="237">
        <v>221.35</v>
      </c>
      <c r="AQ153" s="237">
        <v>225.18</v>
      </c>
      <c r="AR153" s="237">
        <v>229.01</v>
      </c>
      <c r="AS153" s="237">
        <v>160.08000000000001</v>
      </c>
      <c r="AT153" s="237">
        <v>156.26</v>
      </c>
      <c r="AU153" s="237">
        <v>152.43</v>
      </c>
      <c r="AV153" s="237">
        <v>148.6</v>
      </c>
      <c r="AW153" s="237">
        <v>144.77000000000001</v>
      </c>
    </row>
    <row r="154" spans="1:49">
      <c r="A154" s="2">
        <v>255.81</v>
      </c>
      <c r="B154" s="59">
        <v>261.27</v>
      </c>
      <c r="C154" s="3">
        <v>266.73</v>
      </c>
      <c r="D154" s="297">
        <v>295.26</v>
      </c>
      <c r="E154" s="298">
        <v>300.72000000000003</v>
      </c>
      <c r="F154" s="298">
        <v>306.18</v>
      </c>
      <c r="G154" s="298">
        <v>311.64</v>
      </c>
      <c r="H154" s="299">
        <v>317.10000000000002</v>
      </c>
      <c r="I154" s="293">
        <v>322.56</v>
      </c>
      <c r="J154" s="293">
        <v>328.02</v>
      </c>
      <c r="K154" s="293">
        <v>333.48</v>
      </c>
      <c r="L154" s="293">
        <v>338.94</v>
      </c>
      <c r="M154" s="293">
        <v>344.4</v>
      </c>
      <c r="N154" s="293">
        <v>349.86</v>
      </c>
      <c r="O154" s="237">
        <v>332.25</v>
      </c>
      <c r="P154" s="237">
        <v>337.71</v>
      </c>
      <c r="Q154" s="237">
        <v>343.17</v>
      </c>
      <c r="R154" s="237">
        <v>348.63</v>
      </c>
      <c r="S154" s="237">
        <v>250.35</v>
      </c>
      <c r="T154" s="237">
        <v>244.89</v>
      </c>
      <c r="U154" s="237">
        <v>239.43</v>
      </c>
      <c r="V154" s="237">
        <v>233.97</v>
      </c>
      <c r="W154" s="237">
        <v>228.51</v>
      </c>
      <c r="X154" s="51">
        <v>150</v>
      </c>
      <c r="Y154" s="237">
        <v>157.29</v>
      </c>
      <c r="Z154" s="237">
        <v>161.15</v>
      </c>
      <c r="AA154" s="2">
        <v>165</v>
      </c>
      <c r="AB154" s="59">
        <v>168.86</v>
      </c>
      <c r="AC154" s="3">
        <v>172.71</v>
      </c>
      <c r="AD154" s="297">
        <v>192.2</v>
      </c>
      <c r="AE154" s="298">
        <v>196.06</v>
      </c>
      <c r="AF154" s="298">
        <v>199.91</v>
      </c>
      <c r="AG154" s="310">
        <v>203.77</v>
      </c>
      <c r="AH154" s="299">
        <v>207.62</v>
      </c>
      <c r="AI154" s="293">
        <v>211.48</v>
      </c>
      <c r="AJ154" s="293">
        <v>215.33</v>
      </c>
      <c r="AK154" s="293">
        <v>219.19</v>
      </c>
      <c r="AL154" s="293">
        <v>223.04</v>
      </c>
      <c r="AM154" s="293">
        <v>226.9</v>
      </c>
      <c r="AN154" s="293">
        <v>230.75</v>
      </c>
      <c r="AO154" s="237">
        <v>218.97</v>
      </c>
      <c r="AP154" s="237">
        <v>222.83</v>
      </c>
      <c r="AQ154" s="237">
        <v>226.68</v>
      </c>
      <c r="AR154" s="237">
        <v>230.54</v>
      </c>
      <c r="AS154" s="237">
        <v>161.15</v>
      </c>
      <c r="AT154" s="237">
        <v>157.29</v>
      </c>
      <c r="AU154" s="237">
        <v>153.44</v>
      </c>
      <c r="AV154" s="237">
        <v>149.58000000000001</v>
      </c>
      <c r="AW154" s="237">
        <v>145.72999999999999</v>
      </c>
    </row>
    <row r="155" spans="1:49">
      <c r="A155" s="2">
        <v>257.47000000000003</v>
      </c>
      <c r="B155" s="59">
        <v>262.97000000000003</v>
      </c>
      <c r="C155" s="3">
        <v>268.45999999999998</v>
      </c>
      <c r="D155" s="297">
        <v>297.18</v>
      </c>
      <c r="E155" s="298">
        <v>302.68</v>
      </c>
      <c r="F155" s="298">
        <v>308.17</v>
      </c>
      <c r="G155" s="298">
        <v>313.67</v>
      </c>
      <c r="H155" s="299">
        <v>319.17</v>
      </c>
      <c r="I155" s="293">
        <v>324.66000000000003</v>
      </c>
      <c r="J155" s="293">
        <v>330.16</v>
      </c>
      <c r="K155" s="293">
        <v>335.65</v>
      </c>
      <c r="L155" s="293">
        <v>341.15</v>
      </c>
      <c r="M155" s="293">
        <v>346.65</v>
      </c>
      <c r="N155" s="293">
        <v>352.14</v>
      </c>
      <c r="O155" s="237">
        <v>334.42</v>
      </c>
      <c r="P155" s="237">
        <v>339.92</v>
      </c>
      <c r="Q155" s="237">
        <v>345.41</v>
      </c>
      <c r="R155" s="237">
        <v>350.91</v>
      </c>
      <c r="S155" s="237">
        <v>251.97</v>
      </c>
      <c r="T155" s="237">
        <v>246.48</v>
      </c>
      <c r="U155" s="237">
        <v>240.98</v>
      </c>
      <c r="V155" s="237">
        <v>235.49</v>
      </c>
      <c r="W155" s="237">
        <v>229.99</v>
      </c>
      <c r="X155" s="51">
        <v>151</v>
      </c>
      <c r="Y155" s="237">
        <v>158.33000000000001</v>
      </c>
      <c r="Z155" s="237">
        <v>162.21</v>
      </c>
      <c r="AA155" s="2">
        <v>166.09</v>
      </c>
      <c r="AB155" s="59">
        <v>169.97</v>
      </c>
      <c r="AC155" s="3">
        <v>173.85</v>
      </c>
      <c r="AD155" s="297">
        <v>193.47</v>
      </c>
      <c r="AE155" s="298">
        <v>197.35</v>
      </c>
      <c r="AF155" s="298">
        <v>201.23</v>
      </c>
      <c r="AG155" s="310">
        <v>205.11</v>
      </c>
      <c r="AH155" s="299">
        <v>208.99</v>
      </c>
      <c r="AI155" s="293">
        <v>212.87</v>
      </c>
      <c r="AJ155" s="293">
        <v>216.75</v>
      </c>
      <c r="AK155" s="293">
        <v>220.63</v>
      </c>
      <c r="AL155" s="293">
        <v>224.52</v>
      </c>
      <c r="AM155" s="293">
        <v>228.4</v>
      </c>
      <c r="AN155" s="293">
        <v>232.28</v>
      </c>
      <c r="AO155" s="237">
        <v>220.42</v>
      </c>
      <c r="AP155" s="237">
        <v>224.3</v>
      </c>
      <c r="AQ155" s="237">
        <v>228.18</v>
      </c>
      <c r="AR155" s="237">
        <v>232.06</v>
      </c>
      <c r="AS155" s="237">
        <v>162.21</v>
      </c>
      <c r="AT155" s="237">
        <v>158.33000000000001</v>
      </c>
      <c r="AU155" s="237">
        <v>154.44999999999999</v>
      </c>
      <c r="AV155" s="237">
        <v>150.57</v>
      </c>
      <c r="AW155" s="237">
        <v>146.69</v>
      </c>
    </row>
    <row r="156" spans="1:49">
      <c r="A156" s="2">
        <v>259.14</v>
      </c>
      <c r="B156" s="59">
        <v>264.67</v>
      </c>
      <c r="C156" s="3">
        <v>270.2</v>
      </c>
      <c r="D156" s="297">
        <v>299.10000000000002</v>
      </c>
      <c r="E156" s="298">
        <v>304.63</v>
      </c>
      <c r="F156" s="298">
        <v>310.16000000000003</v>
      </c>
      <c r="G156" s="298">
        <v>315.7</v>
      </c>
      <c r="H156" s="299">
        <v>321.23</v>
      </c>
      <c r="I156" s="293">
        <v>326.76</v>
      </c>
      <c r="J156" s="293">
        <v>332.3</v>
      </c>
      <c r="K156" s="293">
        <v>337.83</v>
      </c>
      <c r="L156" s="293">
        <v>343.36</v>
      </c>
      <c r="M156" s="293">
        <v>348.89</v>
      </c>
      <c r="N156" s="293">
        <v>354.43</v>
      </c>
      <c r="O156" s="237">
        <v>336.6</v>
      </c>
      <c r="P156" s="237">
        <v>342.13</v>
      </c>
      <c r="Q156" s="237">
        <v>347.66</v>
      </c>
      <c r="R156" s="237">
        <v>353.2</v>
      </c>
      <c r="S156" s="237">
        <v>253.6</v>
      </c>
      <c r="T156" s="237">
        <v>248.07</v>
      </c>
      <c r="U156" s="237">
        <v>242.54</v>
      </c>
      <c r="V156" s="237">
        <v>237.01</v>
      </c>
      <c r="W156" s="237">
        <v>231.47</v>
      </c>
      <c r="X156" s="51">
        <v>152</v>
      </c>
      <c r="Y156" s="237">
        <v>159.37</v>
      </c>
      <c r="Z156" s="237">
        <v>163.28</v>
      </c>
      <c r="AA156" s="2">
        <v>167.18</v>
      </c>
      <c r="AB156" s="59">
        <v>171.09</v>
      </c>
      <c r="AC156" s="3">
        <v>175</v>
      </c>
      <c r="AD156" s="297">
        <v>194.74</v>
      </c>
      <c r="AE156" s="298">
        <v>198.64</v>
      </c>
      <c r="AF156" s="298">
        <v>202.55</v>
      </c>
      <c r="AG156" s="310">
        <v>206.46</v>
      </c>
      <c r="AH156" s="299">
        <v>210.36</v>
      </c>
      <c r="AI156" s="293">
        <v>214.27</v>
      </c>
      <c r="AJ156" s="293">
        <v>218.18</v>
      </c>
      <c r="AK156" s="293">
        <v>222.08</v>
      </c>
      <c r="AL156" s="293">
        <v>225.99</v>
      </c>
      <c r="AM156" s="293">
        <v>229.9</v>
      </c>
      <c r="AN156" s="293">
        <v>233.8</v>
      </c>
      <c r="AO156" s="237">
        <v>221.87</v>
      </c>
      <c r="AP156" s="237">
        <v>225.78</v>
      </c>
      <c r="AQ156" s="237">
        <v>229.68</v>
      </c>
      <c r="AR156" s="237">
        <v>233.59</v>
      </c>
      <c r="AS156" s="237">
        <v>163.28</v>
      </c>
      <c r="AT156" s="237">
        <v>159.37</v>
      </c>
      <c r="AU156" s="237">
        <v>155.46</v>
      </c>
      <c r="AV156" s="237">
        <v>151.56</v>
      </c>
      <c r="AW156" s="237">
        <v>147.65</v>
      </c>
    </row>
    <row r="157" spans="1:49">
      <c r="A157" s="2">
        <v>260.81</v>
      </c>
      <c r="B157" s="59">
        <v>266.38</v>
      </c>
      <c r="C157" s="3">
        <v>271.94</v>
      </c>
      <c r="D157" s="297">
        <v>301.02</v>
      </c>
      <c r="E157" s="298">
        <v>306.58999999999997</v>
      </c>
      <c r="F157" s="298">
        <v>312.16000000000003</v>
      </c>
      <c r="G157" s="298">
        <v>317.73</v>
      </c>
      <c r="H157" s="299">
        <v>323.3</v>
      </c>
      <c r="I157" s="293">
        <v>328.87</v>
      </c>
      <c r="J157" s="293">
        <v>334.44</v>
      </c>
      <c r="K157" s="293">
        <v>340</v>
      </c>
      <c r="L157" s="293">
        <v>345.57</v>
      </c>
      <c r="M157" s="293">
        <v>351.14</v>
      </c>
      <c r="N157" s="293">
        <v>356.71</v>
      </c>
      <c r="O157" s="237">
        <v>338.78</v>
      </c>
      <c r="P157" s="237">
        <v>344.34</v>
      </c>
      <c r="Q157" s="237">
        <v>349.91</v>
      </c>
      <c r="R157" s="237">
        <v>355.48</v>
      </c>
      <c r="S157" s="237">
        <v>255.24</v>
      </c>
      <c r="T157" s="237">
        <v>249.67</v>
      </c>
      <c r="U157" s="237">
        <v>244.1</v>
      </c>
      <c r="V157" s="237">
        <v>238.53</v>
      </c>
      <c r="W157" s="237">
        <v>232.96</v>
      </c>
      <c r="X157" s="51">
        <v>153</v>
      </c>
      <c r="Y157" s="237">
        <v>160.41</v>
      </c>
      <c r="Z157" s="237">
        <v>164.34</v>
      </c>
      <c r="AA157" s="2">
        <v>168.27</v>
      </c>
      <c r="AB157" s="59">
        <v>172.21</v>
      </c>
      <c r="AC157" s="3">
        <v>176.14</v>
      </c>
      <c r="AD157" s="297">
        <v>196.01</v>
      </c>
      <c r="AE157" s="298">
        <v>199.94</v>
      </c>
      <c r="AF157" s="298">
        <v>203.87</v>
      </c>
      <c r="AG157" s="310">
        <v>207.8</v>
      </c>
      <c r="AH157" s="299">
        <v>211.73</v>
      </c>
      <c r="AI157" s="293">
        <v>215.67</v>
      </c>
      <c r="AJ157" s="293">
        <v>219.6</v>
      </c>
      <c r="AK157" s="293">
        <v>223.53</v>
      </c>
      <c r="AL157" s="293">
        <v>227.46</v>
      </c>
      <c r="AM157" s="293">
        <v>231.4</v>
      </c>
      <c r="AN157" s="293">
        <v>235.33</v>
      </c>
      <c r="AO157" s="237">
        <v>223.32</v>
      </c>
      <c r="AP157" s="237">
        <v>227.25</v>
      </c>
      <c r="AQ157" s="237">
        <v>231.19</v>
      </c>
      <c r="AR157" s="237">
        <v>235.12</v>
      </c>
      <c r="AS157" s="237">
        <v>164.34</v>
      </c>
      <c r="AT157" s="237">
        <v>160.41</v>
      </c>
      <c r="AU157" s="237">
        <v>156.47999999999999</v>
      </c>
      <c r="AV157" s="237">
        <v>152.55000000000001</v>
      </c>
      <c r="AW157" s="237">
        <v>148.61000000000001</v>
      </c>
    </row>
    <row r="158" spans="1:49">
      <c r="A158" s="2">
        <v>262.48</v>
      </c>
      <c r="B158" s="59">
        <v>268.08</v>
      </c>
      <c r="C158" s="3">
        <v>273.69</v>
      </c>
      <c r="D158" s="297">
        <v>302.95</v>
      </c>
      <c r="E158" s="298">
        <v>308.55</v>
      </c>
      <c r="F158" s="298">
        <v>314.16000000000003</v>
      </c>
      <c r="G158" s="298">
        <v>319.76</v>
      </c>
      <c r="H158" s="299">
        <v>325.37</v>
      </c>
      <c r="I158" s="293">
        <v>330.97</v>
      </c>
      <c r="J158" s="293">
        <v>336.58</v>
      </c>
      <c r="K158" s="293">
        <v>342.18</v>
      </c>
      <c r="L158" s="293">
        <v>347.79</v>
      </c>
      <c r="M158" s="293">
        <v>353.4</v>
      </c>
      <c r="N158" s="293">
        <v>359</v>
      </c>
      <c r="O158" s="237">
        <v>340.96</v>
      </c>
      <c r="P158" s="237">
        <v>346.56</v>
      </c>
      <c r="Q158" s="237">
        <v>352.17</v>
      </c>
      <c r="R158" s="237">
        <v>357.77</v>
      </c>
      <c r="S158" s="237">
        <v>256.87</v>
      </c>
      <c r="T158" s="237">
        <v>251.27</v>
      </c>
      <c r="U158" s="237">
        <v>245.66</v>
      </c>
      <c r="V158" s="237">
        <v>240.06</v>
      </c>
      <c r="W158" s="237">
        <v>234.45</v>
      </c>
      <c r="X158" s="51">
        <v>154</v>
      </c>
      <c r="Y158" s="237">
        <v>161.44999999999999</v>
      </c>
      <c r="Z158" s="237">
        <v>165.41</v>
      </c>
      <c r="AA158" s="2">
        <v>169.37</v>
      </c>
      <c r="AB158" s="59">
        <v>173.32</v>
      </c>
      <c r="AC158" s="3">
        <v>177.28</v>
      </c>
      <c r="AD158" s="297">
        <v>197.28</v>
      </c>
      <c r="AE158" s="298">
        <v>201.23</v>
      </c>
      <c r="AF158" s="298">
        <v>205.19</v>
      </c>
      <c r="AG158" s="310">
        <v>209.15</v>
      </c>
      <c r="AH158" s="299">
        <v>213.11</v>
      </c>
      <c r="AI158" s="293">
        <v>217.07</v>
      </c>
      <c r="AJ158" s="293">
        <v>221.02</v>
      </c>
      <c r="AK158" s="293">
        <v>224.98</v>
      </c>
      <c r="AL158" s="293">
        <v>228.94</v>
      </c>
      <c r="AM158" s="293">
        <v>232.9</v>
      </c>
      <c r="AN158" s="293">
        <v>236.85</v>
      </c>
      <c r="AO158" s="237">
        <v>224.77</v>
      </c>
      <c r="AP158" s="237">
        <v>228.73</v>
      </c>
      <c r="AQ158" s="237">
        <v>232.69</v>
      </c>
      <c r="AR158" s="237">
        <v>236.65</v>
      </c>
      <c r="AS158" s="237">
        <v>165.41</v>
      </c>
      <c r="AT158" s="237">
        <v>161.44999999999999</v>
      </c>
      <c r="AU158" s="237">
        <v>157.49</v>
      </c>
      <c r="AV158" s="237">
        <v>153.53</v>
      </c>
      <c r="AW158" s="237">
        <v>149.58000000000001</v>
      </c>
    </row>
    <row r="159" spans="1:49">
      <c r="A159" s="2">
        <v>264.14999999999998</v>
      </c>
      <c r="B159" s="59">
        <v>269.79000000000002</v>
      </c>
      <c r="C159" s="3">
        <v>275.44</v>
      </c>
      <c r="D159" s="297">
        <v>304.87</v>
      </c>
      <c r="E159" s="298">
        <v>310.52</v>
      </c>
      <c r="F159" s="298">
        <v>316.16000000000003</v>
      </c>
      <c r="G159" s="298">
        <v>321.8</v>
      </c>
      <c r="H159" s="299">
        <v>327.44</v>
      </c>
      <c r="I159" s="293">
        <v>333.08</v>
      </c>
      <c r="J159" s="293">
        <v>338.73</v>
      </c>
      <c r="K159" s="293">
        <v>344.37</v>
      </c>
      <c r="L159" s="293">
        <v>350.01</v>
      </c>
      <c r="M159" s="293">
        <v>355.65</v>
      </c>
      <c r="N159" s="293">
        <v>361.29</v>
      </c>
      <c r="O159" s="237">
        <v>343.14</v>
      </c>
      <c r="P159" s="237">
        <v>348.78</v>
      </c>
      <c r="Q159" s="237">
        <v>354.42</v>
      </c>
      <c r="R159" s="237">
        <v>360.07</v>
      </c>
      <c r="S159" s="237">
        <v>258.51</v>
      </c>
      <c r="T159" s="237">
        <v>252.87</v>
      </c>
      <c r="U159" s="237">
        <v>247.23</v>
      </c>
      <c r="V159" s="237">
        <v>241.58</v>
      </c>
      <c r="W159" s="237">
        <v>235.94</v>
      </c>
      <c r="X159" s="51">
        <v>155</v>
      </c>
      <c r="Y159" s="237">
        <v>162.49</v>
      </c>
      <c r="Z159" s="237">
        <v>166.47</v>
      </c>
      <c r="AA159" s="2">
        <v>170.46</v>
      </c>
      <c r="AB159" s="59">
        <v>174.44</v>
      </c>
      <c r="AC159" s="3">
        <v>178.42</v>
      </c>
      <c r="AD159" s="297">
        <v>198.55</v>
      </c>
      <c r="AE159" s="298">
        <v>202.53</v>
      </c>
      <c r="AF159" s="298">
        <v>206.51</v>
      </c>
      <c r="AG159" s="310">
        <v>210.5</v>
      </c>
      <c r="AH159" s="299">
        <v>214.48</v>
      </c>
      <c r="AI159" s="293">
        <v>218.46</v>
      </c>
      <c r="AJ159" s="293">
        <v>222.45</v>
      </c>
      <c r="AK159" s="293">
        <v>226.43</v>
      </c>
      <c r="AL159" s="293">
        <v>230.42</v>
      </c>
      <c r="AM159" s="293">
        <v>234.4</v>
      </c>
      <c r="AN159" s="293">
        <v>238.38</v>
      </c>
      <c r="AO159" s="237">
        <v>226.23</v>
      </c>
      <c r="AP159" s="237">
        <v>230.21</v>
      </c>
      <c r="AQ159" s="237">
        <v>234.19</v>
      </c>
      <c r="AR159" s="237">
        <v>238.18</v>
      </c>
      <c r="AS159" s="237">
        <v>166.47</v>
      </c>
      <c r="AT159" s="237">
        <v>162.49</v>
      </c>
      <c r="AU159" s="237">
        <v>158.51</v>
      </c>
      <c r="AV159" s="237">
        <v>154.52000000000001</v>
      </c>
      <c r="AW159" s="237">
        <v>150.54</v>
      </c>
    </row>
    <row r="160" spans="1:49">
      <c r="A160" s="2">
        <v>265.83</v>
      </c>
      <c r="B160" s="59">
        <v>271.51</v>
      </c>
      <c r="C160" s="3">
        <v>277.19</v>
      </c>
      <c r="D160" s="297">
        <v>306.81</v>
      </c>
      <c r="E160" s="298">
        <v>312.48</v>
      </c>
      <c r="F160" s="298">
        <v>318.16000000000003</v>
      </c>
      <c r="G160" s="298">
        <v>323.83999999999997</v>
      </c>
      <c r="H160" s="299">
        <v>329.52</v>
      </c>
      <c r="I160" s="293">
        <v>335.2</v>
      </c>
      <c r="J160" s="293">
        <v>340.88</v>
      </c>
      <c r="K160" s="293">
        <v>346.55</v>
      </c>
      <c r="L160" s="293">
        <v>352.23</v>
      </c>
      <c r="M160" s="293">
        <v>357.91</v>
      </c>
      <c r="N160" s="293">
        <v>363.59</v>
      </c>
      <c r="O160" s="237">
        <v>345.33</v>
      </c>
      <c r="P160" s="237">
        <v>351.01</v>
      </c>
      <c r="Q160" s="237">
        <v>356.68</v>
      </c>
      <c r="R160" s="237">
        <v>362.36</v>
      </c>
      <c r="S160" s="237">
        <v>260.14999999999998</v>
      </c>
      <c r="T160" s="237">
        <v>254.47</v>
      </c>
      <c r="U160" s="237">
        <v>248.79</v>
      </c>
      <c r="V160" s="237">
        <v>243.12</v>
      </c>
      <c r="W160" s="237">
        <v>237.44</v>
      </c>
      <c r="X160" s="51">
        <v>156</v>
      </c>
      <c r="Y160" s="237">
        <v>163.53</v>
      </c>
      <c r="Z160" s="237">
        <v>167.54</v>
      </c>
      <c r="AA160" s="2">
        <v>171.55</v>
      </c>
      <c r="AB160" s="59">
        <v>175.56</v>
      </c>
      <c r="AC160" s="3">
        <v>179.57</v>
      </c>
      <c r="AD160" s="297">
        <v>199.82</v>
      </c>
      <c r="AE160" s="298">
        <v>203.83</v>
      </c>
      <c r="AF160" s="298">
        <v>207.84</v>
      </c>
      <c r="AG160" s="310">
        <v>211.85</v>
      </c>
      <c r="AH160" s="299">
        <v>215.86</v>
      </c>
      <c r="AI160" s="293">
        <v>219.86</v>
      </c>
      <c r="AJ160" s="293">
        <v>223.87</v>
      </c>
      <c r="AK160" s="293">
        <v>227.88</v>
      </c>
      <c r="AL160" s="293">
        <v>231.89</v>
      </c>
      <c r="AM160" s="293">
        <v>235.9</v>
      </c>
      <c r="AN160" s="293">
        <v>239.91</v>
      </c>
      <c r="AO160" s="237">
        <v>227.68</v>
      </c>
      <c r="AP160" s="237">
        <v>231.69</v>
      </c>
      <c r="AQ160" s="237">
        <v>235.7</v>
      </c>
      <c r="AR160" s="237">
        <v>239.71</v>
      </c>
      <c r="AS160" s="237">
        <v>167.54</v>
      </c>
      <c r="AT160" s="237">
        <v>163.53</v>
      </c>
      <c r="AU160" s="237">
        <v>159.52000000000001</v>
      </c>
      <c r="AV160" s="237">
        <v>155.51</v>
      </c>
      <c r="AW160" s="237">
        <v>151.5</v>
      </c>
    </row>
    <row r="161" spans="1:49">
      <c r="A161" s="2">
        <v>267.51</v>
      </c>
      <c r="B161" s="59">
        <v>273.22000000000003</v>
      </c>
      <c r="C161" s="3">
        <v>278.94</v>
      </c>
      <c r="D161" s="297">
        <v>308.74</v>
      </c>
      <c r="E161" s="298">
        <v>314.45999999999998</v>
      </c>
      <c r="F161" s="298">
        <v>320.17</v>
      </c>
      <c r="G161" s="298">
        <v>325.89</v>
      </c>
      <c r="H161" s="299">
        <v>331.6</v>
      </c>
      <c r="I161" s="293">
        <v>337.31</v>
      </c>
      <c r="J161" s="293">
        <v>343.03</v>
      </c>
      <c r="K161" s="293">
        <v>348.74</v>
      </c>
      <c r="L161" s="293">
        <v>354.46</v>
      </c>
      <c r="M161" s="293">
        <v>360.17</v>
      </c>
      <c r="N161" s="293">
        <v>365.89</v>
      </c>
      <c r="O161" s="237">
        <v>347.52</v>
      </c>
      <c r="P161" s="237">
        <v>353.23</v>
      </c>
      <c r="Q161" s="237">
        <v>358.95</v>
      </c>
      <c r="R161" s="237">
        <v>364.66</v>
      </c>
      <c r="S161" s="237">
        <v>261.79000000000002</v>
      </c>
      <c r="T161" s="237">
        <v>256.08</v>
      </c>
      <c r="U161" s="237">
        <v>250.36</v>
      </c>
      <c r="V161" s="237">
        <v>244.65</v>
      </c>
      <c r="W161" s="237">
        <v>238.94</v>
      </c>
      <c r="X161" s="51">
        <v>157</v>
      </c>
      <c r="Y161" s="237">
        <v>164.58</v>
      </c>
      <c r="Z161" s="237">
        <v>168.61</v>
      </c>
      <c r="AA161" s="2">
        <v>172.64</v>
      </c>
      <c r="AB161" s="59">
        <v>176.68</v>
      </c>
      <c r="AC161" s="3">
        <v>180.71</v>
      </c>
      <c r="AD161" s="297">
        <v>201.09</v>
      </c>
      <c r="AE161" s="298">
        <v>205.13</v>
      </c>
      <c r="AF161" s="298">
        <v>209.16</v>
      </c>
      <c r="AG161" s="310">
        <v>213.2</v>
      </c>
      <c r="AH161" s="299">
        <v>217.23</v>
      </c>
      <c r="AI161" s="293">
        <v>221.27</v>
      </c>
      <c r="AJ161" s="293">
        <v>225.3</v>
      </c>
      <c r="AK161" s="293">
        <v>229.34</v>
      </c>
      <c r="AL161" s="293">
        <v>233.37</v>
      </c>
      <c r="AM161" s="293">
        <v>237.41</v>
      </c>
      <c r="AN161" s="293">
        <v>241.44</v>
      </c>
      <c r="AO161" s="237">
        <v>229.13</v>
      </c>
      <c r="AP161" s="237">
        <v>233.17</v>
      </c>
      <c r="AQ161" s="237">
        <v>237.2</v>
      </c>
      <c r="AR161" s="237">
        <v>241.24</v>
      </c>
      <c r="AS161" s="237">
        <v>168.61</v>
      </c>
      <c r="AT161" s="237">
        <v>164.58</v>
      </c>
      <c r="AU161" s="237">
        <v>160.54</v>
      </c>
      <c r="AV161" s="237">
        <v>156.51</v>
      </c>
      <c r="AW161" s="237">
        <v>152.47</v>
      </c>
    </row>
    <row r="162" spans="1:49">
      <c r="A162" s="2">
        <v>269.43</v>
      </c>
      <c r="B162" s="59">
        <v>275.19</v>
      </c>
      <c r="C162" s="3">
        <v>280.94</v>
      </c>
      <c r="D162" s="297">
        <v>310.99</v>
      </c>
      <c r="E162" s="298">
        <v>316.74</v>
      </c>
      <c r="F162" s="298">
        <v>322.49</v>
      </c>
      <c r="G162" s="298">
        <v>328.25</v>
      </c>
      <c r="H162" s="299">
        <v>334</v>
      </c>
      <c r="I162" s="293">
        <v>339.75</v>
      </c>
      <c r="J162" s="293">
        <v>345.5</v>
      </c>
      <c r="K162" s="293">
        <v>351.25</v>
      </c>
      <c r="L162" s="293">
        <v>357</v>
      </c>
      <c r="M162" s="293">
        <v>362.75</v>
      </c>
      <c r="N162" s="293">
        <v>368.5</v>
      </c>
      <c r="O162" s="237">
        <v>349.95</v>
      </c>
      <c r="P162" s="237">
        <v>355.7</v>
      </c>
      <c r="Q162" s="237">
        <v>361.45</v>
      </c>
      <c r="R162" s="237">
        <v>367.21</v>
      </c>
      <c r="S162" s="237">
        <v>263.68</v>
      </c>
      <c r="T162" s="237">
        <v>257.93</v>
      </c>
      <c r="U162" s="237">
        <v>252.18</v>
      </c>
      <c r="V162" s="237">
        <v>246.43</v>
      </c>
      <c r="W162" s="237">
        <v>240.68</v>
      </c>
      <c r="X162" s="51">
        <v>158</v>
      </c>
      <c r="Y162" s="237">
        <v>165.62</v>
      </c>
      <c r="Z162" s="237">
        <v>169.68</v>
      </c>
      <c r="AA162" s="2">
        <v>173.74</v>
      </c>
      <c r="AB162" s="59">
        <v>177.8</v>
      </c>
      <c r="AC162" s="3">
        <v>181.86</v>
      </c>
      <c r="AD162" s="297">
        <v>202.37</v>
      </c>
      <c r="AE162" s="298">
        <v>206.43</v>
      </c>
      <c r="AF162" s="298">
        <v>210.49</v>
      </c>
      <c r="AG162" s="310">
        <v>214.55</v>
      </c>
      <c r="AH162" s="299">
        <v>218.61</v>
      </c>
      <c r="AI162" s="293">
        <v>222.67</v>
      </c>
      <c r="AJ162" s="293">
        <v>226.73</v>
      </c>
      <c r="AK162" s="293">
        <v>230.79</v>
      </c>
      <c r="AL162" s="293">
        <v>234.85</v>
      </c>
      <c r="AM162" s="293">
        <v>238.91</v>
      </c>
      <c r="AN162" s="293">
        <v>242.97</v>
      </c>
      <c r="AO162" s="237">
        <v>230.59</v>
      </c>
      <c r="AP162" s="237">
        <v>234.65</v>
      </c>
      <c r="AQ162" s="237">
        <v>238.71</v>
      </c>
      <c r="AR162" s="237">
        <v>242.77</v>
      </c>
      <c r="AS162" s="237">
        <v>169.68</v>
      </c>
      <c r="AT162" s="237">
        <v>165.62</v>
      </c>
      <c r="AU162" s="237">
        <v>161.56</v>
      </c>
      <c r="AV162" s="237">
        <v>157.5</v>
      </c>
      <c r="AW162" s="237">
        <v>153.44</v>
      </c>
    </row>
    <row r="163" spans="1:49">
      <c r="A163" s="2">
        <v>271.12</v>
      </c>
      <c r="B163" s="59">
        <v>276.91000000000003</v>
      </c>
      <c r="C163" s="3">
        <v>282.7</v>
      </c>
      <c r="D163" s="297">
        <v>312.94</v>
      </c>
      <c r="E163" s="298">
        <v>318.73</v>
      </c>
      <c r="F163" s="298">
        <v>324.51</v>
      </c>
      <c r="G163" s="298">
        <v>330.3</v>
      </c>
      <c r="H163" s="299">
        <v>336.09</v>
      </c>
      <c r="I163" s="293">
        <v>341.88</v>
      </c>
      <c r="J163" s="293">
        <v>347.66</v>
      </c>
      <c r="K163" s="293">
        <v>353.45</v>
      </c>
      <c r="L163" s="293">
        <v>359.24</v>
      </c>
      <c r="M163" s="293">
        <v>365.03</v>
      </c>
      <c r="N163" s="293">
        <v>370.81</v>
      </c>
      <c r="O163" s="237">
        <v>352.15</v>
      </c>
      <c r="P163" s="237">
        <v>357.94</v>
      </c>
      <c r="Q163" s="237">
        <v>363.72</v>
      </c>
      <c r="R163" s="237">
        <v>369.51</v>
      </c>
      <c r="S163" s="237">
        <v>265.33999999999997</v>
      </c>
      <c r="T163" s="237">
        <v>259.55</v>
      </c>
      <c r="U163" s="237">
        <v>253.76</v>
      </c>
      <c r="V163" s="237">
        <v>247.97</v>
      </c>
      <c r="W163" s="237">
        <v>242.18</v>
      </c>
      <c r="X163" s="51">
        <v>159</v>
      </c>
      <c r="Y163" s="237">
        <v>166.66</v>
      </c>
      <c r="Z163" s="237">
        <v>170.75</v>
      </c>
      <c r="AA163" s="2">
        <v>174.84</v>
      </c>
      <c r="AB163" s="59">
        <v>178.92</v>
      </c>
      <c r="AC163" s="3">
        <v>183.01</v>
      </c>
      <c r="AD163" s="297">
        <v>203.64</v>
      </c>
      <c r="AE163" s="298">
        <v>207.73</v>
      </c>
      <c r="AF163" s="298">
        <v>211.81</v>
      </c>
      <c r="AG163" s="310">
        <v>215.9</v>
      </c>
      <c r="AH163" s="299">
        <v>219.99</v>
      </c>
      <c r="AI163" s="293">
        <v>224.07</v>
      </c>
      <c r="AJ163" s="293">
        <v>228.16</v>
      </c>
      <c r="AK163" s="293">
        <v>232.25</v>
      </c>
      <c r="AL163" s="293">
        <v>236.33</v>
      </c>
      <c r="AM163" s="293">
        <v>240.42</v>
      </c>
      <c r="AN163" s="293">
        <v>244.5</v>
      </c>
      <c r="AO163" s="237">
        <v>232.04</v>
      </c>
      <c r="AP163" s="237">
        <v>236.13</v>
      </c>
      <c r="AQ163" s="237">
        <v>240.22</v>
      </c>
      <c r="AR163" s="237">
        <v>244.3</v>
      </c>
      <c r="AS163" s="237">
        <v>170.75</v>
      </c>
      <c r="AT163" s="237">
        <v>166.66</v>
      </c>
      <c r="AU163" s="237">
        <v>162.58000000000001</v>
      </c>
      <c r="AV163" s="237">
        <v>158.49</v>
      </c>
      <c r="AW163" s="237">
        <v>154.4</v>
      </c>
    </row>
    <row r="164" spans="1:49">
      <c r="A164" s="2">
        <v>272.81</v>
      </c>
      <c r="B164" s="59">
        <v>278.64</v>
      </c>
      <c r="C164" s="3">
        <v>284.45999999999998</v>
      </c>
      <c r="D164" s="297">
        <v>314.89</v>
      </c>
      <c r="E164" s="298">
        <v>320.70999999999998</v>
      </c>
      <c r="F164" s="298">
        <v>326.54000000000002</v>
      </c>
      <c r="G164" s="298">
        <v>332.36</v>
      </c>
      <c r="H164" s="299">
        <v>338.18</v>
      </c>
      <c r="I164" s="293">
        <v>344.01</v>
      </c>
      <c r="J164" s="293">
        <v>349.83</v>
      </c>
      <c r="K164" s="293">
        <v>355.66</v>
      </c>
      <c r="L164" s="293">
        <v>361.48</v>
      </c>
      <c r="M164" s="293">
        <v>367.3</v>
      </c>
      <c r="N164" s="293">
        <v>373.13</v>
      </c>
      <c r="O164" s="237">
        <v>354.35</v>
      </c>
      <c r="P164" s="237">
        <v>360.17</v>
      </c>
      <c r="Q164" s="237">
        <v>366</v>
      </c>
      <c r="R164" s="237">
        <v>371.82</v>
      </c>
      <c r="S164" s="237">
        <v>266.99</v>
      </c>
      <c r="T164" s="237">
        <v>261.17</v>
      </c>
      <c r="U164" s="237">
        <v>255.34</v>
      </c>
      <c r="V164" s="237">
        <v>249.52</v>
      </c>
      <c r="W164" s="237">
        <v>243.69</v>
      </c>
      <c r="X164" s="51">
        <v>160</v>
      </c>
      <c r="Y164" s="237">
        <v>167.71</v>
      </c>
      <c r="Z164" s="237">
        <v>171.82</v>
      </c>
      <c r="AA164" s="2">
        <v>175.93</v>
      </c>
      <c r="AB164" s="59">
        <v>180.04</v>
      </c>
      <c r="AC164" s="3">
        <v>184.16</v>
      </c>
      <c r="AD164" s="297">
        <v>204.92</v>
      </c>
      <c r="AE164" s="298">
        <v>209.03</v>
      </c>
      <c r="AF164" s="298">
        <v>213.14</v>
      </c>
      <c r="AG164" s="310">
        <v>217.25</v>
      </c>
      <c r="AH164" s="299">
        <v>221.37</v>
      </c>
      <c r="AI164" s="293">
        <v>225.48</v>
      </c>
      <c r="AJ164" s="293">
        <v>229.59</v>
      </c>
      <c r="AK164" s="293">
        <v>233.7</v>
      </c>
      <c r="AL164" s="293">
        <v>237.81</v>
      </c>
      <c r="AM164" s="293">
        <v>241.93</v>
      </c>
      <c r="AN164" s="293">
        <v>246.04</v>
      </c>
      <c r="AO164" s="237">
        <v>233.5</v>
      </c>
      <c r="AP164" s="237">
        <v>237.61</v>
      </c>
      <c r="AQ164" s="237">
        <v>241.72</v>
      </c>
      <c r="AR164" s="237">
        <v>245.84</v>
      </c>
      <c r="AS164" s="237">
        <v>171.82</v>
      </c>
      <c r="AT164" s="237">
        <v>167.71</v>
      </c>
      <c r="AU164" s="237">
        <v>163.6</v>
      </c>
      <c r="AV164" s="237">
        <v>159.47999999999999</v>
      </c>
      <c r="AW164" s="237">
        <v>155.37</v>
      </c>
    </row>
    <row r="165" spans="1:49">
      <c r="A165" s="2">
        <v>274.51</v>
      </c>
      <c r="B165" s="59">
        <v>280.37</v>
      </c>
      <c r="C165" s="3">
        <v>286.23</v>
      </c>
      <c r="D165" s="297">
        <v>316.83999999999997</v>
      </c>
      <c r="E165" s="298">
        <v>322.7</v>
      </c>
      <c r="F165" s="298">
        <v>328.56</v>
      </c>
      <c r="G165" s="298">
        <v>334.42</v>
      </c>
      <c r="H165" s="299">
        <v>340.28</v>
      </c>
      <c r="I165" s="293">
        <v>346.14</v>
      </c>
      <c r="J165" s="293">
        <v>352</v>
      </c>
      <c r="K165" s="293">
        <v>357.87</v>
      </c>
      <c r="L165" s="293">
        <v>363.73</v>
      </c>
      <c r="M165" s="293">
        <v>369.59</v>
      </c>
      <c r="N165" s="293">
        <v>375.45</v>
      </c>
      <c r="O165" s="237">
        <v>356.55</v>
      </c>
      <c r="P165" s="237">
        <v>362.41</v>
      </c>
      <c r="Q165" s="237">
        <v>368.27</v>
      </c>
      <c r="R165" s="237">
        <v>374.13</v>
      </c>
      <c r="S165" s="237">
        <v>268.64999999999998</v>
      </c>
      <c r="T165" s="237">
        <v>262.79000000000002</v>
      </c>
      <c r="U165" s="237">
        <v>256.93</v>
      </c>
      <c r="V165" s="237">
        <v>251.07</v>
      </c>
      <c r="W165" s="237">
        <v>245.21</v>
      </c>
      <c r="X165" s="51">
        <v>161</v>
      </c>
      <c r="Y165" s="237">
        <v>168.75</v>
      </c>
      <c r="Z165" s="237">
        <v>172.89</v>
      </c>
      <c r="AA165" s="2">
        <v>177.03</v>
      </c>
      <c r="AB165" s="59">
        <v>181.17</v>
      </c>
      <c r="AC165" s="3">
        <v>185.3</v>
      </c>
      <c r="AD165" s="297">
        <v>206.2</v>
      </c>
      <c r="AE165" s="298">
        <v>210.33</v>
      </c>
      <c r="AF165" s="298">
        <v>214.47</v>
      </c>
      <c r="AG165" s="310">
        <v>218.61</v>
      </c>
      <c r="AH165" s="299">
        <v>222.75</v>
      </c>
      <c r="AI165" s="293">
        <v>226.88</v>
      </c>
      <c r="AJ165" s="293">
        <v>231.02</v>
      </c>
      <c r="AK165" s="293">
        <v>235.16</v>
      </c>
      <c r="AL165" s="293">
        <v>239.3</v>
      </c>
      <c r="AM165" s="293">
        <v>243.43</v>
      </c>
      <c r="AN165" s="293">
        <v>247.57</v>
      </c>
      <c r="AO165" s="237">
        <v>234.96</v>
      </c>
      <c r="AP165" s="237">
        <v>239.09</v>
      </c>
      <c r="AQ165" s="237">
        <v>243.23</v>
      </c>
      <c r="AR165" s="237">
        <v>247.37</v>
      </c>
      <c r="AS165" s="237">
        <v>172.89</v>
      </c>
      <c r="AT165" s="237">
        <v>168.75</v>
      </c>
      <c r="AU165" s="237">
        <v>164.62</v>
      </c>
      <c r="AV165" s="237">
        <v>160.47999999999999</v>
      </c>
      <c r="AW165" s="237">
        <v>156.34</v>
      </c>
    </row>
    <row r="166" spans="1:49">
      <c r="A166" s="2">
        <v>276.20999999999998</v>
      </c>
      <c r="B166" s="59">
        <v>282.10000000000002</v>
      </c>
      <c r="C166" s="3">
        <v>288</v>
      </c>
      <c r="D166" s="297">
        <v>318.8</v>
      </c>
      <c r="E166" s="298">
        <v>324.7</v>
      </c>
      <c r="F166" s="298">
        <v>330.59</v>
      </c>
      <c r="G166" s="298">
        <v>336.49</v>
      </c>
      <c r="H166" s="299">
        <v>342.39</v>
      </c>
      <c r="I166" s="293">
        <v>348.28</v>
      </c>
      <c r="J166" s="293">
        <v>354.18</v>
      </c>
      <c r="K166" s="293">
        <v>360.08</v>
      </c>
      <c r="L166" s="293">
        <v>365.97</v>
      </c>
      <c r="M166" s="293">
        <v>371.87</v>
      </c>
      <c r="N166" s="293">
        <v>377.77</v>
      </c>
      <c r="O166" s="237">
        <v>358.76</v>
      </c>
      <c r="P166" s="237">
        <v>364.66</v>
      </c>
      <c r="Q166" s="237">
        <v>370.55</v>
      </c>
      <c r="R166" s="237">
        <v>376.45</v>
      </c>
      <c r="S166" s="237">
        <v>270.31</v>
      </c>
      <c r="T166" s="237">
        <v>264.41000000000003</v>
      </c>
      <c r="U166" s="237">
        <v>258.51</v>
      </c>
      <c r="V166" s="237">
        <v>252.62</v>
      </c>
      <c r="W166" s="237">
        <v>246.72</v>
      </c>
      <c r="X166" s="51">
        <v>162</v>
      </c>
      <c r="Y166" s="237">
        <v>169.8</v>
      </c>
      <c r="Z166" s="237">
        <v>173.96</v>
      </c>
      <c r="AA166" s="2">
        <v>178.13</v>
      </c>
      <c r="AB166" s="59">
        <v>182.29</v>
      </c>
      <c r="AC166" s="3">
        <v>186.45</v>
      </c>
      <c r="AD166" s="297">
        <v>207.47</v>
      </c>
      <c r="AE166" s="298">
        <v>211.64</v>
      </c>
      <c r="AF166" s="298">
        <v>215.8</v>
      </c>
      <c r="AG166" s="310">
        <v>219.96</v>
      </c>
      <c r="AH166" s="299">
        <v>224.13</v>
      </c>
      <c r="AI166" s="293">
        <v>228.29</v>
      </c>
      <c r="AJ166" s="293">
        <v>232.45</v>
      </c>
      <c r="AK166" s="293">
        <v>236.62</v>
      </c>
      <c r="AL166" s="293">
        <v>240.78</v>
      </c>
      <c r="AM166" s="293">
        <v>244.94</v>
      </c>
      <c r="AN166" s="293">
        <v>249.11</v>
      </c>
      <c r="AO166" s="237">
        <v>236.42</v>
      </c>
      <c r="AP166" s="237">
        <v>240.58</v>
      </c>
      <c r="AQ166" s="237">
        <v>244.74</v>
      </c>
      <c r="AR166" s="237">
        <v>248.91</v>
      </c>
      <c r="AS166" s="237">
        <v>173.96</v>
      </c>
      <c r="AT166" s="237">
        <v>169.8</v>
      </c>
      <c r="AU166" s="237">
        <v>165.64</v>
      </c>
      <c r="AV166" s="237">
        <v>161.47</v>
      </c>
      <c r="AW166" s="237">
        <v>157.31</v>
      </c>
    </row>
    <row r="167" spans="1:49">
      <c r="A167" s="2">
        <v>277.91000000000003</v>
      </c>
      <c r="B167" s="59">
        <v>283.83999999999997</v>
      </c>
      <c r="C167" s="3">
        <v>289.77</v>
      </c>
      <c r="D167" s="297">
        <v>320.76</v>
      </c>
      <c r="E167" s="298">
        <v>326.7</v>
      </c>
      <c r="F167" s="298">
        <v>332.63</v>
      </c>
      <c r="G167" s="298">
        <v>338.56</v>
      </c>
      <c r="H167" s="299">
        <v>344.49</v>
      </c>
      <c r="I167" s="293">
        <v>350.43</v>
      </c>
      <c r="J167" s="293">
        <v>356.36</v>
      </c>
      <c r="K167" s="293">
        <v>362.29</v>
      </c>
      <c r="L167" s="293">
        <v>368.23</v>
      </c>
      <c r="M167" s="293">
        <v>374.16</v>
      </c>
      <c r="N167" s="293">
        <v>380.09</v>
      </c>
      <c r="O167" s="237">
        <v>360.97</v>
      </c>
      <c r="P167" s="237">
        <v>366.9</v>
      </c>
      <c r="Q167" s="237">
        <v>372.84</v>
      </c>
      <c r="R167" s="237">
        <v>378.77</v>
      </c>
      <c r="S167" s="237">
        <v>271.97000000000003</v>
      </c>
      <c r="T167" s="237">
        <v>266.04000000000002</v>
      </c>
      <c r="U167" s="237">
        <v>260.11</v>
      </c>
      <c r="V167" s="237">
        <v>254.17</v>
      </c>
      <c r="W167" s="237">
        <v>248.24</v>
      </c>
      <c r="X167" s="51">
        <v>163</v>
      </c>
      <c r="Y167" s="237">
        <v>170.85</v>
      </c>
      <c r="Z167" s="237">
        <v>175.04</v>
      </c>
      <c r="AA167" s="2">
        <v>179.23</v>
      </c>
      <c r="AB167" s="59">
        <v>183.42</v>
      </c>
      <c r="AC167" s="3">
        <v>187.6</v>
      </c>
      <c r="AD167" s="297">
        <v>208.75</v>
      </c>
      <c r="AE167" s="298">
        <v>212.94</v>
      </c>
      <c r="AF167" s="298">
        <v>217.13</v>
      </c>
      <c r="AG167" s="310">
        <v>221.32</v>
      </c>
      <c r="AH167" s="299">
        <v>225.51</v>
      </c>
      <c r="AI167" s="293">
        <v>229.7</v>
      </c>
      <c r="AJ167" s="293">
        <v>233.89</v>
      </c>
      <c r="AK167" s="293">
        <v>238.08</v>
      </c>
      <c r="AL167" s="293">
        <v>242.27</v>
      </c>
      <c r="AM167" s="293">
        <v>246.46</v>
      </c>
      <c r="AN167" s="293">
        <v>250.65</v>
      </c>
      <c r="AO167" s="237">
        <v>237.87</v>
      </c>
      <c r="AP167" s="237">
        <v>242.06</v>
      </c>
      <c r="AQ167" s="237">
        <v>246.25</v>
      </c>
      <c r="AR167" s="237">
        <v>250.44</v>
      </c>
      <c r="AS167" s="237">
        <v>175.04</v>
      </c>
      <c r="AT167" s="237">
        <v>170.85</v>
      </c>
      <c r="AU167" s="237">
        <v>166.66</v>
      </c>
      <c r="AV167" s="237">
        <v>162.47</v>
      </c>
      <c r="AW167" s="237">
        <v>158.28</v>
      </c>
    </row>
    <row r="168" spans="1:49">
      <c r="A168" s="2">
        <v>279.61</v>
      </c>
      <c r="B168" s="59">
        <v>285.58</v>
      </c>
      <c r="C168" s="3">
        <v>291.55</v>
      </c>
      <c r="D168" s="297">
        <v>322.73</v>
      </c>
      <c r="E168" s="298">
        <v>328.7</v>
      </c>
      <c r="F168" s="298">
        <v>334.67</v>
      </c>
      <c r="G168" s="298">
        <v>340.64</v>
      </c>
      <c r="H168" s="299">
        <v>346.61</v>
      </c>
      <c r="I168" s="293">
        <v>352.58</v>
      </c>
      <c r="J168" s="293">
        <v>358.55</v>
      </c>
      <c r="K168" s="293">
        <v>364.52</v>
      </c>
      <c r="L168" s="293">
        <v>370.48</v>
      </c>
      <c r="M168" s="293">
        <v>376.45</v>
      </c>
      <c r="N168" s="293">
        <v>382.42</v>
      </c>
      <c r="O168" s="237">
        <v>363.18</v>
      </c>
      <c r="P168" s="237">
        <v>369.15</v>
      </c>
      <c r="Q168" s="237">
        <v>375.12</v>
      </c>
      <c r="R168" s="237">
        <v>381.09</v>
      </c>
      <c r="S168" s="237">
        <v>273.64</v>
      </c>
      <c r="T168" s="237">
        <v>267.67</v>
      </c>
      <c r="U168" s="237">
        <v>261.7</v>
      </c>
      <c r="V168" s="237">
        <v>255.73</v>
      </c>
      <c r="W168" s="237">
        <v>249.76</v>
      </c>
      <c r="X168" s="51">
        <v>164</v>
      </c>
      <c r="Y168" s="237">
        <v>171.9</v>
      </c>
      <c r="Z168" s="237">
        <v>176.11</v>
      </c>
      <c r="AA168" s="2">
        <v>180.33</v>
      </c>
      <c r="AB168" s="59">
        <v>184.54</v>
      </c>
      <c r="AC168" s="3">
        <v>188.76</v>
      </c>
      <c r="AD168" s="297">
        <v>210.04</v>
      </c>
      <c r="AE168" s="298">
        <v>214.25</v>
      </c>
      <c r="AF168" s="298">
        <v>218.47</v>
      </c>
      <c r="AG168" s="310">
        <v>222.68</v>
      </c>
      <c r="AH168" s="299">
        <v>226.89</v>
      </c>
      <c r="AI168" s="293">
        <v>231.11</v>
      </c>
      <c r="AJ168" s="293">
        <v>235.32</v>
      </c>
      <c r="AK168" s="293">
        <v>239.54</v>
      </c>
      <c r="AL168" s="293">
        <v>243.75</v>
      </c>
      <c r="AM168" s="293">
        <v>247.97</v>
      </c>
      <c r="AN168" s="293">
        <v>252.18</v>
      </c>
      <c r="AO168" s="237">
        <v>239.83</v>
      </c>
      <c r="AP168" s="237">
        <v>243.55</v>
      </c>
      <c r="AQ168" s="237">
        <v>247.76</v>
      </c>
      <c r="AR168" s="237">
        <v>251.98</v>
      </c>
      <c r="AS168" s="237">
        <v>176.11</v>
      </c>
      <c r="AT168" s="237">
        <v>171.9</v>
      </c>
      <c r="AU168" s="237">
        <v>167.68</v>
      </c>
      <c r="AV168" s="237">
        <v>163.47</v>
      </c>
      <c r="AW168" s="237">
        <v>159.25</v>
      </c>
    </row>
    <row r="169" spans="1:49">
      <c r="A169" s="2">
        <v>281.32</v>
      </c>
      <c r="B169" s="59">
        <v>287.32</v>
      </c>
      <c r="C169" s="3">
        <v>293.33</v>
      </c>
      <c r="D169" s="297">
        <v>324.7</v>
      </c>
      <c r="E169" s="298">
        <v>330.7</v>
      </c>
      <c r="F169" s="298">
        <v>336.71</v>
      </c>
      <c r="G169" s="298">
        <v>342.72</v>
      </c>
      <c r="H169" s="299">
        <v>348.72</v>
      </c>
      <c r="I169" s="293">
        <v>354.73</v>
      </c>
      <c r="J169" s="293">
        <v>360.73</v>
      </c>
      <c r="K169" s="293">
        <v>366.74</v>
      </c>
      <c r="L169" s="293">
        <v>372.75</v>
      </c>
      <c r="M169" s="293">
        <v>378.75</v>
      </c>
      <c r="N169" s="293">
        <v>384.76</v>
      </c>
      <c r="O169" s="237">
        <v>365.4</v>
      </c>
      <c r="P169" s="237">
        <v>371.41</v>
      </c>
      <c r="Q169" s="237">
        <v>377.41</v>
      </c>
      <c r="R169" s="237">
        <v>383.42</v>
      </c>
      <c r="S169" s="237">
        <v>275.31</v>
      </c>
      <c r="T169" s="237">
        <v>269.3</v>
      </c>
      <c r="U169" s="237">
        <v>263.3</v>
      </c>
      <c r="V169" s="237">
        <v>257.29000000000002</v>
      </c>
      <c r="W169" s="237">
        <v>251.29</v>
      </c>
      <c r="X169" s="51">
        <v>165</v>
      </c>
      <c r="Y169" s="237">
        <v>172.95</v>
      </c>
      <c r="Z169" s="237">
        <v>177.19</v>
      </c>
      <c r="AA169" s="2">
        <v>181.43</v>
      </c>
      <c r="AB169" s="59">
        <v>185.67</v>
      </c>
      <c r="AC169" s="3">
        <v>189.91</v>
      </c>
      <c r="AD169" s="297">
        <v>211.32</v>
      </c>
      <c r="AE169" s="298">
        <v>215.56</v>
      </c>
      <c r="AF169" s="298">
        <v>219.8</v>
      </c>
      <c r="AG169" s="310">
        <v>224.04</v>
      </c>
      <c r="AH169" s="299">
        <v>228.28</v>
      </c>
      <c r="AI169" s="293">
        <v>232.52</v>
      </c>
      <c r="AJ169" s="293">
        <v>236.76</v>
      </c>
      <c r="AK169" s="293">
        <v>241</v>
      </c>
      <c r="AL169" s="293">
        <v>245.24</v>
      </c>
      <c r="AM169" s="293">
        <v>249.48</v>
      </c>
      <c r="AN169" s="293">
        <v>253.72</v>
      </c>
      <c r="AO169" s="237">
        <v>240.79</v>
      </c>
      <c r="AP169" s="237">
        <v>245.04</v>
      </c>
      <c r="AQ169" s="237">
        <v>249.28</v>
      </c>
      <c r="AR169" s="237">
        <v>253.52</v>
      </c>
      <c r="AS169" s="237">
        <v>177.19</v>
      </c>
      <c r="AT169" s="237">
        <v>172.95</v>
      </c>
      <c r="AU169" s="237">
        <v>168.71</v>
      </c>
      <c r="AV169" s="237">
        <v>164.47</v>
      </c>
      <c r="AW169" s="237">
        <v>160.22999999999999</v>
      </c>
    </row>
    <row r="170" spans="1:49">
      <c r="A170" s="2">
        <v>283.02</v>
      </c>
      <c r="B170" s="59">
        <v>289.07</v>
      </c>
      <c r="C170" s="3">
        <v>295.11</v>
      </c>
      <c r="D170" s="297">
        <v>326.67</v>
      </c>
      <c r="E170" s="298">
        <v>332.71</v>
      </c>
      <c r="F170" s="298">
        <v>338.76</v>
      </c>
      <c r="G170" s="298">
        <v>344.8</v>
      </c>
      <c r="H170" s="299">
        <v>350.84</v>
      </c>
      <c r="I170" s="293">
        <v>356.88</v>
      </c>
      <c r="J170" s="293">
        <v>362.93</v>
      </c>
      <c r="K170" s="293">
        <v>368.97</v>
      </c>
      <c r="L170" s="293">
        <v>375.01</v>
      </c>
      <c r="M170" s="293">
        <v>381.05</v>
      </c>
      <c r="N170" s="293">
        <v>387.1</v>
      </c>
      <c r="O170" s="237">
        <v>367.62</v>
      </c>
      <c r="P170" s="237">
        <v>373.66</v>
      </c>
      <c r="Q170" s="237">
        <v>379.7</v>
      </c>
      <c r="R170" s="237">
        <v>385.75</v>
      </c>
      <c r="S170" s="237">
        <v>276.98</v>
      </c>
      <c r="T170" s="237">
        <v>270.94</v>
      </c>
      <c r="U170" s="237">
        <v>264.89999999999998</v>
      </c>
      <c r="V170" s="237">
        <v>258.86</v>
      </c>
      <c r="W170" s="237">
        <v>252.81</v>
      </c>
      <c r="X170" s="51">
        <v>166</v>
      </c>
      <c r="Y170" s="237">
        <v>174</v>
      </c>
      <c r="Z170" s="237">
        <v>178.26</v>
      </c>
      <c r="AA170" s="2">
        <v>182.53</v>
      </c>
      <c r="AB170" s="59">
        <v>186.8</v>
      </c>
      <c r="AC170" s="3">
        <v>191.06</v>
      </c>
      <c r="AD170" s="297">
        <v>212.6</v>
      </c>
      <c r="AE170" s="298">
        <v>216.87</v>
      </c>
      <c r="AF170" s="298">
        <v>221.13</v>
      </c>
      <c r="AG170" s="310">
        <v>225.4</v>
      </c>
      <c r="AH170" s="299">
        <v>229.67</v>
      </c>
      <c r="AI170" s="293">
        <v>233.93</v>
      </c>
      <c r="AJ170" s="293">
        <v>238.2</v>
      </c>
      <c r="AK170" s="293">
        <v>242.47</v>
      </c>
      <c r="AL170" s="293">
        <v>246.73</v>
      </c>
      <c r="AM170" s="293">
        <v>251</v>
      </c>
      <c r="AN170" s="293">
        <v>255.26</v>
      </c>
      <c r="AO170" s="237">
        <v>242.26</v>
      </c>
      <c r="AP170" s="237">
        <v>246.52</v>
      </c>
      <c r="AQ170" s="237">
        <v>250.79</v>
      </c>
      <c r="AR170" s="237">
        <v>255.05</v>
      </c>
      <c r="AS170" s="237">
        <v>178.26</v>
      </c>
      <c r="AT170" s="237">
        <v>174</v>
      </c>
      <c r="AU170" s="237">
        <v>169.73</v>
      </c>
      <c r="AV170" s="237">
        <v>165.46</v>
      </c>
      <c r="AW170" s="237">
        <v>161.19999999999999</v>
      </c>
    </row>
    <row r="171" spans="1:49">
      <c r="A171" s="2">
        <v>284.74</v>
      </c>
      <c r="B171" s="59">
        <v>290.82</v>
      </c>
      <c r="C171" s="3">
        <v>296.89999999999998</v>
      </c>
      <c r="D171" s="297">
        <v>328.65</v>
      </c>
      <c r="E171" s="298">
        <v>334.73</v>
      </c>
      <c r="F171" s="298">
        <v>340.81</v>
      </c>
      <c r="G171" s="298">
        <v>346.89</v>
      </c>
      <c r="H171" s="299">
        <v>352.97</v>
      </c>
      <c r="I171" s="293">
        <v>359.04</v>
      </c>
      <c r="J171" s="293">
        <v>365.12</v>
      </c>
      <c r="K171" s="293">
        <v>371.2</v>
      </c>
      <c r="L171" s="293">
        <v>377.28</v>
      </c>
      <c r="M171" s="293">
        <v>383.36</v>
      </c>
      <c r="N171" s="293">
        <v>389.44</v>
      </c>
      <c r="O171" s="237">
        <v>369.84</v>
      </c>
      <c r="P171" s="237">
        <v>375.92</v>
      </c>
      <c r="Q171" s="237">
        <v>382</v>
      </c>
      <c r="R171" s="237">
        <v>388.08</v>
      </c>
      <c r="S171" s="237">
        <v>278.66000000000003</v>
      </c>
      <c r="T171" s="237">
        <v>272.58</v>
      </c>
      <c r="U171" s="237">
        <v>266.5</v>
      </c>
      <c r="V171" s="237">
        <v>260.42</v>
      </c>
      <c r="W171" s="237">
        <v>254.34</v>
      </c>
      <c r="X171" s="51">
        <v>167</v>
      </c>
      <c r="Y171" s="237">
        <v>175.05</v>
      </c>
      <c r="Z171" s="237">
        <v>179.34</v>
      </c>
      <c r="AA171" s="2">
        <v>183.63</v>
      </c>
      <c r="AB171" s="59">
        <v>187.92</v>
      </c>
      <c r="AC171" s="3">
        <v>192.22</v>
      </c>
      <c r="AD171" s="297">
        <v>213.89</v>
      </c>
      <c r="AE171" s="298">
        <v>218.18</v>
      </c>
      <c r="AF171" s="298">
        <v>222.47</v>
      </c>
      <c r="AG171" s="310">
        <v>226.76</v>
      </c>
      <c r="AH171" s="299">
        <v>231.06</v>
      </c>
      <c r="AI171" s="293">
        <v>235.35</v>
      </c>
      <c r="AJ171" s="293">
        <v>241.08</v>
      </c>
      <c r="AK171" s="293">
        <v>243.93</v>
      </c>
      <c r="AL171" s="293">
        <v>248.22</v>
      </c>
      <c r="AM171" s="293">
        <v>252.51</v>
      </c>
      <c r="AN171" s="293">
        <v>256.81</v>
      </c>
      <c r="AO171" s="237">
        <v>243.72</v>
      </c>
      <c r="AP171" s="237">
        <v>248.01</v>
      </c>
      <c r="AQ171" s="237">
        <v>252.3</v>
      </c>
      <c r="AR171" s="237">
        <v>256.58999999999997</v>
      </c>
      <c r="AS171" s="237">
        <v>179.34</v>
      </c>
      <c r="AT171" s="237">
        <v>175.05</v>
      </c>
      <c r="AU171" s="237">
        <v>170.76</v>
      </c>
      <c r="AV171" s="237">
        <v>166.46</v>
      </c>
      <c r="AW171" s="237">
        <v>162.16999999999999</v>
      </c>
    </row>
    <row r="172" spans="1:49">
      <c r="A172" s="2">
        <v>286.45</v>
      </c>
      <c r="B172" s="59">
        <v>292.57</v>
      </c>
      <c r="C172" s="3">
        <v>298.68</v>
      </c>
      <c r="D172" s="297">
        <v>330.63</v>
      </c>
      <c r="E172" s="298">
        <v>336.75</v>
      </c>
      <c r="F172" s="298">
        <v>342.86</v>
      </c>
      <c r="G172" s="298">
        <v>348.98</v>
      </c>
      <c r="H172" s="299">
        <v>355.09</v>
      </c>
      <c r="I172" s="293">
        <v>361.21</v>
      </c>
      <c r="J172" s="293">
        <v>367.32</v>
      </c>
      <c r="K172" s="293">
        <v>373.44</v>
      </c>
      <c r="L172" s="293">
        <v>379.55</v>
      </c>
      <c r="M172" s="293">
        <v>385.67</v>
      </c>
      <c r="N172" s="293">
        <v>391.79</v>
      </c>
      <c r="O172" s="237">
        <v>372.07</v>
      </c>
      <c r="P172" s="237">
        <v>378.18</v>
      </c>
      <c r="Q172" s="237">
        <v>384.3</v>
      </c>
      <c r="R172" s="237">
        <v>390.41</v>
      </c>
      <c r="S172" s="237">
        <v>280.33999999999997</v>
      </c>
      <c r="T172" s="237">
        <v>274.22000000000003</v>
      </c>
      <c r="U172" s="237">
        <v>268.11</v>
      </c>
      <c r="V172" s="237">
        <v>261.99</v>
      </c>
      <c r="W172" s="237">
        <v>255.88</v>
      </c>
      <c r="X172" s="51">
        <v>168</v>
      </c>
      <c r="Y172" s="237">
        <v>176.1</v>
      </c>
      <c r="Z172" s="237">
        <v>180.42</v>
      </c>
      <c r="AA172" s="2">
        <v>184.74</v>
      </c>
      <c r="AB172" s="59">
        <v>189.05</v>
      </c>
      <c r="AC172" s="3">
        <v>193.37</v>
      </c>
      <c r="AD172" s="297">
        <v>215.17</v>
      </c>
      <c r="AE172" s="298">
        <v>219.49</v>
      </c>
      <c r="AF172" s="298">
        <v>223.81</v>
      </c>
      <c r="AG172" s="310">
        <v>228.13</v>
      </c>
      <c r="AH172" s="299">
        <v>232.44</v>
      </c>
      <c r="AI172" s="293">
        <v>236.76</v>
      </c>
      <c r="AJ172" s="293">
        <v>242.52</v>
      </c>
      <c r="AK172" s="293">
        <v>245.4</v>
      </c>
      <c r="AL172" s="293">
        <v>249.71</v>
      </c>
      <c r="AM172" s="293">
        <v>254.03</v>
      </c>
      <c r="AN172" s="293">
        <v>258.35000000000002</v>
      </c>
      <c r="AO172" s="237">
        <v>245.18</v>
      </c>
      <c r="AP172" s="237">
        <v>249.5</v>
      </c>
      <c r="AQ172" s="237">
        <v>253.82</v>
      </c>
      <c r="AR172" s="237">
        <v>258.14</v>
      </c>
      <c r="AS172" s="237">
        <v>180.42</v>
      </c>
      <c r="AT172" s="237">
        <v>176.1</v>
      </c>
      <c r="AU172" s="237">
        <v>171.78</v>
      </c>
      <c r="AV172" s="237">
        <v>167.47</v>
      </c>
      <c r="AW172" s="237">
        <v>163.15</v>
      </c>
    </row>
    <row r="173" spans="1:49">
      <c r="A173" s="2">
        <v>287.89999999999998</v>
      </c>
      <c r="B173" s="59">
        <v>294.05</v>
      </c>
      <c r="C173" s="3">
        <v>300.2</v>
      </c>
      <c r="D173" s="297">
        <v>332.26</v>
      </c>
      <c r="E173" s="298">
        <v>338.41</v>
      </c>
      <c r="F173" s="298">
        <v>344.57</v>
      </c>
      <c r="G173" s="298">
        <v>350.72</v>
      </c>
      <c r="H173" s="299">
        <v>356.87</v>
      </c>
      <c r="I173" s="293">
        <v>363.02</v>
      </c>
      <c r="J173" s="293">
        <v>369.17</v>
      </c>
      <c r="K173" s="293">
        <v>375.32</v>
      </c>
      <c r="L173" s="293">
        <v>381.48</v>
      </c>
      <c r="M173" s="293">
        <v>387.63</v>
      </c>
      <c r="N173" s="293">
        <v>393.78</v>
      </c>
      <c r="O173" s="237">
        <v>374.02</v>
      </c>
      <c r="P173" s="237">
        <v>380.17</v>
      </c>
      <c r="Q173" s="237">
        <v>386.32</v>
      </c>
      <c r="R173" s="237">
        <v>392.47</v>
      </c>
      <c r="S173" s="237">
        <v>281.75</v>
      </c>
      <c r="T173" s="237">
        <v>275.58999999999997</v>
      </c>
      <c r="U173" s="237">
        <v>269.44</v>
      </c>
      <c r="V173" s="237">
        <v>263.29000000000002</v>
      </c>
      <c r="W173" s="237">
        <v>257.14</v>
      </c>
      <c r="X173" s="51">
        <v>169</v>
      </c>
      <c r="Y173" s="237">
        <v>177.15</v>
      </c>
      <c r="Z173" s="237">
        <v>181.5</v>
      </c>
      <c r="AA173" s="2">
        <v>185.84</v>
      </c>
      <c r="AB173" s="59">
        <v>190.18</v>
      </c>
      <c r="AC173" s="3">
        <v>194.53</v>
      </c>
      <c r="AD173" s="297">
        <v>216.46</v>
      </c>
      <c r="AE173" s="298">
        <v>220.81</v>
      </c>
      <c r="AF173" s="298">
        <v>225.15</v>
      </c>
      <c r="AG173" s="310">
        <v>229.49</v>
      </c>
      <c r="AH173" s="299">
        <v>233.84</v>
      </c>
      <c r="AI173" s="293">
        <v>238.18</v>
      </c>
      <c r="AJ173" s="293">
        <v>243.97</v>
      </c>
      <c r="AK173" s="293">
        <v>246.87</v>
      </c>
      <c r="AL173" s="293">
        <v>251.21</v>
      </c>
      <c r="AM173" s="293">
        <v>255.55</v>
      </c>
      <c r="AN173" s="293">
        <v>259.89999999999998</v>
      </c>
      <c r="AO173" s="237">
        <v>246.65</v>
      </c>
      <c r="AP173" s="237">
        <v>250.99</v>
      </c>
      <c r="AQ173" s="237">
        <v>255.33</v>
      </c>
      <c r="AR173" s="237">
        <v>259.68</v>
      </c>
      <c r="AS173" s="237">
        <v>181.5</v>
      </c>
      <c r="AT173" s="237">
        <v>177.15</v>
      </c>
      <c r="AU173" s="237">
        <v>172.81</v>
      </c>
      <c r="AV173" s="237">
        <v>168.47</v>
      </c>
      <c r="AW173" s="237">
        <v>164.12</v>
      </c>
    </row>
    <row r="174" spans="1:49">
      <c r="A174" s="2">
        <v>289.62</v>
      </c>
      <c r="B174" s="59">
        <v>295.8</v>
      </c>
      <c r="C174" s="3">
        <v>301.99</v>
      </c>
      <c r="D174" s="297">
        <v>334.25</v>
      </c>
      <c r="E174" s="298">
        <v>340.44</v>
      </c>
      <c r="F174" s="298">
        <v>346.63</v>
      </c>
      <c r="G174" s="298">
        <v>352.81</v>
      </c>
      <c r="H174" s="299">
        <v>359</v>
      </c>
      <c r="I174" s="293">
        <v>365.19</v>
      </c>
      <c r="J174" s="293">
        <v>371.38</v>
      </c>
      <c r="K174" s="293">
        <v>377.57</v>
      </c>
      <c r="L174" s="293">
        <v>383.75</v>
      </c>
      <c r="M174" s="293">
        <v>389.94</v>
      </c>
      <c r="N174" s="293">
        <v>396.13</v>
      </c>
      <c r="O174" s="237">
        <v>376.25</v>
      </c>
      <c r="P174" s="237">
        <v>382.44</v>
      </c>
      <c r="Q174" s="237">
        <v>388.62</v>
      </c>
      <c r="R174" s="237">
        <v>394.81</v>
      </c>
      <c r="S174" s="237">
        <v>283.75</v>
      </c>
      <c r="T174" s="237">
        <v>277.24</v>
      </c>
      <c r="U174" s="237">
        <v>271.05</v>
      </c>
      <c r="V174" s="237">
        <v>264.86</v>
      </c>
      <c r="W174" s="237">
        <v>258.68</v>
      </c>
      <c r="X174" s="51">
        <v>170</v>
      </c>
      <c r="Y174" s="237">
        <v>178.21</v>
      </c>
      <c r="Z174" s="237">
        <v>182.58</v>
      </c>
      <c r="AA174" s="2">
        <v>186.95</v>
      </c>
      <c r="AB174" s="59">
        <v>191.32</v>
      </c>
      <c r="AC174" s="3">
        <v>195.68</v>
      </c>
      <c r="AD174" s="297">
        <v>217.75</v>
      </c>
      <c r="AE174" s="298">
        <v>222.12</v>
      </c>
      <c r="AF174" s="298">
        <v>226.49</v>
      </c>
      <c r="AG174" s="310">
        <v>230.86</v>
      </c>
      <c r="AH174" s="299">
        <v>235.23</v>
      </c>
      <c r="AI174" s="293">
        <v>239.6</v>
      </c>
      <c r="AJ174" s="293">
        <v>245.41</v>
      </c>
      <c r="AK174" s="293">
        <v>248.33</v>
      </c>
      <c r="AL174" s="293">
        <v>252.7</v>
      </c>
      <c r="AM174" s="293">
        <v>257.07</v>
      </c>
      <c r="AN174" s="293">
        <v>261.44</v>
      </c>
      <c r="AO174" s="237">
        <v>248.11</v>
      </c>
      <c r="AP174" s="237">
        <v>252.48</v>
      </c>
      <c r="AQ174" s="237">
        <v>256.85000000000002</v>
      </c>
      <c r="AR174" s="237">
        <v>261.22000000000003</v>
      </c>
      <c r="AS174" s="237">
        <v>182.58</v>
      </c>
      <c r="AT174" s="237">
        <v>178.21</v>
      </c>
      <c r="AU174" s="237">
        <v>173.84</v>
      </c>
      <c r="AV174" s="237">
        <v>169.47</v>
      </c>
      <c r="AW174" s="237">
        <v>165.1</v>
      </c>
    </row>
    <row r="175" spans="1:49">
      <c r="A175" s="2">
        <v>291.33999999999997</v>
      </c>
      <c r="B175" s="59">
        <v>297.56</v>
      </c>
      <c r="C175" s="3">
        <v>303.79000000000002</v>
      </c>
      <c r="D175" s="297">
        <v>336.24</v>
      </c>
      <c r="E175" s="298">
        <v>342.47</v>
      </c>
      <c r="F175" s="298">
        <v>348.69</v>
      </c>
      <c r="G175" s="298">
        <v>354.92</v>
      </c>
      <c r="H175" s="299">
        <v>361.14</v>
      </c>
      <c r="I175" s="293">
        <v>367.36</v>
      </c>
      <c r="J175" s="293">
        <v>373.59</v>
      </c>
      <c r="K175" s="293">
        <v>379.81</v>
      </c>
      <c r="L175" s="293">
        <v>386.04</v>
      </c>
      <c r="M175" s="293">
        <v>392.26</v>
      </c>
      <c r="N175" s="293">
        <v>398.49</v>
      </c>
      <c r="O175" s="237">
        <v>378.48</v>
      </c>
      <c r="P175" s="237">
        <v>384.71</v>
      </c>
      <c r="Q175" s="237">
        <v>390.93</v>
      </c>
      <c r="R175" s="237">
        <v>397.16</v>
      </c>
      <c r="S175" s="237">
        <v>285.12</v>
      </c>
      <c r="T175" s="237">
        <v>278.89</v>
      </c>
      <c r="U175" s="237">
        <v>272.67</v>
      </c>
      <c r="V175" s="237">
        <v>266.44</v>
      </c>
      <c r="W175" s="237">
        <v>260.22000000000003</v>
      </c>
      <c r="X175" s="51">
        <v>171</v>
      </c>
      <c r="Y175" s="237">
        <v>179.26</v>
      </c>
      <c r="Z175" s="237">
        <v>183.66</v>
      </c>
      <c r="AA175" s="2">
        <v>188.05</v>
      </c>
      <c r="AB175" s="59">
        <v>192.45</v>
      </c>
      <c r="AC175" s="3">
        <v>196.84</v>
      </c>
      <c r="AD175" s="297">
        <v>219.04</v>
      </c>
      <c r="AE175" s="298">
        <v>223.44</v>
      </c>
      <c r="AF175" s="298">
        <v>227.83</v>
      </c>
      <c r="AG175" s="310">
        <v>232.23</v>
      </c>
      <c r="AH175" s="299">
        <v>236.62</v>
      </c>
      <c r="AI175" s="293">
        <v>241.02</v>
      </c>
      <c r="AJ175" s="293">
        <v>246.86</v>
      </c>
      <c r="AK175" s="293">
        <v>249.81</v>
      </c>
      <c r="AL175" s="293">
        <v>254.2</v>
      </c>
      <c r="AM175" s="293">
        <v>258.58999999999997</v>
      </c>
      <c r="AN175" s="293">
        <v>262.99</v>
      </c>
      <c r="AO175" s="237">
        <v>249.58</v>
      </c>
      <c r="AP175" s="237">
        <v>253.97</v>
      </c>
      <c r="AQ175" s="237">
        <v>258.37</v>
      </c>
      <c r="AR175" s="237">
        <v>262.76</v>
      </c>
      <c r="AS175" s="237">
        <v>183.66</v>
      </c>
      <c r="AT175" s="237">
        <v>179.26</v>
      </c>
      <c r="AU175" s="237">
        <v>174.87</v>
      </c>
      <c r="AV175" s="237">
        <v>170.47</v>
      </c>
      <c r="AW175" s="237">
        <v>166.08</v>
      </c>
    </row>
    <row r="176" spans="1:49">
      <c r="A176" s="2">
        <v>293.07</v>
      </c>
      <c r="B176" s="59">
        <v>299.33</v>
      </c>
      <c r="C176" s="3">
        <v>305.58999999999997</v>
      </c>
      <c r="D176" s="297">
        <v>338.24</v>
      </c>
      <c r="E176" s="298">
        <v>344.5</v>
      </c>
      <c r="F176" s="298">
        <v>350.76</v>
      </c>
      <c r="G176" s="298">
        <v>357.02</v>
      </c>
      <c r="H176" s="299">
        <v>363.28</v>
      </c>
      <c r="I176" s="293">
        <v>369.54</v>
      </c>
      <c r="J176" s="293">
        <v>375.8</v>
      </c>
      <c r="K176" s="293">
        <v>382.06</v>
      </c>
      <c r="L176" s="293">
        <v>388.32</v>
      </c>
      <c r="M176" s="293">
        <v>394.59</v>
      </c>
      <c r="N176" s="293">
        <v>400.85</v>
      </c>
      <c r="O176" s="237">
        <v>380.72</v>
      </c>
      <c r="P176" s="237">
        <v>386.98</v>
      </c>
      <c r="Q176" s="237">
        <v>393.24</v>
      </c>
      <c r="R176" s="237">
        <v>399.5</v>
      </c>
      <c r="S176" s="237">
        <v>286.81</v>
      </c>
      <c r="T176" s="237">
        <v>280.55</v>
      </c>
      <c r="U176" s="237">
        <v>274.27999999999997</v>
      </c>
      <c r="V176" s="237">
        <v>268.02</v>
      </c>
      <c r="W176" s="237">
        <v>261.76</v>
      </c>
      <c r="X176" s="51">
        <v>172</v>
      </c>
      <c r="Y176" s="237">
        <v>180.32</v>
      </c>
      <c r="Z176" s="237">
        <v>184.74</v>
      </c>
      <c r="AA176" s="2">
        <v>189.16</v>
      </c>
      <c r="AB176" s="59">
        <v>193.58</v>
      </c>
      <c r="AC176" s="3">
        <v>198</v>
      </c>
      <c r="AD176" s="297">
        <v>220.33</v>
      </c>
      <c r="AE176" s="298">
        <v>224.75</v>
      </c>
      <c r="AF176" s="298">
        <v>229.18</v>
      </c>
      <c r="AG176" s="310">
        <v>233.6</v>
      </c>
      <c r="AH176" s="299">
        <v>238.02</v>
      </c>
      <c r="AI176" s="293">
        <v>242.44</v>
      </c>
      <c r="AJ176" s="293">
        <v>248.19</v>
      </c>
      <c r="AK176" s="293">
        <v>251.79</v>
      </c>
      <c r="AL176" s="293">
        <v>255.7</v>
      </c>
      <c r="AM176" s="293">
        <v>260.12</v>
      </c>
      <c r="AN176" s="293">
        <v>264.54000000000002</v>
      </c>
      <c r="AO176" s="237">
        <v>251.05</v>
      </c>
      <c r="AP176" s="237">
        <v>255.47</v>
      </c>
      <c r="AQ176" s="237">
        <v>259.89</v>
      </c>
      <c r="AR176" s="237">
        <v>264.31</v>
      </c>
      <c r="AS176" s="237">
        <v>184.74</v>
      </c>
      <c r="AT176" s="237">
        <v>180.32</v>
      </c>
      <c r="AU176" s="237">
        <v>175.9</v>
      </c>
      <c r="AV176" s="237">
        <v>171.48</v>
      </c>
      <c r="AW176" s="237">
        <v>167.06</v>
      </c>
    </row>
    <row r="177" spans="1:49">
      <c r="A177" s="2">
        <v>294.8</v>
      </c>
      <c r="B177" s="59">
        <v>301.10000000000002</v>
      </c>
      <c r="C177" s="3">
        <v>307.39</v>
      </c>
      <c r="D177" s="297">
        <v>340.24</v>
      </c>
      <c r="E177" s="298">
        <v>346.54</v>
      </c>
      <c r="F177" s="298">
        <v>352.83</v>
      </c>
      <c r="G177" s="298">
        <v>359.13</v>
      </c>
      <c r="H177" s="299">
        <v>365.43</v>
      </c>
      <c r="I177" s="293">
        <v>371.73</v>
      </c>
      <c r="J177" s="293">
        <v>378.02</v>
      </c>
      <c r="K177" s="293">
        <v>384.32</v>
      </c>
      <c r="L177" s="293">
        <v>390.62</v>
      </c>
      <c r="M177" s="293">
        <v>396.91</v>
      </c>
      <c r="N177" s="293">
        <v>403.21</v>
      </c>
      <c r="O177" s="237">
        <v>382.96</v>
      </c>
      <c r="P177" s="237">
        <v>389.26</v>
      </c>
      <c r="Q177" s="237">
        <v>395.55</v>
      </c>
      <c r="R177" s="237">
        <v>401.85</v>
      </c>
      <c r="S177" s="237">
        <v>288.5</v>
      </c>
      <c r="T177" s="237">
        <v>282.2</v>
      </c>
      <c r="U177" s="237">
        <v>275.91000000000003</v>
      </c>
      <c r="V177" s="237">
        <v>269.61</v>
      </c>
      <c r="W177" s="237">
        <v>263.31</v>
      </c>
      <c r="X177" s="51">
        <v>173</v>
      </c>
      <c r="Y177" s="237">
        <v>181.3</v>
      </c>
      <c r="Z177" s="237">
        <v>185.74</v>
      </c>
      <c r="AA177" s="2">
        <v>190.19</v>
      </c>
      <c r="AB177" s="59">
        <v>194.63</v>
      </c>
      <c r="AC177" s="3">
        <v>199.08</v>
      </c>
      <c r="AD177" s="297">
        <v>221.51</v>
      </c>
      <c r="AE177" s="298">
        <v>225.96</v>
      </c>
      <c r="AF177" s="298">
        <v>230.41</v>
      </c>
      <c r="AG177" s="310">
        <v>234.85</v>
      </c>
      <c r="AH177" s="299">
        <v>239.3</v>
      </c>
      <c r="AI177" s="293">
        <v>243.74</v>
      </c>
      <c r="AJ177" s="293">
        <v>249.64</v>
      </c>
      <c r="AK177" s="293">
        <v>252.64</v>
      </c>
      <c r="AL177" s="293">
        <v>257.08</v>
      </c>
      <c r="AM177" s="293">
        <v>261.52999999999997</v>
      </c>
      <c r="AN177" s="293">
        <v>265.97000000000003</v>
      </c>
      <c r="AO177" s="237">
        <v>252.43</v>
      </c>
      <c r="AP177" s="237">
        <v>256.88</v>
      </c>
      <c r="AQ177" s="237">
        <v>261.33</v>
      </c>
      <c r="AR177" s="237">
        <v>265.77</v>
      </c>
      <c r="AS177" s="237">
        <v>185.74</v>
      </c>
      <c r="AT177" s="237">
        <v>181.3</v>
      </c>
      <c r="AU177" s="237">
        <v>176.85</v>
      </c>
      <c r="AV177" s="237">
        <v>172.4</v>
      </c>
      <c r="AW177" s="237">
        <v>167.96</v>
      </c>
    </row>
    <row r="178" spans="1:49">
      <c r="A178" s="2">
        <v>296.52999999999997</v>
      </c>
      <c r="B178" s="59">
        <v>302.87</v>
      </c>
      <c r="C178" s="3">
        <v>309.2</v>
      </c>
      <c r="D178" s="297">
        <v>342.25</v>
      </c>
      <c r="E178" s="298">
        <v>348.58</v>
      </c>
      <c r="F178" s="298">
        <v>354.91</v>
      </c>
      <c r="G178" s="298">
        <v>361.25</v>
      </c>
      <c r="H178" s="299">
        <v>367.58</v>
      </c>
      <c r="I178" s="293">
        <v>373.91</v>
      </c>
      <c r="J178" s="293">
        <v>380.25</v>
      </c>
      <c r="K178" s="293">
        <v>386.58</v>
      </c>
      <c r="L178" s="293">
        <v>392.91</v>
      </c>
      <c r="M178" s="293">
        <v>399.25</v>
      </c>
      <c r="N178" s="293">
        <v>405.58</v>
      </c>
      <c r="O178" s="237">
        <v>385.2</v>
      </c>
      <c r="P178" s="237">
        <v>391.54</v>
      </c>
      <c r="Q178" s="237">
        <v>397.87</v>
      </c>
      <c r="R178" s="237">
        <v>404.2</v>
      </c>
      <c r="S178" s="237">
        <v>290.2</v>
      </c>
      <c r="T178" s="237">
        <v>283.87</v>
      </c>
      <c r="U178" s="237">
        <v>277.52999999999997</v>
      </c>
      <c r="V178" s="237">
        <v>271.2</v>
      </c>
      <c r="W178" s="237">
        <v>264.86</v>
      </c>
      <c r="X178" s="51">
        <v>174</v>
      </c>
      <c r="Y178" s="237">
        <v>182.35</v>
      </c>
      <c r="Z178" s="237">
        <v>186.82</v>
      </c>
      <c r="AA178" s="2">
        <v>191.3</v>
      </c>
      <c r="AB178" s="59">
        <v>195.77</v>
      </c>
      <c r="AC178" s="3">
        <v>200.24</v>
      </c>
      <c r="AD178" s="297">
        <v>222.81</v>
      </c>
      <c r="AE178" s="298">
        <v>227.28</v>
      </c>
      <c r="AF178" s="298">
        <v>231.75</v>
      </c>
      <c r="AG178" s="310">
        <v>236.22</v>
      </c>
      <c r="AH178" s="299">
        <v>240.69</v>
      </c>
      <c r="AI178" s="293">
        <v>245.17</v>
      </c>
      <c r="AJ178" s="293">
        <v>251.09</v>
      </c>
      <c r="AK178" s="293">
        <v>254.11</v>
      </c>
      <c r="AL178" s="293">
        <v>258.58</v>
      </c>
      <c r="AM178" s="293">
        <v>263.05</v>
      </c>
      <c r="AN178" s="293">
        <v>267.52</v>
      </c>
      <c r="AO178" s="237">
        <v>253.9</v>
      </c>
      <c r="AP178" s="237">
        <v>258.37</v>
      </c>
      <c r="AQ178" s="237">
        <v>262.85000000000002</v>
      </c>
      <c r="AR178" s="237">
        <v>267.32</v>
      </c>
      <c r="AS178" s="237">
        <v>186.82</v>
      </c>
      <c r="AT178" s="237">
        <v>182.35</v>
      </c>
      <c r="AU178" s="237">
        <v>177.88</v>
      </c>
      <c r="AV178" s="237">
        <v>173.41</v>
      </c>
      <c r="AW178" s="237">
        <v>168.94</v>
      </c>
    </row>
    <row r="179" spans="1:49">
      <c r="A179" s="2">
        <v>298.27</v>
      </c>
      <c r="B179" s="59">
        <v>304.64</v>
      </c>
      <c r="C179" s="3">
        <v>311.01</v>
      </c>
      <c r="D179" s="297">
        <v>344.26</v>
      </c>
      <c r="E179" s="298">
        <v>350.63</v>
      </c>
      <c r="F179" s="298">
        <v>357</v>
      </c>
      <c r="G179" s="298">
        <v>363.37</v>
      </c>
      <c r="H179" s="299">
        <v>369.74</v>
      </c>
      <c r="I179" s="293">
        <v>376.11</v>
      </c>
      <c r="J179" s="293">
        <v>382.48</v>
      </c>
      <c r="K179" s="293">
        <v>388.85</v>
      </c>
      <c r="L179" s="293">
        <v>395.22</v>
      </c>
      <c r="M179" s="293">
        <v>401.59</v>
      </c>
      <c r="N179" s="293">
        <v>407.96</v>
      </c>
      <c r="O179" s="237">
        <v>387.45</v>
      </c>
      <c r="P179" s="237">
        <v>393.82</v>
      </c>
      <c r="Q179" s="237">
        <v>400.19</v>
      </c>
      <c r="R179" s="237">
        <v>406.56</v>
      </c>
      <c r="S179" s="237">
        <v>291.89999999999998</v>
      </c>
      <c r="T179" s="237">
        <v>285.52999999999997</v>
      </c>
      <c r="U179" s="237">
        <v>279.16000000000003</v>
      </c>
      <c r="V179" s="237">
        <v>272.79000000000002</v>
      </c>
      <c r="W179" s="237">
        <v>266.42</v>
      </c>
      <c r="X179" s="51">
        <v>175</v>
      </c>
      <c r="Y179" s="237">
        <v>183.41</v>
      </c>
      <c r="Z179" s="237">
        <v>187.91</v>
      </c>
      <c r="AA179" s="2">
        <v>192.41</v>
      </c>
      <c r="AB179" s="59">
        <v>196.9</v>
      </c>
      <c r="AC179" s="3">
        <v>201.4</v>
      </c>
      <c r="AD179" s="297">
        <v>224.1</v>
      </c>
      <c r="AE179" s="298">
        <v>228.6</v>
      </c>
      <c r="AF179" s="298">
        <v>233.1</v>
      </c>
      <c r="AG179" s="310">
        <v>237.59</v>
      </c>
      <c r="AH179" s="299">
        <v>242.09</v>
      </c>
      <c r="AI179" s="293">
        <v>246.59</v>
      </c>
      <c r="AJ179" s="293">
        <v>252.54</v>
      </c>
      <c r="AK179" s="293">
        <v>255.58</v>
      </c>
      <c r="AL179" s="293">
        <v>260.08</v>
      </c>
      <c r="AM179" s="293">
        <v>264.58</v>
      </c>
      <c r="AN179" s="293">
        <v>269.08</v>
      </c>
      <c r="AO179" s="237">
        <v>255.37</v>
      </c>
      <c r="AP179" s="237">
        <v>259.87</v>
      </c>
      <c r="AQ179" s="237">
        <v>264.37</v>
      </c>
      <c r="AR179" s="237">
        <v>268.86</v>
      </c>
      <c r="AS179" s="237">
        <v>187.91</v>
      </c>
      <c r="AT179" s="237">
        <v>183.41</v>
      </c>
      <c r="AU179" s="237">
        <v>178.91</v>
      </c>
      <c r="AV179" s="237">
        <v>174.42</v>
      </c>
      <c r="AW179" s="237">
        <v>169.92</v>
      </c>
    </row>
    <row r="180" spans="1:49">
      <c r="A180" s="2">
        <v>300.01</v>
      </c>
      <c r="B180" s="59">
        <v>306.42</v>
      </c>
      <c r="C180" s="3">
        <v>312.83</v>
      </c>
      <c r="D180" s="297">
        <v>346.27</v>
      </c>
      <c r="E180" s="298">
        <v>352.68</v>
      </c>
      <c r="F180" s="298">
        <v>359.08</v>
      </c>
      <c r="G180" s="298">
        <v>365.49</v>
      </c>
      <c r="H180" s="299">
        <v>371.9</v>
      </c>
      <c r="I180" s="293">
        <v>378.3</v>
      </c>
      <c r="J180" s="293">
        <v>384.71</v>
      </c>
      <c r="K180" s="293">
        <v>391.12</v>
      </c>
      <c r="L180" s="293">
        <v>397.52</v>
      </c>
      <c r="M180" s="293">
        <v>403.93</v>
      </c>
      <c r="N180" s="293">
        <v>410.34</v>
      </c>
      <c r="O180" s="237">
        <v>389.7</v>
      </c>
      <c r="P180" s="237">
        <v>396.11</v>
      </c>
      <c r="Q180" s="237">
        <v>402.52</v>
      </c>
      <c r="R180" s="237">
        <v>408.92</v>
      </c>
      <c r="S180" s="237">
        <v>293.61</v>
      </c>
      <c r="T180" s="237">
        <v>287.2</v>
      </c>
      <c r="U180" s="237">
        <v>280.79000000000002</v>
      </c>
      <c r="V180" s="237">
        <v>274.39</v>
      </c>
      <c r="W180" s="237">
        <v>267.98</v>
      </c>
      <c r="X180" s="51">
        <v>176</v>
      </c>
      <c r="Y180" s="237">
        <v>184.47</v>
      </c>
      <c r="Z180" s="237">
        <v>188.99</v>
      </c>
      <c r="AA180" s="2">
        <v>193.52</v>
      </c>
      <c r="AB180" s="59">
        <v>198.04</v>
      </c>
      <c r="AC180" s="3">
        <v>202.56</v>
      </c>
      <c r="AD180" s="297">
        <v>225.4</v>
      </c>
      <c r="AE180" s="298">
        <v>229.92</v>
      </c>
      <c r="AF180" s="298">
        <v>234.45</v>
      </c>
      <c r="AG180" s="310">
        <v>238.97</v>
      </c>
      <c r="AH180" s="299">
        <v>243.49</v>
      </c>
      <c r="AI180" s="293">
        <v>248.01</v>
      </c>
      <c r="AJ180" s="293">
        <v>253.99</v>
      </c>
      <c r="AK180" s="293">
        <v>257.06</v>
      </c>
      <c r="AL180" s="293">
        <v>261.58</v>
      </c>
      <c r="AM180" s="293">
        <v>266.11</v>
      </c>
      <c r="AN180" s="293">
        <v>270.63</v>
      </c>
      <c r="AO180" s="237">
        <v>256.83999999999997</v>
      </c>
      <c r="AP180" s="237">
        <v>261.37</v>
      </c>
      <c r="AQ180" s="237">
        <v>265.89</v>
      </c>
      <c r="AR180" s="237">
        <v>270.41000000000003</v>
      </c>
      <c r="AS180" s="237">
        <v>188.99</v>
      </c>
      <c r="AT180" s="237">
        <v>184.47</v>
      </c>
      <c r="AU180" s="237">
        <v>179.95</v>
      </c>
      <c r="AV180" s="237">
        <v>175.42</v>
      </c>
      <c r="AW180" s="237">
        <v>170.9</v>
      </c>
    </row>
    <row r="181" spans="1:49">
      <c r="A181" s="2">
        <v>301.76</v>
      </c>
      <c r="B181" s="59">
        <v>308.2</v>
      </c>
      <c r="C181" s="3">
        <v>314.64</v>
      </c>
      <c r="D181" s="297">
        <v>348.29</v>
      </c>
      <c r="E181" s="298">
        <v>354.73</v>
      </c>
      <c r="F181" s="298">
        <v>361.18</v>
      </c>
      <c r="G181" s="298">
        <v>367.62</v>
      </c>
      <c r="H181" s="299">
        <v>374.06</v>
      </c>
      <c r="I181" s="293">
        <v>380.51</v>
      </c>
      <c r="J181" s="293">
        <v>386.95</v>
      </c>
      <c r="K181" s="293">
        <v>393.39</v>
      </c>
      <c r="L181" s="293">
        <v>399.83</v>
      </c>
      <c r="M181" s="293">
        <v>406.28</v>
      </c>
      <c r="N181" s="293">
        <v>412.72</v>
      </c>
      <c r="O181" s="237">
        <v>391.96</v>
      </c>
      <c r="P181" s="237">
        <v>398.4</v>
      </c>
      <c r="Q181" s="237">
        <v>404.84</v>
      </c>
      <c r="R181" s="237">
        <v>411.29</v>
      </c>
      <c r="S181" s="237">
        <v>295.32</v>
      </c>
      <c r="T181" s="237">
        <v>288.87</v>
      </c>
      <c r="U181" s="237">
        <v>282.43</v>
      </c>
      <c r="V181" s="237">
        <v>275.99</v>
      </c>
      <c r="W181" s="237">
        <v>269.54000000000002</v>
      </c>
      <c r="X181" s="51">
        <v>177</v>
      </c>
      <c r="Y181" s="237">
        <v>185.53</v>
      </c>
      <c r="Z181" s="237">
        <v>190.08</v>
      </c>
      <c r="AA181" s="2">
        <v>194.63</v>
      </c>
      <c r="AB181" s="59">
        <v>199.18</v>
      </c>
      <c r="AC181" s="3">
        <v>203.73</v>
      </c>
      <c r="AD181" s="297">
        <v>226.7</v>
      </c>
      <c r="AE181" s="298">
        <v>231.25</v>
      </c>
      <c r="AF181" s="298">
        <v>235.79</v>
      </c>
      <c r="AG181" s="310">
        <v>240.34</v>
      </c>
      <c r="AH181" s="299">
        <v>244.89</v>
      </c>
      <c r="AI181" s="293">
        <v>249.44</v>
      </c>
      <c r="AJ181" s="293">
        <v>251.09</v>
      </c>
      <c r="AK181" s="293">
        <v>258.54000000000002</v>
      </c>
      <c r="AL181" s="293">
        <v>263.08999999999997</v>
      </c>
      <c r="AM181" s="293">
        <v>267.64</v>
      </c>
      <c r="AN181" s="293">
        <v>272.19</v>
      </c>
      <c r="AO181" s="237">
        <v>258.31</v>
      </c>
      <c r="AP181" s="237">
        <v>262.86</v>
      </c>
      <c r="AQ181" s="237">
        <v>267.41000000000003</v>
      </c>
      <c r="AR181" s="237">
        <v>271.95999999999998</v>
      </c>
      <c r="AS181" s="237">
        <v>190.08</v>
      </c>
      <c r="AT181" s="237">
        <v>185.53</v>
      </c>
      <c r="AU181" s="237">
        <v>180.98</v>
      </c>
      <c r="AV181" s="237">
        <v>176.43</v>
      </c>
      <c r="AW181" s="237">
        <v>171.89</v>
      </c>
    </row>
    <row r="182" spans="1:49">
      <c r="A182" s="2">
        <v>303.2</v>
      </c>
      <c r="B182" s="59">
        <v>309.68</v>
      </c>
      <c r="C182" s="3">
        <v>316.16000000000003</v>
      </c>
      <c r="D182" s="297">
        <v>349.92</v>
      </c>
      <c r="E182" s="298">
        <v>356.4</v>
      </c>
      <c r="F182" s="298">
        <v>362.88</v>
      </c>
      <c r="G182" s="298">
        <v>369.36</v>
      </c>
      <c r="H182" s="299">
        <v>375.84</v>
      </c>
      <c r="I182" s="293">
        <v>382.32</v>
      </c>
      <c r="J182" s="293">
        <v>388.8</v>
      </c>
      <c r="K182" s="293">
        <v>395.28</v>
      </c>
      <c r="L182" s="293">
        <v>401.76</v>
      </c>
      <c r="M182" s="293">
        <v>408.24</v>
      </c>
      <c r="N182" s="293">
        <v>414.71</v>
      </c>
      <c r="O182" s="237">
        <v>393.91</v>
      </c>
      <c r="P182" s="237">
        <v>400.39</v>
      </c>
      <c r="Q182" s="237">
        <v>406.87</v>
      </c>
      <c r="R182" s="237">
        <v>413.35</v>
      </c>
      <c r="S182" s="237">
        <v>296.72000000000003</v>
      </c>
      <c r="T182" s="237">
        <v>290.24</v>
      </c>
      <c r="U182" s="237">
        <v>283.76</v>
      </c>
      <c r="V182" s="237">
        <v>277.27999999999997</v>
      </c>
      <c r="W182" s="237">
        <v>270.81</v>
      </c>
      <c r="X182" s="51">
        <v>178</v>
      </c>
      <c r="Y182" s="237">
        <v>186.59</v>
      </c>
      <c r="Z182" s="237">
        <v>191.17</v>
      </c>
      <c r="AA182" s="2">
        <v>195.74</v>
      </c>
      <c r="AB182" s="59">
        <v>200.32</v>
      </c>
      <c r="AC182" s="3">
        <v>204.89</v>
      </c>
      <c r="AD182" s="297">
        <v>228</v>
      </c>
      <c r="AE182" s="298">
        <v>232.57</v>
      </c>
      <c r="AF182" s="298">
        <v>237.15</v>
      </c>
      <c r="AG182" s="310">
        <v>241.72</v>
      </c>
      <c r="AH182" s="299">
        <v>246.3</v>
      </c>
      <c r="AI182" s="293">
        <v>250.87</v>
      </c>
      <c r="AJ182" s="293">
        <v>252.54</v>
      </c>
      <c r="AK182" s="293">
        <v>260.02</v>
      </c>
      <c r="AL182" s="293">
        <v>264.58999999999997</v>
      </c>
      <c r="AM182" s="293">
        <v>269.17</v>
      </c>
      <c r="AN182" s="293">
        <v>273.74</v>
      </c>
      <c r="AO182" s="237">
        <v>259.79000000000002</v>
      </c>
      <c r="AP182" s="237">
        <v>264.36</v>
      </c>
      <c r="AQ182" s="237">
        <v>268.94</v>
      </c>
      <c r="AR182" s="237">
        <v>273.51</v>
      </c>
      <c r="AS182" s="237">
        <v>191.17</v>
      </c>
      <c r="AT182" s="237">
        <v>186.59</v>
      </c>
      <c r="AU182" s="237">
        <v>182.02</v>
      </c>
      <c r="AV182" s="237">
        <v>177.44</v>
      </c>
      <c r="AW182" s="237">
        <v>172.87</v>
      </c>
    </row>
    <row r="183" spans="1:49">
      <c r="A183" s="2">
        <v>304.95</v>
      </c>
      <c r="B183" s="59">
        <v>311.47000000000003</v>
      </c>
      <c r="C183" s="3">
        <v>317.98</v>
      </c>
      <c r="D183" s="297">
        <v>351.95</v>
      </c>
      <c r="E183" s="298">
        <v>358.46</v>
      </c>
      <c r="F183" s="298">
        <v>364.98</v>
      </c>
      <c r="G183" s="298">
        <v>371.49</v>
      </c>
      <c r="H183" s="299">
        <v>378.01</v>
      </c>
      <c r="I183" s="293">
        <v>384.53</v>
      </c>
      <c r="J183" s="293">
        <v>391.04</v>
      </c>
      <c r="K183" s="293">
        <v>397.56</v>
      </c>
      <c r="L183" s="293">
        <v>404.07</v>
      </c>
      <c r="M183" s="293">
        <v>410.59</v>
      </c>
      <c r="N183" s="293">
        <v>417.1</v>
      </c>
      <c r="O183" s="237">
        <v>396.17</v>
      </c>
      <c r="P183" s="237">
        <v>402.69</v>
      </c>
      <c r="Q183" s="237">
        <v>409.2</v>
      </c>
      <c r="R183" s="237">
        <v>415.72</v>
      </c>
      <c r="S183" s="237">
        <v>298.44</v>
      </c>
      <c r="T183" s="237">
        <v>291.92</v>
      </c>
      <c r="U183" s="237">
        <v>285.39999999999998</v>
      </c>
      <c r="V183" s="237">
        <v>278.89</v>
      </c>
      <c r="W183" s="237">
        <v>272.37</v>
      </c>
      <c r="X183" s="51">
        <v>179</v>
      </c>
      <c r="Y183" s="237">
        <v>187.57</v>
      </c>
      <c r="Z183" s="237">
        <v>192.17</v>
      </c>
      <c r="AA183" s="2">
        <v>196.77</v>
      </c>
      <c r="AB183" s="59">
        <v>201.37</v>
      </c>
      <c r="AC183" s="3">
        <v>205.97</v>
      </c>
      <c r="AD183" s="297">
        <v>229.18</v>
      </c>
      <c r="AE183" s="298">
        <v>233.78</v>
      </c>
      <c r="AF183" s="298">
        <v>238.38</v>
      </c>
      <c r="AG183" s="310">
        <v>242.98</v>
      </c>
      <c r="AH183" s="299">
        <v>247.58</v>
      </c>
      <c r="AI183" s="293">
        <v>252.18</v>
      </c>
      <c r="AJ183" s="293">
        <v>253.99</v>
      </c>
      <c r="AK183" s="293">
        <v>261.38</v>
      </c>
      <c r="AL183" s="293">
        <v>265.98</v>
      </c>
      <c r="AM183" s="293">
        <v>270.58</v>
      </c>
      <c r="AN183" s="293">
        <v>275.18</v>
      </c>
      <c r="AO183" s="237">
        <v>261.17</v>
      </c>
      <c r="AP183" s="237">
        <v>265.77</v>
      </c>
      <c r="AQ183" s="237">
        <v>270.37</v>
      </c>
      <c r="AR183" s="237">
        <v>274.97000000000003</v>
      </c>
      <c r="AS183" s="237">
        <v>192.17</v>
      </c>
      <c r="AT183" s="237">
        <v>187.57</v>
      </c>
      <c r="AU183" s="237">
        <v>182.97</v>
      </c>
      <c r="AV183" s="237">
        <v>178.37</v>
      </c>
      <c r="AW183" s="237">
        <v>173.77</v>
      </c>
    </row>
    <row r="184" spans="1:49">
      <c r="A184" s="2">
        <v>306.70999999999998</v>
      </c>
      <c r="B184" s="59">
        <v>313.26</v>
      </c>
      <c r="C184" s="3">
        <v>319.81</v>
      </c>
      <c r="D184" s="297">
        <v>353.98</v>
      </c>
      <c r="E184" s="298">
        <v>360.53</v>
      </c>
      <c r="F184" s="298">
        <v>367.08</v>
      </c>
      <c r="G184" s="298">
        <v>373.64</v>
      </c>
      <c r="H184" s="299">
        <v>380.19</v>
      </c>
      <c r="I184" s="293">
        <v>386.74</v>
      </c>
      <c r="J184" s="293">
        <v>393.29</v>
      </c>
      <c r="K184" s="293">
        <v>399.84</v>
      </c>
      <c r="L184" s="293">
        <v>406.4</v>
      </c>
      <c r="M184" s="293">
        <v>412.95</v>
      </c>
      <c r="N184" s="293">
        <v>419.5</v>
      </c>
      <c r="O184" s="237">
        <v>398.43</v>
      </c>
      <c r="P184" s="237">
        <v>404.99</v>
      </c>
      <c r="Q184" s="237">
        <v>411.54</v>
      </c>
      <c r="R184" s="237">
        <v>418.09</v>
      </c>
      <c r="S184" s="237">
        <v>300.14999999999998</v>
      </c>
      <c r="T184" s="237">
        <v>293.60000000000002</v>
      </c>
      <c r="U184" s="237">
        <v>287.05</v>
      </c>
      <c r="V184" s="237">
        <v>280.5</v>
      </c>
      <c r="W184" s="237">
        <v>273.95</v>
      </c>
      <c r="X184" s="51">
        <v>180</v>
      </c>
      <c r="Y184" s="237">
        <v>188.63</v>
      </c>
      <c r="Z184" s="237">
        <v>193.26</v>
      </c>
      <c r="AA184" s="2">
        <v>197.88</v>
      </c>
      <c r="AB184" s="59">
        <v>202.51</v>
      </c>
      <c r="AC184" s="3">
        <v>207.14</v>
      </c>
      <c r="AD184" s="297">
        <v>230.48</v>
      </c>
      <c r="AE184" s="298">
        <v>235.1</v>
      </c>
      <c r="AF184" s="298">
        <v>239.73</v>
      </c>
      <c r="AG184" s="310">
        <v>244.36</v>
      </c>
      <c r="AH184" s="299">
        <v>248.98</v>
      </c>
      <c r="AI184" s="293">
        <v>253.61</v>
      </c>
      <c r="AJ184" s="293">
        <v>255.44</v>
      </c>
      <c r="AK184" s="293">
        <v>262.86</v>
      </c>
      <c r="AL184" s="293">
        <v>267.49</v>
      </c>
      <c r="AM184" s="293">
        <v>272.11</v>
      </c>
      <c r="AN184" s="293">
        <v>276.74</v>
      </c>
      <c r="AO184" s="237">
        <v>262.64999999999998</v>
      </c>
      <c r="AP184" s="237">
        <v>267.27</v>
      </c>
      <c r="AQ184" s="237">
        <v>271.89999999999998</v>
      </c>
      <c r="AR184" s="237">
        <v>276.52999999999997</v>
      </c>
      <c r="AS184" s="237">
        <v>193.26</v>
      </c>
      <c r="AT184" s="237">
        <v>188.63</v>
      </c>
      <c r="AU184" s="237">
        <v>184.01</v>
      </c>
      <c r="AV184" s="237">
        <v>179.38</v>
      </c>
      <c r="AW184" s="237">
        <v>174.75</v>
      </c>
    </row>
    <row r="185" spans="1:49">
      <c r="A185" s="2">
        <v>308.45999999999998</v>
      </c>
      <c r="B185" s="59">
        <v>315.05</v>
      </c>
      <c r="C185" s="3">
        <v>321.64</v>
      </c>
      <c r="D185" s="297">
        <v>356.02</v>
      </c>
      <c r="E185" s="298">
        <v>362.6</v>
      </c>
      <c r="F185" s="298">
        <v>369.19</v>
      </c>
      <c r="G185" s="298">
        <v>375.78</v>
      </c>
      <c r="H185" s="299">
        <v>382.37</v>
      </c>
      <c r="I185" s="293">
        <v>388.96</v>
      </c>
      <c r="J185" s="293">
        <v>395.55</v>
      </c>
      <c r="K185" s="293">
        <v>402.13</v>
      </c>
      <c r="L185" s="293">
        <v>408.72</v>
      </c>
      <c r="M185" s="293">
        <v>415.31</v>
      </c>
      <c r="N185" s="293">
        <v>421.9</v>
      </c>
      <c r="O185" s="237">
        <v>400.7</v>
      </c>
      <c r="P185" s="237">
        <v>407.29</v>
      </c>
      <c r="Q185" s="237">
        <v>413.88</v>
      </c>
      <c r="R185" s="237">
        <v>420.47</v>
      </c>
      <c r="S185" s="237">
        <v>301.88</v>
      </c>
      <c r="T185" s="237">
        <v>295.29000000000002</v>
      </c>
      <c r="U185" s="237">
        <v>288.7</v>
      </c>
      <c r="V185" s="237">
        <v>282.11</v>
      </c>
      <c r="W185" s="237">
        <v>275.52</v>
      </c>
      <c r="X185" s="51">
        <v>181</v>
      </c>
      <c r="Y185" s="237">
        <v>189.7</v>
      </c>
      <c r="Z185" s="237">
        <v>194.35</v>
      </c>
      <c r="AA185" s="2">
        <v>199</v>
      </c>
      <c r="AB185" s="59">
        <v>203.65</v>
      </c>
      <c r="AC185" s="3">
        <v>208.3</v>
      </c>
      <c r="AD185" s="297">
        <v>231.78</v>
      </c>
      <c r="AE185" s="298">
        <v>236.43</v>
      </c>
      <c r="AF185" s="298">
        <v>241.08</v>
      </c>
      <c r="AG185" s="310">
        <v>245.74</v>
      </c>
      <c r="AH185" s="299">
        <v>250.39</v>
      </c>
      <c r="AI185" s="293">
        <v>255.04</v>
      </c>
      <c r="AJ185" s="293">
        <v>256.77999999999997</v>
      </c>
      <c r="AK185" s="293">
        <v>264.33999999999997</v>
      </c>
      <c r="AL185" s="293">
        <v>268.99</v>
      </c>
      <c r="AM185" s="293">
        <v>273.64999999999998</v>
      </c>
      <c r="AN185" s="293">
        <v>278.3</v>
      </c>
      <c r="AO185" s="237">
        <v>264.12</v>
      </c>
      <c r="AP185" s="237">
        <v>268.77999999999997</v>
      </c>
      <c r="AQ185" s="237">
        <v>273.43</v>
      </c>
      <c r="AR185" s="237">
        <v>278.08</v>
      </c>
      <c r="AS185" s="237">
        <v>194.35</v>
      </c>
      <c r="AT185" s="237">
        <v>189.7</v>
      </c>
      <c r="AU185" s="237">
        <v>185.04</v>
      </c>
      <c r="AV185" s="237">
        <v>180.39</v>
      </c>
      <c r="AW185" s="237">
        <v>175.74</v>
      </c>
    </row>
    <row r="186" spans="1:49">
      <c r="A186" s="2">
        <v>310.23</v>
      </c>
      <c r="B186" s="59">
        <v>316.85000000000002</v>
      </c>
      <c r="C186" s="3">
        <v>323.48</v>
      </c>
      <c r="D186" s="297">
        <v>358.06</v>
      </c>
      <c r="E186" s="298">
        <v>364.68</v>
      </c>
      <c r="F186" s="298">
        <v>371.31</v>
      </c>
      <c r="G186" s="298">
        <v>377.93</v>
      </c>
      <c r="H186" s="299">
        <v>384.56</v>
      </c>
      <c r="I186" s="293">
        <v>391.18</v>
      </c>
      <c r="J186" s="293">
        <v>397.81</v>
      </c>
      <c r="K186" s="293">
        <v>404.43</v>
      </c>
      <c r="L186" s="293">
        <v>411.06</v>
      </c>
      <c r="M186" s="293">
        <v>417.68</v>
      </c>
      <c r="N186" s="293">
        <v>424.31</v>
      </c>
      <c r="O186" s="237">
        <v>402.97</v>
      </c>
      <c r="P186" s="237">
        <v>409.5</v>
      </c>
      <c r="Q186" s="237">
        <v>416.22</v>
      </c>
      <c r="R186" s="237">
        <v>422.85</v>
      </c>
      <c r="S186" s="237">
        <v>303.60000000000002</v>
      </c>
      <c r="T186" s="237">
        <v>296.98</v>
      </c>
      <c r="U186" s="237">
        <v>290.35000000000002</v>
      </c>
      <c r="V186" s="237">
        <v>283.73</v>
      </c>
      <c r="W186" s="237">
        <v>277.10000000000002</v>
      </c>
      <c r="X186" s="51">
        <v>182</v>
      </c>
      <c r="Y186" s="237">
        <v>190.76</v>
      </c>
      <c r="Z186" s="237">
        <v>195.44</v>
      </c>
      <c r="AA186" s="2">
        <v>200.12</v>
      </c>
      <c r="AB186" s="59">
        <v>204.79</v>
      </c>
      <c r="AC186" s="3">
        <v>209.47</v>
      </c>
      <c r="AD186" s="297">
        <v>233.09</v>
      </c>
      <c r="AE186" s="298">
        <v>237.76</v>
      </c>
      <c r="AF186" s="298">
        <v>242.44</v>
      </c>
      <c r="AG186" s="310">
        <v>247.12</v>
      </c>
      <c r="AH186" s="299">
        <v>251.8</v>
      </c>
      <c r="AI186" s="293">
        <v>256.47000000000003</v>
      </c>
      <c r="AJ186" s="293">
        <v>261.14999999999998</v>
      </c>
      <c r="AK186" s="293">
        <v>265.83</v>
      </c>
      <c r="AL186" s="293">
        <v>270.5</v>
      </c>
      <c r="AM186" s="293">
        <v>275.18</v>
      </c>
      <c r="AN186" s="293">
        <v>279.86</v>
      </c>
      <c r="AO186" s="237">
        <v>265.60000000000002</v>
      </c>
      <c r="AP186" s="237">
        <v>270.27999999999997</v>
      </c>
      <c r="AQ186" s="237">
        <v>274.95999999999998</v>
      </c>
      <c r="AR186" s="237">
        <v>279.63</v>
      </c>
      <c r="AS186" s="237">
        <v>195.44</v>
      </c>
      <c r="AT186" s="237">
        <v>190.76</v>
      </c>
      <c r="AU186" s="237">
        <v>186.08</v>
      </c>
      <c r="AV186" s="237">
        <v>181.41</v>
      </c>
      <c r="AW186" s="237">
        <v>176.73</v>
      </c>
    </row>
    <row r="187" spans="1:49">
      <c r="A187" s="2">
        <v>311.99</v>
      </c>
      <c r="B187" s="59">
        <v>318.64999999999998</v>
      </c>
      <c r="C187" s="3">
        <v>325.32</v>
      </c>
      <c r="D187" s="297">
        <v>360.11</v>
      </c>
      <c r="E187" s="298">
        <v>366.77</v>
      </c>
      <c r="F187" s="298">
        <v>373.43</v>
      </c>
      <c r="G187" s="298">
        <v>380.09</v>
      </c>
      <c r="H187" s="299">
        <v>386.75</v>
      </c>
      <c r="I187" s="293">
        <v>393.41</v>
      </c>
      <c r="J187" s="293">
        <v>400.07</v>
      </c>
      <c r="K187" s="293">
        <v>406.73</v>
      </c>
      <c r="L187" s="293">
        <v>413.4</v>
      </c>
      <c r="M187" s="293">
        <v>420.06</v>
      </c>
      <c r="N187" s="293">
        <v>426.72</v>
      </c>
      <c r="O187" s="237">
        <v>405.25</v>
      </c>
      <c r="P187" s="237">
        <v>411.91</v>
      </c>
      <c r="Q187" s="237">
        <v>418.57</v>
      </c>
      <c r="R187" s="237">
        <v>425.23</v>
      </c>
      <c r="S187" s="237">
        <v>305.33</v>
      </c>
      <c r="T187" s="237">
        <v>298.67</v>
      </c>
      <c r="U187" s="237">
        <v>292.01</v>
      </c>
      <c r="V187" s="237">
        <v>285.35000000000002</v>
      </c>
      <c r="W187" s="237">
        <v>278.69</v>
      </c>
      <c r="X187" s="51">
        <v>183</v>
      </c>
      <c r="Y187" s="237">
        <v>191.83</v>
      </c>
      <c r="Z187" s="237">
        <v>196.53</v>
      </c>
      <c r="AA187" s="2">
        <v>201.23</v>
      </c>
      <c r="AB187" s="59">
        <v>205.94</v>
      </c>
      <c r="AC187" s="3">
        <v>210.64</v>
      </c>
      <c r="AD187" s="297">
        <v>234.39</v>
      </c>
      <c r="AE187" s="298">
        <v>239.1</v>
      </c>
      <c r="AF187" s="298">
        <v>243.8</v>
      </c>
      <c r="AG187" s="310">
        <v>248.5</v>
      </c>
      <c r="AH187" s="299">
        <v>253.2</v>
      </c>
      <c r="AI187" s="293">
        <v>257.91000000000003</v>
      </c>
      <c r="AJ187" s="293">
        <v>262.61</v>
      </c>
      <c r="AK187" s="293">
        <v>267.31</v>
      </c>
      <c r="AL187" s="293">
        <v>272.02</v>
      </c>
      <c r="AM187" s="293">
        <v>276.72000000000003</v>
      </c>
      <c r="AN187" s="293">
        <v>281.42</v>
      </c>
      <c r="AO187" s="237">
        <v>267.08</v>
      </c>
      <c r="AP187" s="237">
        <v>271.77999999999997</v>
      </c>
      <c r="AQ187" s="237">
        <v>276.48</v>
      </c>
      <c r="AR187" s="237">
        <v>281.19</v>
      </c>
      <c r="AS187" s="237">
        <v>196.53</v>
      </c>
      <c r="AT187" s="237">
        <v>191.83</v>
      </c>
      <c r="AU187" s="237">
        <v>187.13</v>
      </c>
      <c r="AV187" s="237">
        <v>182.42</v>
      </c>
      <c r="AW187" s="237">
        <v>177.72</v>
      </c>
    </row>
    <row r="188" spans="1:49">
      <c r="A188" s="2">
        <v>313.44</v>
      </c>
      <c r="B188" s="59">
        <v>320.13</v>
      </c>
      <c r="C188" s="3">
        <v>326.83</v>
      </c>
      <c r="D188" s="297">
        <v>361.74</v>
      </c>
      <c r="E188" s="298">
        <v>368.43</v>
      </c>
      <c r="F188" s="298">
        <v>375.13</v>
      </c>
      <c r="G188" s="298">
        <v>381.83</v>
      </c>
      <c r="H188" s="299">
        <v>388.53</v>
      </c>
      <c r="I188" s="293">
        <v>395.22</v>
      </c>
      <c r="J188" s="293">
        <v>401.92</v>
      </c>
      <c r="K188" s="293">
        <v>408.62</v>
      </c>
      <c r="L188" s="293">
        <v>415.32</v>
      </c>
      <c r="M188" s="293">
        <v>422.01</v>
      </c>
      <c r="N188" s="293">
        <v>428.71</v>
      </c>
      <c r="O188" s="237">
        <v>407.2</v>
      </c>
      <c r="P188" s="237">
        <v>413.9</v>
      </c>
      <c r="Q188" s="237">
        <v>420.6</v>
      </c>
      <c r="R188" s="237">
        <v>427.29</v>
      </c>
      <c r="S188" s="237">
        <v>306.74</v>
      </c>
      <c r="T188" s="237">
        <v>300.04000000000002</v>
      </c>
      <c r="U188" s="237">
        <v>293.33999999999997</v>
      </c>
      <c r="V188" s="237">
        <v>286.64999999999998</v>
      </c>
      <c r="W188" s="237">
        <v>279.95</v>
      </c>
      <c r="X188" s="51">
        <v>184</v>
      </c>
      <c r="Y188" s="237">
        <v>192.8</v>
      </c>
      <c r="Z188" s="237">
        <v>197.53</v>
      </c>
      <c r="AA188" s="2">
        <v>202.26</v>
      </c>
      <c r="AB188" s="59">
        <v>206.99</v>
      </c>
      <c r="AC188" s="3">
        <v>211.72</v>
      </c>
      <c r="AD188" s="297">
        <v>235.57</v>
      </c>
      <c r="AE188" s="298">
        <v>240.3</v>
      </c>
      <c r="AF188" s="298">
        <v>245.03</v>
      </c>
      <c r="AG188" s="310">
        <v>249.76</v>
      </c>
      <c r="AH188" s="299">
        <v>254.49</v>
      </c>
      <c r="AI188" s="293">
        <v>259.20999999999998</v>
      </c>
      <c r="AJ188" s="293">
        <v>263.94</v>
      </c>
      <c r="AK188" s="293">
        <v>268.67</v>
      </c>
      <c r="AL188" s="293">
        <v>273.39999999999998</v>
      </c>
      <c r="AM188" s="293">
        <v>278.13</v>
      </c>
      <c r="AN188" s="293">
        <v>282.86</v>
      </c>
      <c r="AO188" s="237">
        <v>268.45999999999998</v>
      </c>
      <c r="AP188" s="237">
        <v>273.19</v>
      </c>
      <c r="AQ188" s="237">
        <v>277.92</v>
      </c>
      <c r="AR188" s="237">
        <v>282.64999999999998</v>
      </c>
      <c r="AS188" s="237">
        <v>197.53</v>
      </c>
      <c r="AT188" s="237">
        <v>192.8</v>
      </c>
      <c r="AU188" s="237">
        <v>188.07</v>
      </c>
      <c r="AV188" s="237">
        <v>183.35</v>
      </c>
      <c r="AW188" s="237">
        <v>178.62</v>
      </c>
    </row>
    <row r="189" spans="1:49">
      <c r="A189" s="2">
        <v>315.20999999999998</v>
      </c>
      <c r="B189" s="59">
        <v>321.94</v>
      </c>
      <c r="C189" s="3">
        <v>328.68</v>
      </c>
      <c r="D189" s="297">
        <v>363.79</v>
      </c>
      <c r="E189" s="298">
        <v>370.52</v>
      </c>
      <c r="F189" s="298">
        <v>377.26</v>
      </c>
      <c r="G189" s="298">
        <v>383.99</v>
      </c>
      <c r="H189" s="299">
        <v>390.73</v>
      </c>
      <c r="I189" s="293">
        <v>397.46</v>
      </c>
      <c r="J189" s="293">
        <v>404.19</v>
      </c>
      <c r="K189" s="293">
        <v>410.93</v>
      </c>
      <c r="L189" s="293">
        <v>417.66</v>
      </c>
      <c r="M189" s="293">
        <v>424.4</v>
      </c>
      <c r="N189" s="293">
        <v>431.13</v>
      </c>
      <c r="O189" s="237">
        <v>409.48</v>
      </c>
      <c r="P189" s="237">
        <v>416.22</v>
      </c>
      <c r="Q189" s="237">
        <v>422.95</v>
      </c>
      <c r="R189" s="237">
        <v>429.69</v>
      </c>
      <c r="S189" s="237">
        <v>308.47000000000003</v>
      </c>
      <c r="T189" s="237">
        <v>301.74</v>
      </c>
      <c r="U189" s="237">
        <v>295.01</v>
      </c>
      <c r="V189" s="237">
        <v>288.27</v>
      </c>
      <c r="W189" s="237">
        <v>281.54000000000002</v>
      </c>
      <c r="X189" s="51">
        <v>185</v>
      </c>
      <c r="Y189" s="237">
        <v>193.87</v>
      </c>
      <c r="Z189" s="237">
        <v>198.63</v>
      </c>
      <c r="AA189" s="2">
        <v>203.38</v>
      </c>
      <c r="AB189" s="59">
        <v>208.14</v>
      </c>
      <c r="AC189" s="3">
        <v>212.89</v>
      </c>
      <c r="AD189" s="297">
        <v>236.88</v>
      </c>
      <c r="AE189" s="298">
        <v>241.63</v>
      </c>
      <c r="AF189" s="298">
        <v>246.39</v>
      </c>
      <c r="AG189" s="310">
        <v>251.14</v>
      </c>
      <c r="AH189" s="299">
        <v>255.9</v>
      </c>
      <c r="AI189" s="293">
        <v>260.64999999999998</v>
      </c>
      <c r="AJ189" s="293">
        <v>265.41000000000003</v>
      </c>
      <c r="AK189" s="293">
        <v>270.16000000000003</v>
      </c>
      <c r="AL189" s="293">
        <v>274.92</v>
      </c>
      <c r="AM189" s="293">
        <v>279.67</v>
      </c>
      <c r="AN189" s="293">
        <v>284.42</v>
      </c>
      <c r="AO189" s="237">
        <v>269.94</v>
      </c>
      <c r="AP189" s="237">
        <v>274.7</v>
      </c>
      <c r="AQ189" s="237">
        <v>279.45</v>
      </c>
      <c r="AR189" s="237">
        <v>284.20999999999998</v>
      </c>
      <c r="AS189" s="237">
        <v>198.63</v>
      </c>
      <c r="AT189" s="237">
        <v>193.87</v>
      </c>
      <c r="AU189" s="237">
        <v>189.12</v>
      </c>
      <c r="AV189" s="237">
        <v>184.36</v>
      </c>
      <c r="AW189" s="237">
        <v>179.61</v>
      </c>
    </row>
    <row r="190" spans="1:49">
      <c r="A190" s="2">
        <v>316.98</v>
      </c>
      <c r="B190" s="59">
        <v>323.75</v>
      </c>
      <c r="C190" s="3">
        <v>330.52</v>
      </c>
      <c r="D190" s="297">
        <v>365.85</v>
      </c>
      <c r="E190" s="298">
        <v>372.62</v>
      </c>
      <c r="F190" s="298">
        <v>379.39</v>
      </c>
      <c r="G190" s="298">
        <v>386.16</v>
      </c>
      <c r="H190" s="299">
        <v>392.93</v>
      </c>
      <c r="I190" s="293">
        <v>399.7</v>
      </c>
      <c r="J190" s="293">
        <v>406.47</v>
      </c>
      <c r="K190" s="293">
        <v>413.24</v>
      </c>
      <c r="L190" s="293">
        <v>420.01</v>
      </c>
      <c r="M190" s="293">
        <v>426.78</v>
      </c>
      <c r="N190" s="293">
        <v>433.55</v>
      </c>
      <c r="O190" s="237">
        <v>411.77</v>
      </c>
      <c r="P190" s="237">
        <v>418.54</v>
      </c>
      <c r="Q190" s="237">
        <v>425.31</v>
      </c>
      <c r="R190" s="237">
        <v>432.08</v>
      </c>
      <c r="S190" s="237">
        <v>310.20999999999998</v>
      </c>
      <c r="T190" s="237">
        <v>303.44</v>
      </c>
      <c r="U190" s="237">
        <v>296.67</v>
      </c>
      <c r="V190" s="237">
        <v>289.89999999999998</v>
      </c>
      <c r="W190" s="237">
        <v>283.13</v>
      </c>
      <c r="X190" s="51">
        <v>186</v>
      </c>
      <c r="Y190" s="237">
        <v>194.94</v>
      </c>
      <c r="Z190" s="237">
        <v>199.72</v>
      </c>
      <c r="AA190" s="2">
        <v>204.5</v>
      </c>
      <c r="AB190" s="59">
        <v>209.28</v>
      </c>
      <c r="AC190" s="3">
        <v>214.06</v>
      </c>
      <c r="AD190" s="297">
        <v>238.19</v>
      </c>
      <c r="AE190" s="298">
        <v>242.97</v>
      </c>
      <c r="AF190" s="298">
        <v>247.75</v>
      </c>
      <c r="AG190" s="310">
        <v>252.53</v>
      </c>
      <c r="AH190" s="299">
        <v>257.31</v>
      </c>
      <c r="AI190" s="293">
        <v>262.08999999999997</v>
      </c>
      <c r="AJ190" s="293">
        <v>266.87</v>
      </c>
      <c r="AK190" s="293">
        <v>271.64999999999998</v>
      </c>
      <c r="AL190" s="293">
        <v>276.43</v>
      </c>
      <c r="AM190" s="293">
        <v>281.20999999999998</v>
      </c>
      <c r="AN190" s="293">
        <v>285.99</v>
      </c>
      <c r="AO190" s="237">
        <v>271.42</v>
      </c>
      <c r="AP190" s="237">
        <v>276.2</v>
      </c>
      <c r="AQ190" s="237">
        <v>280.98</v>
      </c>
      <c r="AR190" s="237">
        <v>285.76</v>
      </c>
      <c r="AS190" s="237">
        <v>199.72</v>
      </c>
      <c r="AT190" s="237">
        <v>194.94</v>
      </c>
      <c r="AU190" s="237">
        <v>190.16</v>
      </c>
      <c r="AV190" s="237">
        <v>185.38</v>
      </c>
      <c r="AW190" s="237">
        <v>180.6</v>
      </c>
    </row>
    <row r="191" spans="1:49">
      <c r="A191" s="2">
        <v>318.76</v>
      </c>
      <c r="B191" s="59">
        <v>325.57</v>
      </c>
      <c r="C191" s="3">
        <v>332.38</v>
      </c>
      <c r="D191" s="297">
        <v>367.91</v>
      </c>
      <c r="E191" s="298">
        <v>374.72</v>
      </c>
      <c r="F191" s="298">
        <v>381.53</v>
      </c>
      <c r="G191" s="298">
        <v>388.33</v>
      </c>
      <c r="H191" s="299">
        <v>395.14</v>
      </c>
      <c r="I191" s="293">
        <v>401.95</v>
      </c>
      <c r="J191" s="293">
        <v>408.75</v>
      </c>
      <c r="K191" s="293">
        <v>415.56</v>
      </c>
      <c r="L191" s="293">
        <v>422.37</v>
      </c>
      <c r="M191" s="293">
        <v>429.17</v>
      </c>
      <c r="N191" s="293">
        <v>435.98</v>
      </c>
      <c r="O191" s="237">
        <v>414.06</v>
      </c>
      <c r="P191" s="237">
        <v>420.87</v>
      </c>
      <c r="Q191" s="237">
        <v>427.67</v>
      </c>
      <c r="R191" s="237">
        <v>434.48</v>
      </c>
      <c r="S191" s="237">
        <v>311.95999999999998</v>
      </c>
      <c r="T191" s="237">
        <v>305.14999999999998</v>
      </c>
      <c r="U191" s="237">
        <v>298.33999999999997</v>
      </c>
      <c r="V191" s="237">
        <v>291.54000000000002</v>
      </c>
      <c r="W191" s="237">
        <v>284.73</v>
      </c>
      <c r="X191" s="51">
        <v>187</v>
      </c>
      <c r="Y191" s="237">
        <v>196.01</v>
      </c>
      <c r="Z191" s="237">
        <v>200.82</v>
      </c>
      <c r="AA191" s="2">
        <v>205.62</v>
      </c>
      <c r="AB191" s="59">
        <v>210.43</v>
      </c>
      <c r="AC191" s="3">
        <v>215.24</v>
      </c>
      <c r="AD191" s="297">
        <v>239.5</v>
      </c>
      <c r="AE191" s="298">
        <v>244.31</v>
      </c>
      <c r="AF191" s="298">
        <v>249.11</v>
      </c>
      <c r="AG191" s="310">
        <v>253.92</v>
      </c>
      <c r="AH191" s="299">
        <v>258.73</v>
      </c>
      <c r="AI191" s="293">
        <v>263.52999999999997</v>
      </c>
      <c r="AJ191" s="293">
        <v>268.33999999999997</v>
      </c>
      <c r="AK191" s="293">
        <v>273.14</v>
      </c>
      <c r="AL191" s="293">
        <v>277.95</v>
      </c>
      <c r="AM191" s="293">
        <v>282.76</v>
      </c>
      <c r="AN191" s="293">
        <v>287.56</v>
      </c>
      <c r="AO191" s="237">
        <v>272.91000000000003</v>
      </c>
      <c r="AP191" s="237">
        <v>277.70999999999998</v>
      </c>
      <c r="AQ191" s="237">
        <v>282.52</v>
      </c>
      <c r="AR191" s="237">
        <v>287.32</v>
      </c>
      <c r="AS191" s="237">
        <v>200.82</v>
      </c>
      <c r="AT191" s="237">
        <v>196.01</v>
      </c>
      <c r="AU191" s="237">
        <v>191.21</v>
      </c>
      <c r="AV191" s="237">
        <v>186.4</v>
      </c>
      <c r="AW191" s="237">
        <v>181.59</v>
      </c>
    </row>
    <row r="192" spans="1:49">
      <c r="A192" s="2">
        <v>320.20999999999998</v>
      </c>
      <c r="B192" s="59">
        <v>327.05</v>
      </c>
      <c r="C192" s="3">
        <v>333.89</v>
      </c>
      <c r="D192" s="297">
        <v>369.54</v>
      </c>
      <c r="E192" s="298">
        <v>376.39</v>
      </c>
      <c r="F192" s="298">
        <v>383.23</v>
      </c>
      <c r="G192" s="298">
        <v>390.07</v>
      </c>
      <c r="H192" s="299">
        <v>396.92</v>
      </c>
      <c r="I192" s="293">
        <v>403.76</v>
      </c>
      <c r="J192" s="293">
        <v>410.6</v>
      </c>
      <c r="K192" s="293">
        <v>417.45</v>
      </c>
      <c r="L192" s="293">
        <v>424.29</v>
      </c>
      <c r="M192" s="293">
        <v>431.13</v>
      </c>
      <c r="N192" s="293">
        <v>437.98</v>
      </c>
      <c r="O192" s="237">
        <v>416.01</v>
      </c>
      <c r="P192" s="237">
        <v>422.85</v>
      </c>
      <c r="Q192" s="237">
        <v>429.7</v>
      </c>
      <c r="R192" s="237">
        <v>436.54</v>
      </c>
      <c r="S192" s="237">
        <v>313.36</v>
      </c>
      <c r="T192" s="237">
        <v>306.52</v>
      </c>
      <c r="U192" s="237">
        <v>299.68</v>
      </c>
      <c r="V192" s="237">
        <v>292.83</v>
      </c>
      <c r="W192" s="237">
        <v>285.99</v>
      </c>
      <c r="X192" s="51">
        <v>188</v>
      </c>
      <c r="Y192" s="237">
        <v>196.99</v>
      </c>
      <c r="Z192" s="237">
        <v>201.82</v>
      </c>
      <c r="AA192" s="2">
        <v>206.65</v>
      </c>
      <c r="AB192" s="59">
        <v>211.48</v>
      </c>
      <c r="AC192" s="3">
        <v>216.31</v>
      </c>
      <c r="AD192" s="297">
        <v>240.68</v>
      </c>
      <c r="AE192" s="298">
        <v>245.51</v>
      </c>
      <c r="AF192" s="298">
        <v>250.34</v>
      </c>
      <c r="AG192" s="310">
        <v>255.18</v>
      </c>
      <c r="AH192" s="299">
        <v>260.01</v>
      </c>
      <c r="AI192" s="293">
        <v>264.83999999999997</v>
      </c>
      <c r="AJ192" s="293">
        <v>269.67</v>
      </c>
      <c r="AK192" s="293">
        <v>274.5</v>
      </c>
      <c r="AL192" s="293">
        <v>279.33</v>
      </c>
      <c r="AM192" s="293">
        <v>284.16000000000003</v>
      </c>
      <c r="AN192" s="293">
        <v>289</v>
      </c>
      <c r="AO192" s="237">
        <v>274.29000000000002</v>
      </c>
      <c r="AP192" s="237">
        <v>279.12</v>
      </c>
      <c r="AQ192" s="237">
        <v>283.95999999999998</v>
      </c>
      <c r="AR192" s="237">
        <v>288.79000000000002</v>
      </c>
      <c r="AS192" s="237">
        <v>201.82</v>
      </c>
      <c r="AT192" s="237">
        <v>196.99</v>
      </c>
      <c r="AU192" s="237">
        <v>192.16</v>
      </c>
      <c r="AV192" s="237">
        <v>187.32</v>
      </c>
      <c r="AW192" s="237">
        <v>182.49</v>
      </c>
    </row>
    <row r="193" spans="1:49">
      <c r="A193" s="2">
        <v>321.99</v>
      </c>
      <c r="B193" s="59">
        <v>328.87</v>
      </c>
      <c r="C193" s="3">
        <v>335.75</v>
      </c>
      <c r="D193" s="297">
        <v>371.61</v>
      </c>
      <c r="E193" s="298">
        <v>378.49</v>
      </c>
      <c r="F193" s="298">
        <v>385.37</v>
      </c>
      <c r="G193" s="298">
        <v>392.25</v>
      </c>
      <c r="H193" s="299">
        <v>399.13</v>
      </c>
      <c r="I193" s="293">
        <v>406.01</v>
      </c>
      <c r="J193" s="293">
        <v>412.89</v>
      </c>
      <c r="K193" s="293">
        <v>419.77</v>
      </c>
      <c r="L193" s="293">
        <v>426.65</v>
      </c>
      <c r="M193" s="293">
        <v>433.53</v>
      </c>
      <c r="N193" s="293">
        <v>440.41</v>
      </c>
      <c r="O193" s="237">
        <v>418.31</v>
      </c>
      <c r="P193" s="237">
        <v>425.19</v>
      </c>
      <c r="Q193" s="237">
        <v>432.06</v>
      </c>
      <c r="R193" s="237">
        <v>438.94</v>
      </c>
      <c r="S193" s="237">
        <v>315.11</v>
      </c>
      <c r="T193" s="237">
        <v>308.23</v>
      </c>
      <c r="U193" s="237">
        <v>301.35000000000002</v>
      </c>
      <c r="V193" s="237">
        <v>294.47000000000003</v>
      </c>
      <c r="W193" s="237">
        <v>287.58999999999997</v>
      </c>
      <c r="X193" s="51">
        <v>189</v>
      </c>
      <c r="Y193" s="237">
        <v>198.06</v>
      </c>
      <c r="Z193" s="237">
        <v>202.92</v>
      </c>
      <c r="AA193" s="2">
        <v>207.77</v>
      </c>
      <c r="AB193" s="59">
        <v>212.63</v>
      </c>
      <c r="AC193" s="3">
        <v>217.49</v>
      </c>
      <c r="AD193" s="297">
        <v>241.99</v>
      </c>
      <c r="AE193" s="298">
        <v>246.85</v>
      </c>
      <c r="AF193" s="298">
        <v>251.71</v>
      </c>
      <c r="AG193" s="310">
        <v>256.57</v>
      </c>
      <c r="AH193" s="299">
        <v>261.42</v>
      </c>
      <c r="AI193" s="293">
        <v>266.27999999999997</v>
      </c>
      <c r="AJ193" s="293">
        <v>271.14</v>
      </c>
      <c r="AK193" s="293">
        <v>276</v>
      </c>
      <c r="AL193" s="293">
        <v>280.85000000000002</v>
      </c>
      <c r="AM193" s="293">
        <v>285.70999999999998</v>
      </c>
      <c r="AN193" s="293">
        <v>290.57</v>
      </c>
      <c r="AO193" s="237">
        <v>275.77999999999997</v>
      </c>
      <c r="AP193" s="237">
        <v>280.63</v>
      </c>
      <c r="AQ193" s="237">
        <v>285.49</v>
      </c>
      <c r="AR193" s="237">
        <v>290.35000000000002</v>
      </c>
      <c r="AS193" s="237">
        <v>202.92</v>
      </c>
      <c r="AT193" s="237">
        <v>198.06</v>
      </c>
      <c r="AU193" s="237">
        <v>193.2</v>
      </c>
      <c r="AV193" s="237">
        <v>188.34</v>
      </c>
      <c r="AW193" s="237">
        <v>183.49</v>
      </c>
    </row>
    <row r="194" spans="1:49">
      <c r="A194" s="2">
        <v>323.77999999999997</v>
      </c>
      <c r="B194" s="59">
        <v>330.7</v>
      </c>
      <c r="C194" s="3">
        <v>337.61</v>
      </c>
      <c r="D194" s="297">
        <v>373.69</v>
      </c>
      <c r="E194" s="298">
        <v>380.61</v>
      </c>
      <c r="F194" s="298">
        <v>387.52</v>
      </c>
      <c r="G194" s="298">
        <v>394.44</v>
      </c>
      <c r="H194" s="299">
        <v>401.36</v>
      </c>
      <c r="I194" s="293">
        <v>408.27</v>
      </c>
      <c r="J194" s="293">
        <v>415.19</v>
      </c>
      <c r="K194" s="293">
        <v>422.1</v>
      </c>
      <c r="L194" s="293">
        <v>429.02</v>
      </c>
      <c r="M194" s="293">
        <v>435.94</v>
      </c>
      <c r="N194" s="293">
        <v>442.85</v>
      </c>
      <c r="O194" s="237">
        <v>420.61</v>
      </c>
      <c r="P194" s="237">
        <v>427.52</v>
      </c>
      <c r="Q194" s="237">
        <v>434.44</v>
      </c>
      <c r="R194" s="237">
        <v>441.35</v>
      </c>
      <c r="S194" s="237">
        <v>316.87</v>
      </c>
      <c r="T194" s="237">
        <v>309.95</v>
      </c>
      <c r="U194" s="237">
        <v>303.02999999999997</v>
      </c>
      <c r="V194" s="237">
        <v>296.12</v>
      </c>
      <c r="W194" s="237">
        <v>289.2</v>
      </c>
      <c r="X194" s="51">
        <v>190</v>
      </c>
      <c r="Y194" s="237">
        <v>199.13</v>
      </c>
      <c r="Z194" s="237">
        <v>204.02</v>
      </c>
      <c r="AA194" s="2">
        <v>208.9</v>
      </c>
      <c r="AB194" s="59">
        <v>213.78</v>
      </c>
      <c r="AC194" s="3">
        <v>218.66</v>
      </c>
      <c r="AD194" s="297">
        <v>243.31</v>
      </c>
      <c r="AE194" s="298">
        <v>248.19</v>
      </c>
      <c r="AF194" s="298">
        <v>253.08</v>
      </c>
      <c r="AG194" s="310">
        <v>257.95999999999998</v>
      </c>
      <c r="AH194" s="299">
        <v>262.83999999999997</v>
      </c>
      <c r="AI194" s="293">
        <v>267.73</v>
      </c>
      <c r="AJ194" s="293">
        <v>272.61</v>
      </c>
      <c r="AK194" s="293">
        <v>277.49</v>
      </c>
      <c r="AL194" s="293">
        <v>282.37</v>
      </c>
      <c r="AM194" s="293">
        <v>287.26</v>
      </c>
      <c r="AN194" s="293">
        <v>292.14</v>
      </c>
      <c r="AO194" s="237">
        <v>277.26</v>
      </c>
      <c r="AP194" s="237">
        <v>282.14</v>
      </c>
      <c r="AQ194" s="237">
        <v>287.02999999999997</v>
      </c>
      <c r="AR194" s="237">
        <v>291.91000000000003</v>
      </c>
      <c r="AS194" s="237">
        <v>204.02</v>
      </c>
      <c r="AT194" s="237">
        <v>199.13</v>
      </c>
      <c r="AU194" s="237">
        <v>194.25</v>
      </c>
      <c r="AV194" s="237">
        <v>189.37</v>
      </c>
      <c r="AW194" s="237">
        <v>184.48</v>
      </c>
    </row>
    <row r="195" spans="1:49">
      <c r="A195" s="2">
        <v>325.58</v>
      </c>
      <c r="B195" s="59">
        <v>332.53</v>
      </c>
      <c r="C195" s="3">
        <v>339.48</v>
      </c>
      <c r="D195" s="297">
        <v>375.78</v>
      </c>
      <c r="E195" s="298">
        <v>382.73</v>
      </c>
      <c r="F195" s="298">
        <v>389.68</v>
      </c>
      <c r="G195" s="298">
        <v>396.63</v>
      </c>
      <c r="H195" s="299">
        <v>403.59</v>
      </c>
      <c r="I195" s="293">
        <v>410.54</v>
      </c>
      <c r="J195" s="293">
        <v>417.49</v>
      </c>
      <c r="K195" s="293">
        <v>424.44</v>
      </c>
      <c r="L195" s="293">
        <v>431.4</v>
      </c>
      <c r="M195" s="293">
        <v>438.35</v>
      </c>
      <c r="N195" s="293">
        <v>445.3</v>
      </c>
      <c r="O195" s="237">
        <v>422.91</v>
      </c>
      <c r="P195" s="237">
        <v>429.86</v>
      </c>
      <c r="Q195" s="237">
        <v>436.81</v>
      </c>
      <c r="R195" s="237">
        <v>443.77</v>
      </c>
      <c r="S195" s="237">
        <v>318.62</v>
      </c>
      <c r="T195" s="237">
        <v>311.67</v>
      </c>
      <c r="U195" s="237">
        <v>304.72000000000003</v>
      </c>
      <c r="V195" s="237">
        <v>297.77</v>
      </c>
      <c r="W195" s="237">
        <v>290.81</v>
      </c>
      <c r="X195" s="51">
        <v>191</v>
      </c>
      <c r="Y195" s="237">
        <v>200.21</v>
      </c>
      <c r="Z195" s="237">
        <v>205.12</v>
      </c>
      <c r="AA195" s="2">
        <v>210.02</v>
      </c>
      <c r="AB195" s="59">
        <v>214.93</v>
      </c>
      <c r="AC195" s="3">
        <v>219.84</v>
      </c>
      <c r="AD195" s="297">
        <v>244.63</v>
      </c>
      <c r="AE195" s="298">
        <v>249.54</v>
      </c>
      <c r="AF195" s="298">
        <v>254.45</v>
      </c>
      <c r="AG195" s="310">
        <v>259.35000000000002</v>
      </c>
      <c r="AH195" s="299">
        <v>264.26</v>
      </c>
      <c r="AI195" s="293">
        <v>269.17</v>
      </c>
      <c r="AJ195" s="293">
        <v>274.08</v>
      </c>
      <c r="AK195" s="293">
        <v>278.99</v>
      </c>
      <c r="AL195" s="293">
        <v>283.89999999999998</v>
      </c>
      <c r="AM195" s="293">
        <v>288.81</v>
      </c>
      <c r="AN195" s="293">
        <v>293.72000000000003</v>
      </c>
      <c r="AO195" s="237">
        <v>278.75</v>
      </c>
      <c r="AP195" s="237">
        <v>283.66000000000003</v>
      </c>
      <c r="AQ195" s="237">
        <v>288.56</v>
      </c>
      <c r="AR195" s="237">
        <v>293.47000000000003</v>
      </c>
      <c r="AS195" s="237">
        <v>205.12</v>
      </c>
      <c r="AT195" s="237">
        <v>200.21</v>
      </c>
      <c r="AU195" s="237">
        <v>195.3</v>
      </c>
      <c r="AV195" s="237">
        <v>190.39</v>
      </c>
      <c r="AW195" s="237">
        <v>185.48</v>
      </c>
    </row>
    <row r="196" spans="1:49">
      <c r="A196" s="2">
        <v>327.02</v>
      </c>
      <c r="B196" s="59">
        <v>334.01</v>
      </c>
      <c r="C196" s="3">
        <v>341</v>
      </c>
      <c r="D196" s="297">
        <v>377.41</v>
      </c>
      <c r="E196" s="298">
        <v>384.39</v>
      </c>
      <c r="F196" s="298">
        <v>391.38</v>
      </c>
      <c r="G196" s="298">
        <v>398.37</v>
      </c>
      <c r="H196" s="299">
        <v>405.36</v>
      </c>
      <c r="I196" s="293">
        <v>412.35</v>
      </c>
      <c r="J196" s="293">
        <v>419.34</v>
      </c>
      <c r="K196" s="293">
        <v>426.33</v>
      </c>
      <c r="L196" s="293">
        <v>433.32</v>
      </c>
      <c r="M196" s="293">
        <v>440.31</v>
      </c>
      <c r="N196" s="293">
        <v>447.29</v>
      </c>
      <c r="O196" s="237">
        <v>424.86</v>
      </c>
      <c r="P196" s="237">
        <v>431.85</v>
      </c>
      <c r="Q196" s="237">
        <v>438.84</v>
      </c>
      <c r="R196" s="237">
        <v>445.83</v>
      </c>
      <c r="S196" s="237">
        <v>320.02999999999997</v>
      </c>
      <c r="T196" s="237">
        <v>313.04000000000002</v>
      </c>
      <c r="U196" s="237">
        <v>306.05</v>
      </c>
      <c r="V196" s="237">
        <v>299.06</v>
      </c>
      <c r="W196" s="237">
        <v>292.07</v>
      </c>
      <c r="X196" s="51">
        <v>192</v>
      </c>
      <c r="Y196" s="237">
        <v>201.18</v>
      </c>
      <c r="Z196" s="237">
        <v>206.12</v>
      </c>
      <c r="AA196" s="2">
        <v>211.05</v>
      </c>
      <c r="AB196" s="59">
        <v>215.99</v>
      </c>
      <c r="AC196" s="3">
        <v>220.92</v>
      </c>
      <c r="AD196" s="297">
        <v>245.81</v>
      </c>
      <c r="AE196" s="298">
        <v>250.74</v>
      </c>
      <c r="AF196" s="298">
        <v>255.68</v>
      </c>
      <c r="AG196" s="310">
        <v>260.61</v>
      </c>
      <c r="AH196" s="299">
        <v>265.54000000000002</v>
      </c>
      <c r="AI196" s="293">
        <v>270.48</v>
      </c>
      <c r="AJ196" s="293">
        <v>275.41000000000003</v>
      </c>
      <c r="AK196" s="293">
        <v>280.35000000000002</v>
      </c>
      <c r="AL196" s="293">
        <v>285.27999999999997</v>
      </c>
      <c r="AM196" s="293">
        <v>290.22000000000003</v>
      </c>
      <c r="AN196" s="293">
        <v>295.14999999999998</v>
      </c>
      <c r="AO196" s="237">
        <v>280.13</v>
      </c>
      <c r="AP196" s="237">
        <v>285.07</v>
      </c>
      <c r="AQ196" s="237">
        <v>290</v>
      </c>
      <c r="AR196" s="237">
        <v>294.94</v>
      </c>
      <c r="AS196" s="237">
        <v>206.12</v>
      </c>
      <c r="AT196" s="237">
        <v>201.18</v>
      </c>
      <c r="AU196" s="237">
        <v>196.25</v>
      </c>
      <c r="AV196" s="237">
        <v>191.31</v>
      </c>
      <c r="AW196" s="237">
        <v>186.38</v>
      </c>
    </row>
    <row r="197" spans="1:49">
      <c r="A197" s="2">
        <v>328.82</v>
      </c>
      <c r="B197" s="59">
        <v>335.84</v>
      </c>
      <c r="C197" s="3">
        <v>342.87</v>
      </c>
      <c r="D197" s="297">
        <v>379.5</v>
      </c>
      <c r="E197" s="298">
        <v>386.52</v>
      </c>
      <c r="F197" s="298">
        <v>393.55</v>
      </c>
      <c r="G197" s="298">
        <v>400.57</v>
      </c>
      <c r="H197" s="299">
        <v>407.6</v>
      </c>
      <c r="I197" s="293">
        <v>414.62</v>
      </c>
      <c r="J197" s="293">
        <v>421.65</v>
      </c>
      <c r="K197" s="293">
        <v>428.67</v>
      </c>
      <c r="L197" s="293">
        <v>435.7</v>
      </c>
      <c r="M197" s="293">
        <v>442.72</v>
      </c>
      <c r="N197" s="293">
        <v>449.75</v>
      </c>
      <c r="O197" s="237">
        <v>427.17</v>
      </c>
      <c r="P197" s="237">
        <v>434.2</v>
      </c>
      <c r="Q197" s="237">
        <v>441.22</v>
      </c>
      <c r="R197" s="237">
        <v>448.25</v>
      </c>
      <c r="S197" s="237">
        <v>321.79000000000002</v>
      </c>
      <c r="T197" s="237">
        <v>314.77</v>
      </c>
      <c r="U197" s="237">
        <v>307.74</v>
      </c>
      <c r="V197" s="237">
        <v>300.72000000000003</v>
      </c>
      <c r="W197" s="237">
        <v>293.69</v>
      </c>
      <c r="X197" s="51">
        <v>193</v>
      </c>
      <c r="Y197" s="237">
        <v>202.26</v>
      </c>
      <c r="Z197" s="237">
        <v>207.22</v>
      </c>
      <c r="AA197" s="2">
        <v>212.18</v>
      </c>
      <c r="AB197" s="59">
        <v>217.14</v>
      </c>
      <c r="AC197" s="3">
        <v>222.1</v>
      </c>
      <c r="AD197" s="297">
        <v>247.13</v>
      </c>
      <c r="AE197" s="298">
        <v>252.09</v>
      </c>
      <c r="AF197" s="298">
        <v>257.05</v>
      </c>
      <c r="AG197" s="310">
        <v>262.01</v>
      </c>
      <c r="AH197" s="299">
        <v>266.97000000000003</v>
      </c>
      <c r="AI197" s="293">
        <v>271.93</v>
      </c>
      <c r="AJ197" s="293">
        <v>276.89</v>
      </c>
      <c r="AK197" s="293">
        <v>281.85000000000002</v>
      </c>
      <c r="AL197" s="293">
        <v>286.81</v>
      </c>
      <c r="AM197" s="293">
        <v>291.77</v>
      </c>
      <c r="AN197" s="293">
        <v>296.73</v>
      </c>
      <c r="AO197" s="237">
        <v>281.62</v>
      </c>
      <c r="AP197" s="237">
        <v>286.58</v>
      </c>
      <c r="AQ197" s="237">
        <v>291.54000000000002</v>
      </c>
      <c r="AR197" s="237">
        <v>296.5</v>
      </c>
      <c r="AS197" s="237">
        <v>207.22</v>
      </c>
      <c r="AT197" s="237">
        <v>202.26</v>
      </c>
      <c r="AU197" s="237">
        <v>197.3</v>
      </c>
      <c r="AV197" s="237">
        <v>192.34</v>
      </c>
      <c r="AW197" s="237">
        <v>187.38</v>
      </c>
    </row>
    <row r="198" spans="1:49">
      <c r="A198" s="2">
        <v>330.62</v>
      </c>
      <c r="B198" s="59">
        <v>337.69</v>
      </c>
      <c r="C198" s="3">
        <v>344.75</v>
      </c>
      <c r="D198" s="297">
        <v>381.59</v>
      </c>
      <c r="E198" s="298">
        <v>388.65</v>
      </c>
      <c r="F198" s="298">
        <v>395.72</v>
      </c>
      <c r="G198" s="298">
        <v>402.78</v>
      </c>
      <c r="H198" s="299">
        <v>409.84</v>
      </c>
      <c r="I198" s="293">
        <v>416.9</v>
      </c>
      <c r="J198" s="293">
        <v>423.96</v>
      </c>
      <c r="K198" s="293">
        <v>431.02</v>
      </c>
      <c r="L198" s="293">
        <v>438.09</v>
      </c>
      <c r="M198" s="293">
        <v>445.15</v>
      </c>
      <c r="N198" s="293">
        <v>452.21</v>
      </c>
      <c r="O198" s="237">
        <v>429.49</v>
      </c>
      <c r="P198" s="237">
        <v>436.55</v>
      </c>
      <c r="Q198" s="237">
        <v>443.61</v>
      </c>
      <c r="R198" s="237">
        <v>450.67</v>
      </c>
      <c r="S198" s="237">
        <v>323.56</v>
      </c>
      <c r="T198" s="237">
        <v>316.5</v>
      </c>
      <c r="U198" s="237">
        <v>309.44</v>
      </c>
      <c r="V198" s="237">
        <v>302.38</v>
      </c>
      <c r="W198" s="237">
        <v>295.32</v>
      </c>
      <c r="X198" s="51">
        <v>194</v>
      </c>
      <c r="Y198" s="237">
        <v>203.34</v>
      </c>
      <c r="Z198" s="237">
        <v>208.32</v>
      </c>
      <c r="AA198" s="2">
        <v>213.31</v>
      </c>
      <c r="AB198" s="59">
        <v>218.29</v>
      </c>
      <c r="AC198" s="3">
        <v>223.28</v>
      </c>
      <c r="AD198" s="297">
        <v>248.45</v>
      </c>
      <c r="AE198" s="298">
        <v>253.44</v>
      </c>
      <c r="AF198" s="298">
        <v>258.42</v>
      </c>
      <c r="AG198" s="310">
        <v>263.41000000000003</v>
      </c>
      <c r="AH198" s="299">
        <v>268.39</v>
      </c>
      <c r="AI198" s="293">
        <v>273.38</v>
      </c>
      <c r="AJ198" s="293">
        <v>278.36</v>
      </c>
      <c r="AK198" s="293">
        <v>283.35000000000002</v>
      </c>
      <c r="AL198" s="293">
        <v>288.33999999999997</v>
      </c>
      <c r="AM198" s="293">
        <v>293.32</v>
      </c>
      <c r="AN198" s="293">
        <v>298.31</v>
      </c>
      <c r="AO198" s="237">
        <v>283.11</v>
      </c>
      <c r="AP198" s="237">
        <v>288.08999999999997</v>
      </c>
      <c r="AQ198" s="237">
        <v>293.08</v>
      </c>
      <c r="AR198" s="237">
        <v>298.07</v>
      </c>
      <c r="AS198" s="237">
        <v>208.32</v>
      </c>
      <c r="AT198" s="237">
        <v>203.34</v>
      </c>
      <c r="AU198" s="237">
        <v>198.35</v>
      </c>
      <c r="AV198" s="237">
        <v>193.36</v>
      </c>
      <c r="AW198" s="237">
        <v>188.38</v>
      </c>
    </row>
    <row r="199" spans="1:49">
      <c r="A199" s="2">
        <v>332.43</v>
      </c>
      <c r="B199" s="59">
        <v>339.53</v>
      </c>
      <c r="C199" s="3">
        <v>346.63</v>
      </c>
      <c r="D199" s="297">
        <v>383.7</v>
      </c>
      <c r="E199" s="298">
        <v>390.8</v>
      </c>
      <c r="F199" s="298">
        <v>397.89</v>
      </c>
      <c r="G199" s="298">
        <v>404.99</v>
      </c>
      <c r="H199" s="299">
        <v>412.09</v>
      </c>
      <c r="I199" s="293">
        <v>419.19</v>
      </c>
      <c r="J199" s="293">
        <v>426.29</v>
      </c>
      <c r="K199" s="293">
        <v>433.38</v>
      </c>
      <c r="L199" s="293">
        <v>440.48</v>
      </c>
      <c r="M199" s="293">
        <v>447.58</v>
      </c>
      <c r="N199" s="293">
        <v>454.68</v>
      </c>
      <c r="O199" s="237">
        <v>431.81</v>
      </c>
      <c r="P199" s="237">
        <v>438.9</v>
      </c>
      <c r="Q199" s="237">
        <v>446</v>
      </c>
      <c r="R199" s="237">
        <v>453.1</v>
      </c>
      <c r="S199" s="237">
        <v>325.33999999999997</v>
      </c>
      <c r="T199" s="237">
        <v>318.24</v>
      </c>
      <c r="U199" s="237">
        <v>311.14</v>
      </c>
      <c r="V199" s="237">
        <v>304.04000000000002</v>
      </c>
      <c r="W199" s="237">
        <v>296.94</v>
      </c>
      <c r="X199" s="51">
        <v>195</v>
      </c>
      <c r="Y199" s="237">
        <v>204.31</v>
      </c>
      <c r="Z199" s="237">
        <v>209.32</v>
      </c>
      <c r="AA199" s="2">
        <v>214.33</v>
      </c>
      <c r="AB199" s="59">
        <v>219.35</v>
      </c>
      <c r="AC199" s="3">
        <v>224.36</v>
      </c>
      <c r="AD199" s="297">
        <v>249.63</v>
      </c>
      <c r="AE199" s="298">
        <v>254.64</v>
      </c>
      <c r="AF199" s="298">
        <v>259.64999999999998</v>
      </c>
      <c r="AG199" s="310">
        <v>264.66000000000003</v>
      </c>
      <c r="AH199" s="299">
        <v>269.67</v>
      </c>
      <c r="AI199" s="293">
        <v>274.69</v>
      </c>
      <c r="AJ199" s="293">
        <v>279.7</v>
      </c>
      <c r="AK199" s="293">
        <v>284.70999999999998</v>
      </c>
      <c r="AL199" s="293">
        <v>289.72000000000003</v>
      </c>
      <c r="AM199" s="293">
        <v>294.73</v>
      </c>
      <c r="AN199" s="293">
        <v>299.74</v>
      </c>
      <c r="AO199" s="237">
        <v>284.5</v>
      </c>
      <c r="AP199" s="237">
        <v>289.51</v>
      </c>
      <c r="AQ199" s="237">
        <v>294.52</v>
      </c>
      <c r="AR199" s="237">
        <v>299.52999999999997</v>
      </c>
      <c r="AS199" s="237">
        <v>209.32</v>
      </c>
      <c r="AT199" s="237">
        <v>204.31</v>
      </c>
      <c r="AU199" s="237">
        <v>199.3</v>
      </c>
      <c r="AV199" s="237">
        <v>194.29</v>
      </c>
      <c r="AW199" s="237">
        <v>189.28</v>
      </c>
    </row>
    <row r="200" spans="1:49">
      <c r="A200" s="2">
        <v>333.88</v>
      </c>
      <c r="B200" s="59">
        <v>341.01</v>
      </c>
      <c r="C200" s="3">
        <v>348.15</v>
      </c>
      <c r="D200" s="297">
        <v>385.33</v>
      </c>
      <c r="E200" s="298">
        <v>392.46</v>
      </c>
      <c r="F200" s="298">
        <v>399.6</v>
      </c>
      <c r="G200" s="298">
        <v>406.73</v>
      </c>
      <c r="H200" s="299">
        <v>413.86</v>
      </c>
      <c r="I200" s="293">
        <v>421</v>
      </c>
      <c r="J200" s="293">
        <v>428.13</v>
      </c>
      <c r="K200" s="293">
        <v>435.27</v>
      </c>
      <c r="L200" s="293">
        <v>442.4</v>
      </c>
      <c r="M200" s="293">
        <v>449.54</v>
      </c>
      <c r="N200" s="293">
        <v>456.67</v>
      </c>
      <c r="O200" s="237">
        <v>433.76</v>
      </c>
      <c r="P200" s="237">
        <v>440.89</v>
      </c>
      <c r="Q200" s="237">
        <v>448.03</v>
      </c>
      <c r="R200" s="237">
        <v>455.16</v>
      </c>
      <c r="S200" s="237">
        <v>326.74</v>
      </c>
      <c r="T200" s="237">
        <v>319.61</v>
      </c>
      <c r="U200" s="237">
        <v>312.47000000000003</v>
      </c>
      <c r="V200" s="237">
        <v>305.33999999999997</v>
      </c>
      <c r="W200" s="237">
        <v>298.20999999999998</v>
      </c>
      <c r="X200" s="51">
        <v>196</v>
      </c>
      <c r="Y200" s="237">
        <v>205.39</v>
      </c>
      <c r="Z200" s="237">
        <v>210.43</v>
      </c>
      <c r="AA200" s="2">
        <v>215.47</v>
      </c>
      <c r="AB200" s="59">
        <v>220.5</v>
      </c>
      <c r="AC200" s="3">
        <v>225.54</v>
      </c>
      <c r="AD200" s="297">
        <v>250.95</v>
      </c>
      <c r="AE200" s="298">
        <v>255.99</v>
      </c>
      <c r="AF200" s="298">
        <v>261.02999999999997</v>
      </c>
      <c r="AG200" s="310">
        <v>266.06</v>
      </c>
      <c r="AH200" s="299">
        <v>271.10000000000002</v>
      </c>
      <c r="AI200" s="293">
        <v>276.14</v>
      </c>
      <c r="AJ200" s="293">
        <v>281.18</v>
      </c>
      <c r="AK200" s="293">
        <v>286.20999999999998</v>
      </c>
      <c r="AL200" s="293">
        <v>291.25</v>
      </c>
      <c r="AM200" s="293">
        <v>296.29000000000002</v>
      </c>
      <c r="AN200" s="293">
        <v>301.32</v>
      </c>
      <c r="AO200" s="237">
        <v>285.99</v>
      </c>
      <c r="AP200" s="237">
        <v>291.02</v>
      </c>
      <c r="AQ200" s="237">
        <v>296.06</v>
      </c>
      <c r="AR200" s="237">
        <v>301.10000000000002</v>
      </c>
      <c r="AS200" s="237">
        <v>210.43</v>
      </c>
      <c r="AT200" s="237">
        <v>205.39</v>
      </c>
      <c r="AU200" s="237">
        <v>200.35</v>
      </c>
      <c r="AV200" s="237">
        <v>195.32</v>
      </c>
      <c r="AW200" s="237">
        <v>190.28</v>
      </c>
    </row>
    <row r="201" spans="1:49">
      <c r="A201" s="2">
        <v>335.69</v>
      </c>
      <c r="B201" s="59">
        <v>342.86</v>
      </c>
      <c r="C201" s="3">
        <v>350.03</v>
      </c>
      <c r="D201" s="297">
        <v>387.44</v>
      </c>
      <c r="E201" s="298">
        <v>394.61</v>
      </c>
      <c r="F201" s="298">
        <v>401.78</v>
      </c>
      <c r="G201" s="298">
        <v>408.95</v>
      </c>
      <c r="H201" s="299">
        <v>416.12</v>
      </c>
      <c r="I201" s="293">
        <v>423.29</v>
      </c>
      <c r="J201" s="293">
        <v>430.46</v>
      </c>
      <c r="K201" s="293">
        <v>437.63</v>
      </c>
      <c r="L201" s="293">
        <v>444.8</v>
      </c>
      <c r="M201" s="293">
        <v>451.97</v>
      </c>
      <c r="N201" s="293">
        <v>459.15</v>
      </c>
      <c r="O201" s="237">
        <v>436.08</v>
      </c>
      <c r="P201" s="237">
        <v>443.25</v>
      </c>
      <c r="Q201" s="237">
        <v>450.43</v>
      </c>
      <c r="R201" s="237">
        <v>457.6</v>
      </c>
      <c r="S201" s="237">
        <v>328.52</v>
      </c>
      <c r="T201" s="237">
        <v>321.35000000000002</v>
      </c>
      <c r="U201" s="237">
        <v>314.18</v>
      </c>
      <c r="V201" s="237">
        <v>307.01</v>
      </c>
      <c r="W201" s="237">
        <v>299.83999999999997</v>
      </c>
      <c r="X201" s="51">
        <v>197</v>
      </c>
      <c r="Y201" s="237">
        <v>206.47</v>
      </c>
      <c r="Z201" s="237">
        <v>211.53</v>
      </c>
      <c r="AA201" s="2">
        <v>216.6</v>
      </c>
      <c r="AB201" s="59">
        <v>221.66</v>
      </c>
      <c r="AC201" s="3">
        <v>226.72</v>
      </c>
      <c r="AD201" s="297">
        <v>252.28</v>
      </c>
      <c r="AE201" s="298">
        <v>257.33999999999997</v>
      </c>
      <c r="AF201" s="298">
        <v>262.39999999999998</v>
      </c>
      <c r="AG201" s="310">
        <v>267.47000000000003</v>
      </c>
      <c r="AH201" s="299">
        <v>272.52999999999997</v>
      </c>
      <c r="AI201" s="293">
        <v>277.58999999999997</v>
      </c>
      <c r="AJ201" s="293">
        <v>282.66000000000003</v>
      </c>
      <c r="AK201" s="293">
        <v>287.72000000000003</v>
      </c>
      <c r="AL201" s="293">
        <v>292.77999999999997</v>
      </c>
      <c r="AM201" s="293">
        <v>297.83999999999997</v>
      </c>
      <c r="AN201" s="293">
        <v>302.91000000000003</v>
      </c>
      <c r="AO201" s="237">
        <v>287.48</v>
      </c>
      <c r="AP201" s="237">
        <v>292.54000000000002</v>
      </c>
      <c r="AQ201" s="237">
        <v>297.60000000000002</v>
      </c>
      <c r="AR201" s="237">
        <v>302.67</v>
      </c>
      <c r="AS201" s="237">
        <v>211.53</v>
      </c>
      <c r="AT201" s="237">
        <v>206.47</v>
      </c>
      <c r="AU201" s="237">
        <v>201.41</v>
      </c>
      <c r="AV201" s="237">
        <v>196.35</v>
      </c>
      <c r="AW201" s="237">
        <v>191.28</v>
      </c>
    </row>
    <row r="202" spans="1:49">
      <c r="A202" s="130">
        <v>337.51</v>
      </c>
      <c r="B202" s="124">
        <v>344.72</v>
      </c>
      <c r="C202" s="125">
        <v>351.93</v>
      </c>
      <c r="D202" s="284">
        <v>389.56</v>
      </c>
      <c r="E202" s="285">
        <v>396.76</v>
      </c>
      <c r="F202" s="285">
        <v>403.97</v>
      </c>
      <c r="G202" s="285">
        <v>411.18</v>
      </c>
      <c r="H202" s="286">
        <v>418.38</v>
      </c>
      <c r="I202" s="293">
        <v>425.59</v>
      </c>
      <c r="J202" s="293">
        <v>432.8</v>
      </c>
      <c r="K202" s="293">
        <v>440.01</v>
      </c>
      <c r="L202" s="293">
        <v>447.21</v>
      </c>
      <c r="M202" s="293">
        <v>454.42</v>
      </c>
      <c r="N202" s="293">
        <v>461.63</v>
      </c>
      <c r="O202" s="237">
        <v>438.42</v>
      </c>
      <c r="P202" s="237">
        <v>445.62</v>
      </c>
      <c r="Q202" s="237">
        <v>452.83</v>
      </c>
      <c r="R202" s="237">
        <v>460.04</v>
      </c>
      <c r="S202" s="237">
        <v>330.31</v>
      </c>
      <c r="T202" s="237">
        <v>323.10000000000002</v>
      </c>
      <c r="U202" s="237">
        <v>315.89</v>
      </c>
      <c r="V202" s="237">
        <v>308.69</v>
      </c>
      <c r="W202" s="237">
        <v>301.48</v>
      </c>
      <c r="X202" s="51">
        <v>198</v>
      </c>
      <c r="Y202" s="237">
        <v>207.45</v>
      </c>
      <c r="Z202" s="237">
        <v>212.54</v>
      </c>
      <c r="AA202" s="130">
        <v>217.62</v>
      </c>
      <c r="AB202" s="124">
        <v>222.71</v>
      </c>
      <c r="AC202" s="125">
        <v>227.8</v>
      </c>
      <c r="AD202" s="284">
        <v>253.46</v>
      </c>
      <c r="AE202" s="285">
        <v>258.55</v>
      </c>
      <c r="AF202" s="285">
        <v>263.63</v>
      </c>
      <c r="AG202" s="310">
        <v>268.72000000000003</v>
      </c>
      <c r="AH202" s="286">
        <v>273.81</v>
      </c>
      <c r="AI202" s="293">
        <v>278.89999999999998</v>
      </c>
      <c r="AJ202" s="293">
        <v>283.99</v>
      </c>
      <c r="AK202" s="293">
        <v>289.08</v>
      </c>
      <c r="AL202" s="293">
        <v>297.17</v>
      </c>
      <c r="AM202" s="293">
        <v>299.25</v>
      </c>
      <c r="AN202" s="293">
        <v>304.33999999999997</v>
      </c>
      <c r="AO202" s="237">
        <v>288.86</v>
      </c>
      <c r="AP202" s="237">
        <v>293.95</v>
      </c>
      <c r="AQ202" s="237">
        <v>299.04000000000002</v>
      </c>
      <c r="AR202" s="237">
        <v>304.13</v>
      </c>
      <c r="AS202" s="237">
        <v>212.54</v>
      </c>
      <c r="AT202" s="237">
        <v>207.45</v>
      </c>
      <c r="AU202" s="237">
        <v>202.36</v>
      </c>
      <c r="AV202" s="237">
        <v>197.27</v>
      </c>
      <c r="AW202" s="237">
        <v>192.18</v>
      </c>
    </row>
    <row r="203" spans="1:49">
      <c r="A203" s="131">
        <v>338.96</v>
      </c>
      <c r="B203" s="122">
        <v>346.2</v>
      </c>
      <c r="C203" s="123">
        <v>353.44</v>
      </c>
      <c r="D203" s="288">
        <v>391.19</v>
      </c>
      <c r="E203" s="289">
        <v>398.43</v>
      </c>
      <c r="F203" s="289">
        <v>405.67</v>
      </c>
      <c r="G203" s="289">
        <v>412.92</v>
      </c>
      <c r="H203" s="290">
        <v>420.16</v>
      </c>
      <c r="I203" s="293">
        <v>427.4</v>
      </c>
      <c r="J203" s="293">
        <v>434.65</v>
      </c>
      <c r="K203" s="293">
        <v>441.89</v>
      </c>
      <c r="L203" s="293">
        <v>449.13</v>
      </c>
      <c r="M203" s="293">
        <v>456.38</v>
      </c>
      <c r="N203" s="293">
        <v>463.62</v>
      </c>
      <c r="O203" s="237">
        <v>440.37</v>
      </c>
      <c r="P203" s="237">
        <v>447.61</v>
      </c>
      <c r="Q203" s="237">
        <v>454.85</v>
      </c>
      <c r="R203" s="237">
        <v>462.1</v>
      </c>
      <c r="S203" s="237">
        <v>331.71</v>
      </c>
      <c r="T203" s="237">
        <v>324.47000000000003</v>
      </c>
      <c r="U203" s="237">
        <v>317.23</v>
      </c>
      <c r="V203" s="237">
        <v>309.38</v>
      </c>
      <c r="W203" s="237">
        <v>302.74</v>
      </c>
      <c r="X203" s="51">
        <v>199</v>
      </c>
      <c r="Y203" s="237">
        <v>208.53</v>
      </c>
      <c r="Z203" s="237">
        <v>213.64</v>
      </c>
      <c r="AA203" s="131">
        <v>218.76</v>
      </c>
      <c r="AB203" s="122">
        <v>223.87</v>
      </c>
      <c r="AC203" s="123">
        <v>228.99</v>
      </c>
      <c r="AD203" s="288">
        <v>254.79</v>
      </c>
      <c r="AE203" s="289">
        <v>259.89999999999998</v>
      </c>
      <c r="AF203" s="289">
        <v>265.01</v>
      </c>
      <c r="AG203" s="310">
        <v>270.13</v>
      </c>
      <c r="AH203" s="290">
        <v>275.24</v>
      </c>
      <c r="AI203" s="293">
        <v>280.36</v>
      </c>
      <c r="AJ203" s="293">
        <v>285.47000000000003</v>
      </c>
      <c r="AK203" s="293">
        <v>290.58999999999997</v>
      </c>
      <c r="AL203" s="293">
        <v>295.7</v>
      </c>
      <c r="AM203" s="293">
        <v>300.81</v>
      </c>
      <c r="AN203" s="293">
        <v>305.93</v>
      </c>
      <c r="AO203" s="237">
        <v>290.36</v>
      </c>
      <c r="AP203" s="237">
        <v>295.47000000000003</v>
      </c>
      <c r="AQ203" s="237">
        <v>300.58999999999997</v>
      </c>
      <c r="AR203" s="237">
        <v>305.7</v>
      </c>
      <c r="AS203" s="237">
        <v>213.64</v>
      </c>
      <c r="AT203" s="237">
        <v>208.53</v>
      </c>
      <c r="AU203" s="237">
        <v>203.41</v>
      </c>
      <c r="AV203" s="237">
        <v>198.3</v>
      </c>
      <c r="AW203" s="237">
        <v>193.19</v>
      </c>
    </row>
    <row r="204" spans="1:49" ht="21.75" thickBot="1">
      <c r="A204" s="154">
        <v>340.78</v>
      </c>
      <c r="B204" s="126">
        <v>348.06</v>
      </c>
      <c r="C204" s="127">
        <v>355.34</v>
      </c>
      <c r="D204" s="300">
        <v>393.31</v>
      </c>
      <c r="E204" s="301">
        <v>400.59</v>
      </c>
      <c r="F204" s="301">
        <v>407.87</v>
      </c>
      <c r="G204" s="301">
        <v>415.15</v>
      </c>
      <c r="H204" s="302">
        <v>422.43</v>
      </c>
      <c r="I204" s="303">
        <v>429.71</v>
      </c>
      <c r="J204" s="303">
        <v>436.99</v>
      </c>
      <c r="K204" s="303">
        <v>444.27</v>
      </c>
      <c r="L204" s="303">
        <v>451.55</v>
      </c>
      <c r="M204" s="303">
        <v>458.83</v>
      </c>
      <c r="N204" s="303">
        <v>466.11</v>
      </c>
      <c r="O204" s="238">
        <v>442.7</v>
      </c>
      <c r="P204" s="238">
        <v>449.98</v>
      </c>
      <c r="Q204" s="238">
        <v>457.26</v>
      </c>
      <c r="R204" s="238">
        <v>464.54</v>
      </c>
      <c r="S204" s="237">
        <v>333.5</v>
      </c>
      <c r="T204" s="237">
        <v>326.22000000000003</v>
      </c>
      <c r="U204" s="237">
        <v>318.94</v>
      </c>
      <c r="V204" s="237">
        <v>311.66000000000003</v>
      </c>
      <c r="W204" s="237">
        <v>304.38</v>
      </c>
      <c r="X204" s="52">
        <v>200</v>
      </c>
      <c r="Y204" s="237">
        <v>209.61</v>
      </c>
      <c r="Z204" s="237">
        <v>214.75</v>
      </c>
      <c r="AA204" s="154">
        <v>219.89</v>
      </c>
      <c r="AB204" s="126">
        <v>225.03</v>
      </c>
      <c r="AC204" s="127">
        <v>230.17</v>
      </c>
      <c r="AD204" s="300">
        <v>256.12</v>
      </c>
      <c r="AE204" s="301">
        <v>261.26</v>
      </c>
      <c r="AF204" s="301">
        <v>266.39999999999998</v>
      </c>
      <c r="AG204" s="311">
        <v>271.54000000000002</v>
      </c>
      <c r="AH204" s="302">
        <v>276.68</v>
      </c>
      <c r="AI204" s="303">
        <v>281.82</v>
      </c>
      <c r="AJ204" s="303">
        <v>286.95999999999998</v>
      </c>
      <c r="AK204" s="303">
        <v>292.10000000000002</v>
      </c>
      <c r="AL204" s="303">
        <v>297.24</v>
      </c>
      <c r="AM204" s="303">
        <v>302.38</v>
      </c>
      <c r="AN204" s="303">
        <v>307.52</v>
      </c>
      <c r="AO204" s="238">
        <v>291.85000000000002</v>
      </c>
      <c r="AP204" s="238">
        <v>296.99</v>
      </c>
      <c r="AQ204" s="238">
        <v>302.13</v>
      </c>
      <c r="AR204" s="238">
        <v>307.27</v>
      </c>
      <c r="AS204" s="237">
        <v>214.75</v>
      </c>
      <c r="AT204" s="237">
        <v>209.61</v>
      </c>
      <c r="AU204" s="237">
        <v>204.47</v>
      </c>
      <c r="AV204" s="237">
        <v>199.33</v>
      </c>
      <c r="AW204" s="237">
        <v>194.19</v>
      </c>
    </row>
    <row r="205" spans="1:49" ht="21.75" thickBot="1">
      <c r="A205" s="137">
        <v>1.7</v>
      </c>
      <c r="B205" s="152">
        <v>1.74</v>
      </c>
      <c r="C205" s="129">
        <v>1.78</v>
      </c>
      <c r="D205" s="280">
        <v>1.97</v>
      </c>
      <c r="E205" s="304">
        <v>2</v>
      </c>
      <c r="F205" s="304">
        <v>2.04</v>
      </c>
      <c r="G205" s="304">
        <v>2.08</v>
      </c>
      <c r="H205" s="305">
        <v>2.11</v>
      </c>
      <c r="I205" s="304">
        <v>2.15</v>
      </c>
      <c r="J205" s="304">
        <v>2.19</v>
      </c>
      <c r="K205" s="304">
        <v>2.2200000000000002</v>
      </c>
      <c r="L205" s="304">
        <v>2.2599999999999998</v>
      </c>
      <c r="M205" s="304">
        <v>2.29</v>
      </c>
      <c r="N205" s="304">
        <v>2.33</v>
      </c>
      <c r="O205" s="152">
        <v>2.21</v>
      </c>
      <c r="P205" s="152">
        <v>2.25</v>
      </c>
      <c r="Q205" s="152">
        <v>2.29</v>
      </c>
      <c r="R205" s="153">
        <v>2.3199999999999998</v>
      </c>
      <c r="S205" s="246">
        <v>1.67</v>
      </c>
      <c r="T205" s="240">
        <v>1.63</v>
      </c>
      <c r="U205" s="240">
        <v>1.6</v>
      </c>
      <c r="V205" s="240">
        <v>1.56</v>
      </c>
      <c r="W205" s="246">
        <v>1.52</v>
      </c>
      <c r="X205" s="246"/>
      <c r="Y205" s="247">
        <v>1.05</v>
      </c>
      <c r="Z205" s="246">
        <v>1.07</v>
      </c>
      <c r="AA205" s="137">
        <v>1.1000000000000001</v>
      </c>
      <c r="AB205" s="129">
        <v>1.1200000000000001</v>
      </c>
      <c r="AC205" s="129">
        <v>1.1499999999999999</v>
      </c>
      <c r="AD205" s="280">
        <v>1.28</v>
      </c>
      <c r="AE205" s="280">
        <v>1.31</v>
      </c>
      <c r="AF205" s="304">
        <v>1.33</v>
      </c>
      <c r="AG205" s="304">
        <v>1.36</v>
      </c>
      <c r="AH205" s="305">
        <v>1.38</v>
      </c>
      <c r="AI205" s="312">
        <v>1.41</v>
      </c>
      <c r="AJ205" s="313">
        <v>1.43</v>
      </c>
      <c r="AK205" s="313">
        <v>1.46</v>
      </c>
      <c r="AL205" s="313">
        <v>1.49</v>
      </c>
      <c r="AM205" s="313">
        <v>1.51</v>
      </c>
      <c r="AN205" s="313">
        <v>1.54</v>
      </c>
      <c r="AO205" s="239">
        <v>1.46</v>
      </c>
      <c r="AP205" s="239">
        <v>1.48</v>
      </c>
      <c r="AQ205" s="239">
        <v>1.51</v>
      </c>
      <c r="AR205" s="240">
        <v>1.54</v>
      </c>
      <c r="AS205" s="246">
        <v>1.07</v>
      </c>
      <c r="AT205" s="247">
        <v>1.05</v>
      </c>
      <c r="AU205" s="247">
        <v>1.02</v>
      </c>
      <c r="AV205" s="247">
        <v>1</v>
      </c>
      <c r="AW205" s="246">
        <v>0.97</v>
      </c>
    </row>
    <row r="206" spans="1:49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S206" s="4"/>
      <c r="AT206" s="4"/>
      <c r="AU206" s="4"/>
      <c r="AV206" s="4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W206"/>
  <sheetViews>
    <sheetView zoomScale="90" zoomScaleNormal="90" workbookViewId="0">
      <selection activeCell="O13" sqref="O13"/>
    </sheetView>
  </sheetViews>
  <sheetFormatPr defaultColWidth="9.140625" defaultRowHeight="21"/>
  <cols>
    <col min="1" max="7" width="9.140625" style="1"/>
    <col min="8" max="8" width="9.42578125" style="1" bestFit="1" customWidth="1"/>
    <col min="9" max="16384" width="9.140625" style="1"/>
  </cols>
  <sheetData>
    <row r="1" spans="1:49" ht="24" thickBot="1">
      <c r="A1" s="151" t="s">
        <v>166</v>
      </c>
      <c r="B1" s="151"/>
      <c r="C1" s="151"/>
      <c r="D1" s="151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W1" s="4"/>
      <c r="X1" s="4"/>
      <c r="Y1" s="4"/>
      <c r="Z1" s="4"/>
      <c r="AA1" s="151" t="s">
        <v>167</v>
      </c>
      <c r="AB1" s="151"/>
      <c r="AC1" s="151"/>
      <c r="AD1" s="151"/>
      <c r="AE1" s="151"/>
      <c r="AF1" s="4"/>
      <c r="AG1" s="4"/>
      <c r="AH1" s="4"/>
      <c r="AS1" s="4"/>
      <c r="AT1" s="4"/>
      <c r="AU1" s="4"/>
      <c r="AV1" s="4"/>
    </row>
    <row r="2" spans="1:49">
      <c r="A2" s="53" t="s">
        <v>69</v>
      </c>
      <c r="B2" s="54" t="s">
        <v>69</v>
      </c>
      <c r="C2" s="54" t="s">
        <v>69</v>
      </c>
      <c r="D2" s="55" t="s">
        <v>69</v>
      </c>
      <c r="E2" s="54" t="s">
        <v>69</v>
      </c>
      <c r="F2" s="254" t="s">
        <v>69</v>
      </c>
      <c r="G2" s="254" t="s">
        <v>69</v>
      </c>
      <c r="H2" s="254" t="s">
        <v>69</v>
      </c>
      <c r="I2" s="254" t="s">
        <v>69</v>
      </c>
      <c r="J2" s="254" t="s">
        <v>69</v>
      </c>
      <c r="K2" s="254" t="s">
        <v>69</v>
      </c>
      <c r="L2" s="254" t="s">
        <v>69</v>
      </c>
      <c r="M2" s="54" t="s">
        <v>69</v>
      </c>
      <c r="N2" s="54" t="s">
        <v>69</v>
      </c>
      <c r="O2" s="54" t="s">
        <v>69</v>
      </c>
      <c r="P2" s="54" t="s">
        <v>69</v>
      </c>
      <c r="Q2" s="54" t="s">
        <v>69</v>
      </c>
      <c r="R2" s="252" t="s">
        <v>69</v>
      </c>
      <c r="S2" s="252" t="s">
        <v>69</v>
      </c>
      <c r="T2" s="252" t="s">
        <v>69</v>
      </c>
      <c r="U2" s="252" t="s">
        <v>69</v>
      </c>
      <c r="V2" s="252" t="s">
        <v>69</v>
      </c>
      <c r="W2" s="252" t="s">
        <v>69</v>
      </c>
      <c r="X2" s="49" t="s">
        <v>5</v>
      </c>
      <c r="Y2" s="252" t="s">
        <v>69</v>
      </c>
      <c r="Z2" s="252" t="s">
        <v>69</v>
      </c>
      <c r="AA2" s="53" t="s">
        <v>69</v>
      </c>
      <c r="AB2" s="54" t="s">
        <v>69</v>
      </c>
      <c r="AC2" s="54" t="s">
        <v>69</v>
      </c>
      <c r="AD2" s="55" t="s">
        <v>69</v>
      </c>
      <c r="AE2" s="55" t="s">
        <v>69</v>
      </c>
      <c r="AF2" s="54" t="s">
        <v>69</v>
      </c>
      <c r="AG2" s="54" t="s">
        <v>69</v>
      </c>
      <c r="AH2" s="54" t="s">
        <v>69</v>
      </c>
      <c r="AI2" s="54" t="s">
        <v>69</v>
      </c>
      <c r="AJ2" s="54" t="s">
        <v>69</v>
      </c>
      <c r="AK2" s="54" t="s">
        <v>69</v>
      </c>
      <c r="AL2" s="54" t="s">
        <v>69</v>
      </c>
      <c r="AM2" s="54" t="s">
        <v>69</v>
      </c>
      <c r="AN2" s="54" t="s">
        <v>69</v>
      </c>
      <c r="AO2" s="54" t="s">
        <v>69</v>
      </c>
      <c r="AP2" s="54" t="s">
        <v>69</v>
      </c>
      <c r="AQ2" s="54" t="s">
        <v>69</v>
      </c>
      <c r="AR2" s="252" t="s">
        <v>69</v>
      </c>
      <c r="AS2" s="252" t="s">
        <v>69</v>
      </c>
      <c r="AT2" s="252" t="s">
        <v>69</v>
      </c>
      <c r="AU2" s="252" t="s">
        <v>69</v>
      </c>
      <c r="AV2" s="252" t="s">
        <v>69</v>
      </c>
      <c r="AW2" s="252" t="s">
        <v>69</v>
      </c>
    </row>
    <row r="3" spans="1:49" ht="21.75" thickBot="1">
      <c r="A3" s="56" t="s">
        <v>9</v>
      </c>
      <c r="B3" s="57" t="s">
        <v>9</v>
      </c>
      <c r="C3" s="57" t="s">
        <v>9</v>
      </c>
      <c r="D3" s="58" t="s">
        <v>9</v>
      </c>
      <c r="E3" s="57" t="s">
        <v>9</v>
      </c>
      <c r="F3" s="255" t="s">
        <v>9</v>
      </c>
      <c r="G3" s="255" t="s">
        <v>9</v>
      </c>
      <c r="H3" s="255" t="s">
        <v>9</v>
      </c>
      <c r="I3" s="255" t="s">
        <v>9</v>
      </c>
      <c r="J3" s="255" t="s">
        <v>9</v>
      </c>
      <c r="K3" s="255" t="s">
        <v>9</v>
      </c>
      <c r="L3" s="255" t="s">
        <v>9</v>
      </c>
      <c r="M3" s="57" t="s">
        <v>9</v>
      </c>
      <c r="N3" s="57" t="s">
        <v>9</v>
      </c>
      <c r="O3" s="57" t="s">
        <v>9</v>
      </c>
      <c r="P3" s="57" t="s">
        <v>9</v>
      </c>
      <c r="Q3" s="57" t="s">
        <v>9</v>
      </c>
      <c r="R3" s="253" t="s">
        <v>9</v>
      </c>
      <c r="S3" s="253" t="s">
        <v>9</v>
      </c>
      <c r="T3" s="253" t="s">
        <v>9</v>
      </c>
      <c r="U3" s="253" t="s">
        <v>9</v>
      </c>
      <c r="V3" s="253" t="s">
        <v>9</v>
      </c>
      <c r="W3" s="253" t="s">
        <v>9</v>
      </c>
      <c r="X3" s="717" t="s">
        <v>46</v>
      </c>
      <c r="Y3" s="253" t="s">
        <v>9</v>
      </c>
      <c r="Z3" s="253" t="s">
        <v>9</v>
      </c>
      <c r="AA3" s="56" t="s">
        <v>9</v>
      </c>
      <c r="AB3" s="57" t="s">
        <v>9</v>
      </c>
      <c r="AC3" s="57" t="s">
        <v>9</v>
      </c>
      <c r="AD3" s="58" t="s">
        <v>9</v>
      </c>
      <c r="AE3" s="58" t="s">
        <v>9</v>
      </c>
      <c r="AF3" s="57" t="s">
        <v>9</v>
      </c>
      <c r="AG3" s="57" t="s">
        <v>9</v>
      </c>
      <c r="AH3" s="57" t="s">
        <v>9</v>
      </c>
      <c r="AI3" s="57" t="s">
        <v>9</v>
      </c>
      <c r="AJ3" s="57" t="s">
        <v>9</v>
      </c>
      <c r="AK3" s="57" t="s">
        <v>9</v>
      </c>
      <c r="AL3" s="57" t="s">
        <v>9</v>
      </c>
      <c r="AM3" s="57" t="s">
        <v>9</v>
      </c>
      <c r="AN3" s="57" t="s">
        <v>9</v>
      </c>
      <c r="AO3" s="57" t="s">
        <v>9</v>
      </c>
      <c r="AP3" s="57" t="s">
        <v>9</v>
      </c>
      <c r="AQ3" s="57" t="s">
        <v>9</v>
      </c>
      <c r="AR3" s="253" t="s">
        <v>9</v>
      </c>
      <c r="AS3" s="253" t="s">
        <v>9</v>
      </c>
      <c r="AT3" s="253" t="s">
        <v>9</v>
      </c>
      <c r="AU3" s="253" t="s">
        <v>9</v>
      </c>
      <c r="AV3" s="253" t="s">
        <v>9</v>
      </c>
      <c r="AW3" s="253" t="s">
        <v>9</v>
      </c>
    </row>
    <row r="4" spans="1:49" ht="21.75" thickBot="1">
      <c r="A4" s="137">
        <v>22.5</v>
      </c>
      <c r="B4" s="128">
        <v>23.5</v>
      </c>
      <c r="C4" s="129">
        <v>24.5</v>
      </c>
      <c r="D4" s="129">
        <v>25.5</v>
      </c>
      <c r="E4" s="129">
        <v>26.5</v>
      </c>
      <c r="F4" s="704">
        <v>27.5</v>
      </c>
      <c r="G4" s="704">
        <v>28.5</v>
      </c>
      <c r="H4" s="705">
        <v>29.5</v>
      </c>
      <c r="I4" s="706">
        <v>30.5</v>
      </c>
      <c r="J4" s="707">
        <v>31.5</v>
      </c>
      <c r="K4" s="704">
        <v>32.5</v>
      </c>
      <c r="L4" s="704">
        <v>33.5</v>
      </c>
      <c r="M4" s="129">
        <v>34.5</v>
      </c>
      <c r="N4" s="129">
        <v>35.5</v>
      </c>
      <c r="O4" s="129">
        <v>36.5</v>
      </c>
      <c r="P4" s="129">
        <v>37.5</v>
      </c>
      <c r="Q4" s="129">
        <v>38.5</v>
      </c>
      <c r="R4" s="129">
        <v>39.5</v>
      </c>
      <c r="S4" s="129">
        <v>21.5</v>
      </c>
      <c r="T4" s="129">
        <v>20.5</v>
      </c>
      <c r="U4" s="129">
        <v>19.5</v>
      </c>
      <c r="V4" s="129">
        <v>18.5</v>
      </c>
      <c r="W4" s="129">
        <v>17.5</v>
      </c>
      <c r="X4" s="120"/>
      <c r="Y4" s="707">
        <v>20.5</v>
      </c>
      <c r="Z4" s="707">
        <v>21.5</v>
      </c>
      <c r="AA4" s="706">
        <v>22.5</v>
      </c>
      <c r="AB4" s="707">
        <v>23.5</v>
      </c>
      <c r="AC4" s="704">
        <v>24.5</v>
      </c>
      <c r="AD4" s="707">
        <v>25.5</v>
      </c>
      <c r="AE4" s="704">
        <v>26.5</v>
      </c>
      <c r="AF4" s="704">
        <v>27.5</v>
      </c>
      <c r="AG4" s="704">
        <v>28.5</v>
      </c>
      <c r="AH4" s="705">
        <v>29.5</v>
      </c>
      <c r="AI4" s="706">
        <v>30.5</v>
      </c>
      <c r="AJ4" s="707">
        <v>31.5</v>
      </c>
      <c r="AK4" s="707">
        <v>32.5</v>
      </c>
      <c r="AL4" s="707">
        <v>33.5</v>
      </c>
      <c r="AM4" s="707">
        <v>34.5</v>
      </c>
      <c r="AN4" s="707">
        <v>35.5</v>
      </c>
      <c r="AO4" s="707">
        <v>36.5</v>
      </c>
      <c r="AP4" s="707">
        <v>37.5</v>
      </c>
      <c r="AQ4" s="707">
        <v>38.5</v>
      </c>
      <c r="AR4" s="707">
        <v>39.5</v>
      </c>
      <c r="AS4" s="707">
        <v>21.5</v>
      </c>
      <c r="AT4" s="707">
        <v>20.5</v>
      </c>
      <c r="AU4" s="707">
        <v>19.5</v>
      </c>
      <c r="AV4" s="707">
        <v>18.5</v>
      </c>
      <c r="AW4" s="707">
        <v>17.5</v>
      </c>
    </row>
    <row r="5" spans="1:49" ht="22.5">
      <c r="A5" s="130">
        <v>4.99</v>
      </c>
      <c r="B5" s="124">
        <v>5.03</v>
      </c>
      <c r="C5" s="125">
        <v>5.07</v>
      </c>
      <c r="D5" s="125">
        <v>5.0999999999999996</v>
      </c>
      <c r="E5" s="124">
        <v>7.99</v>
      </c>
      <c r="F5" s="743">
        <v>8.0299999999999994</v>
      </c>
      <c r="G5" s="743">
        <v>8.07</v>
      </c>
      <c r="H5" s="974">
        <v>8.1</v>
      </c>
      <c r="I5" s="234">
        <v>5.29</v>
      </c>
      <c r="J5" s="234">
        <v>5.32</v>
      </c>
      <c r="K5" s="234">
        <v>5.36</v>
      </c>
      <c r="L5" s="234">
        <v>5.4</v>
      </c>
      <c r="M5" s="234">
        <v>5.43</v>
      </c>
      <c r="N5" s="234">
        <v>5.47</v>
      </c>
      <c r="O5" s="234">
        <v>5.5</v>
      </c>
      <c r="P5" s="234">
        <v>5.54</v>
      </c>
      <c r="Q5" s="234">
        <v>5.58</v>
      </c>
      <c r="R5" s="234">
        <v>5.61</v>
      </c>
      <c r="S5" s="758">
        <v>7.81</v>
      </c>
      <c r="T5" s="758">
        <v>7.78</v>
      </c>
      <c r="U5" s="234">
        <v>4.8899999999999997</v>
      </c>
      <c r="V5" s="234">
        <v>4.8499999999999996</v>
      </c>
      <c r="W5" s="234">
        <v>4.8099999999999996</v>
      </c>
      <c r="X5" s="121">
        <v>1</v>
      </c>
      <c r="Y5" s="758">
        <v>4.24</v>
      </c>
      <c r="Z5" s="758">
        <v>4.2699999999999996</v>
      </c>
      <c r="AA5" s="727">
        <v>4.3</v>
      </c>
      <c r="AB5" s="740">
        <f>AA5+0.02</f>
        <v>4.3199999999999994</v>
      </c>
      <c r="AC5" s="740">
        <f>AB5+0.03</f>
        <v>4.3499999999999996</v>
      </c>
      <c r="AD5" s="740">
        <f>AC5+0.02</f>
        <v>4.3699999999999992</v>
      </c>
      <c r="AE5" s="740">
        <f>AD5+0.03</f>
        <v>4.3999999999999995</v>
      </c>
      <c r="AF5" s="740">
        <f>AE5+0.02</f>
        <v>4.419999999999999</v>
      </c>
      <c r="AG5" s="740">
        <f>AF5+0.03</f>
        <v>4.4499999999999993</v>
      </c>
      <c r="AH5" s="740">
        <f>AG5+0.03</f>
        <v>4.4799999999999995</v>
      </c>
      <c r="AI5" s="740">
        <f>AH5+0.02</f>
        <v>4.4999999999999991</v>
      </c>
      <c r="AJ5" s="740">
        <f>AI5+0.03</f>
        <v>4.5299999999999994</v>
      </c>
      <c r="AK5" s="740">
        <f>AJ5+0.02</f>
        <v>4.5499999999999989</v>
      </c>
      <c r="AL5" s="740">
        <f>AK5+0.03</f>
        <v>4.5799999999999992</v>
      </c>
      <c r="AM5" s="740">
        <f>AL5+0.02</f>
        <v>4.5999999999999988</v>
      </c>
      <c r="AN5" s="740">
        <f>AM5+0.03</f>
        <v>4.629999999999999</v>
      </c>
      <c r="AO5" s="740">
        <f>AN5+0.02</f>
        <v>4.6499999999999986</v>
      </c>
      <c r="AP5" s="740">
        <f>AO5+0.03</f>
        <v>4.6799999999999988</v>
      </c>
      <c r="AQ5" s="740">
        <f>AP5+0.03</f>
        <v>4.7099999999999991</v>
      </c>
      <c r="AR5" s="740">
        <f>AQ5+0.02</f>
        <v>4.7299999999999986</v>
      </c>
      <c r="AS5" s="234">
        <v>2.91</v>
      </c>
      <c r="AT5" s="234">
        <v>2.88</v>
      </c>
      <c r="AU5" s="758">
        <v>4.22</v>
      </c>
      <c r="AV5" s="234">
        <v>2.83</v>
      </c>
      <c r="AW5" s="234">
        <v>2.81</v>
      </c>
    </row>
    <row r="6" spans="1:49" ht="22.5">
      <c r="A6" s="131">
        <v>6.31</v>
      </c>
      <c r="B6" s="122">
        <v>6.38</v>
      </c>
      <c r="C6" s="123">
        <v>6.45</v>
      </c>
      <c r="D6" s="123">
        <v>6.53</v>
      </c>
      <c r="E6" s="122">
        <v>6.6</v>
      </c>
      <c r="F6" s="739">
        <v>9.75</v>
      </c>
      <c r="G6" s="739">
        <v>9.83</v>
      </c>
      <c r="H6" s="974">
        <v>9.9</v>
      </c>
      <c r="I6" s="235">
        <v>6.89</v>
      </c>
      <c r="J6" s="235">
        <v>6.96</v>
      </c>
      <c r="K6" s="235">
        <v>7.04</v>
      </c>
      <c r="L6" s="235">
        <v>7.11</v>
      </c>
      <c r="M6" s="235">
        <v>7.18</v>
      </c>
      <c r="N6" s="235">
        <v>7.25</v>
      </c>
      <c r="O6" s="235">
        <v>7.33</v>
      </c>
      <c r="P6" s="235">
        <v>7.4</v>
      </c>
      <c r="Q6" s="235">
        <v>7.47</v>
      </c>
      <c r="R6" s="235">
        <v>7.55</v>
      </c>
      <c r="S6" s="759">
        <v>9.32</v>
      </c>
      <c r="T6" s="759">
        <v>9.24</v>
      </c>
      <c r="U6" s="235">
        <v>6.09</v>
      </c>
      <c r="V6" s="235">
        <v>6.02</v>
      </c>
      <c r="W6" s="235">
        <v>5.94</v>
      </c>
      <c r="X6" s="121">
        <v>2</v>
      </c>
      <c r="Y6" s="759">
        <v>5.37</v>
      </c>
      <c r="Z6" s="759">
        <v>5.42</v>
      </c>
      <c r="AA6" s="728">
        <v>5.48</v>
      </c>
      <c r="AB6" s="739">
        <f>AA6+0.05</f>
        <v>5.53</v>
      </c>
      <c r="AC6" s="739">
        <f t="shared" ref="AC6:AR6" si="0">AB6+0.05</f>
        <v>5.58</v>
      </c>
      <c r="AD6" s="739">
        <f t="shared" si="0"/>
        <v>5.63</v>
      </c>
      <c r="AE6" s="739">
        <f t="shared" si="0"/>
        <v>5.68</v>
      </c>
      <c r="AF6" s="739">
        <f t="shared" si="0"/>
        <v>5.7299999999999995</v>
      </c>
      <c r="AG6" s="739">
        <f t="shared" si="0"/>
        <v>5.7799999999999994</v>
      </c>
      <c r="AH6" s="739">
        <f>AG6+0.06</f>
        <v>5.839999999999999</v>
      </c>
      <c r="AI6" s="739">
        <f t="shared" si="0"/>
        <v>5.8899999999999988</v>
      </c>
      <c r="AJ6" s="739">
        <f t="shared" si="0"/>
        <v>5.9399999999999986</v>
      </c>
      <c r="AK6" s="739">
        <f t="shared" si="0"/>
        <v>5.9899999999999984</v>
      </c>
      <c r="AL6" s="739">
        <f t="shared" si="0"/>
        <v>6.0399999999999983</v>
      </c>
      <c r="AM6" s="739">
        <f t="shared" si="0"/>
        <v>6.0899999999999981</v>
      </c>
      <c r="AN6" s="739">
        <f t="shared" si="0"/>
        <v>6.1399999999999979</v>
      </c>
      <c r="AO6" s="739">
        <f t="shared" si="0"/>
        <v>6.1899999999999977</v>
      </c>
      <c r="AP6" s="739">
        <f>AO6+0.06</f>
        <v>6.2499999999999973</v>
      </c>
      <c r="AQ6" s="739">
        <f t="shared" si="0"/>
        <v>6.2999999999999972</v>
      </c>
      <c r="AR6" s="739">
        <f t="shared" si="0"/>
        <v>6.349999999999997</v>
      </c>
      <c r="AS6" s="235">
        <v>3.87</v>
      </c>
      <c r="AT6" s="235">
        <v>3.82</v>
      </c>
      <c r="AU6" s="759">
        <v>5.32</v>
      </c>
      <c r="AV6" s="235">
        <v>3.72</v>
      </c>
      <c r="AW6" s="235">
        <v>3.67</v>
      </c>
    </row>
    <row r="7" spans="1:49" ht="22.5">
      <c r="A7" s="131">
        <v>7.62</v>
      </c>
      <c r="B7" s="122">
        <v>7.73</v>
      </c>
      <c r="C7" s="123">
        <v>7.84</v>
      </c>
      <c r="D7" s="123">
        <v>7.95</v>
      </c>
      <c r="E7" s="122">
        <v>8.06</v>
      </c>
      <c r="F7" s="739">
        <v>11.48</v>
      </c>
      <c r="G7" s="739">
        <v>11.59</v>
      </c>
      <c r="H7" s="974">
        <v>11.7</v>
      </c>
      <c r="I7" s="236">
        <v>8.5</v>
      </c>
      <c r="J7" s="236">
        <v>8.61</v>
      </c>
      <c r="K7" s="236">
        <v>8.7100000000000009</v>
      </c>
      <c r="L7" s="236">
        <v>8.82</v>
      </c>
      <c r="M7" s="236">
        <v>8.93</v>
      </c>
      <c r="N7" s="236">
        <v>9.0399999999999991</v>
      </c>
      <c r="O7" s="236">
        <v>9.15</v>
      </c>
      <c r="P7" s="236">
        <v>9.26</v>
      </c>
      <c r="Q7" s="236">
        <v>9.3699999999999992</v>
      </c>
      <c r="R7" s="236">
        <v>9.48</v>
      </c>
      <c r="S7" s="760">
        <v>10.82</v>
      </c>
      <c r="T7" s="760">
        <v>10.71</v>
      </c>
      <c r="U7" s="236">
        <v>7.29</v>
      </c>
      <c r="V7" s="236">
        <v>7.19</v>
      </c>
      <c r="W7" s="236">
        <v>7.08</v>
      </c>
      <c r="X7" s="132">
        <v>3</v>
      </c>
      <c r="Y7" s="760">
        <v>6.5</v>
      </c>
      <c r="Z7" s="760">
        <v>6.58</v>
      </c>
      <c r="AA7" s="728">
        <v>6.65</v>
      </c>
      <c r="AB7" s="739">
        <f>AA7+0.08</f>
        <v>6.73</v>
      </c>
      <c r="AC7" s="739">
        <f>AB7+0.08</f>
        <v>6.8100000000000005</v>
      </c>
      <c r="AD7" s="739">
        <f>AC7+0.08</f>
        <v>6.8900000000000006</v>
      </c>
      <c r="AE7" s="739">
        <f>AD7+0.07</f>
        <v>6.9600000000000009</v>
      </c>
      <c r="AF7" s="739">
        <f>AE7+0.08</f>
        <v>7.0400000000000009</v>
      </c>
      <c r="AG7" s="739">
        <f>AF7+0.08</f>
        <v>7.120000000000001</v>
      </c>
      <c r="AH7" s="739">
        <f>AG7+0.07</f>
        <v>7.1900000000000013</v>
      </c>
      <c r="AI7" s="739">
        <f t="shared" ref="AI7:AR7" si="1">AH7+0.08</f>
        <v>7.2700000000000014</v>
      </c>
      <c r="AJ7" s="739">
        <f t="shared" si="1"/>
        <v>7.3500000000000014</v>
      </c>
      <c r="AK7" s="739">
        <f t="shared" si="1"/>
        <v>7.4300000000000015</v>
      </c>
      <c r="AL7" s="739">
        <f>AK7+0.07</f>
        <v>7.5000000000000018</v>
      </c>
      <c r="AM7" s="739">
        <f t="shared" si="1"/>
        <v>7.5800000000000018</v>
      </c>
      <c r="AN7" s="739">
        <f t="shared" si="1"/>
        <v>7.6600000000000019</v>
      </c>
      <c r="AO7" s="739">
        <f>AN7+0.07</f>
        <v>7.7300000000000022</v>
      </c>
      <c r="AP7" s="739">
        <f t="shared" si="1"/>
        <v>7.8100000000000023</v>
      </c>
      <c r="AQ7" s="739">
        <f t="shared" si="1"/>
        <v>7.8900000000000023</v>
      </c>
      <c r="AR7" s="739">
        <f t="shared" si="1"/>
        <v>7.9700000000000024</v>
      </c>
      <c r="AS7" s="236">
        <v>4.84</v>
      </c>
      <c r="AT7" s="236">
        <v>4.76</v>
      </c>
      <c r="AU7" s="760">
        <v>6.42</v>
      </c>
      <c r="AV7" s="236">
        <v>4.6100000000000003</v>
      </c>
      <c r="AW7" s="236">
        <v>4.53</v>
      </c>
    </row>
    <row r="8" spans="1:49" ht="22.5">
      <c r="A8" s="131">
        <v>8.94</v>
      </c>
      <c r="B8" s="122">
        <v>9.08</v>
      </c>
      <c r="C8" s="123">
        <v>9.23</v>
      </c>
      <c r="D8" s="123">
        <v>9.3699999999999992</v>
      </c>
      <c r="E8" s="122">
        <v>9.52</v>
      </c>
      <c r="F8" s="739">
        <v>13.2</v>
      </c>
      <c r="G8" s="739">
        <v>13.35</v>
      </c>
      <c r="H8" s="974">
        <v>13.49</v>
      </c>
      <c r="I8" s="237">
        <v>10.1</v>
      </c>
      <c r="J8" s="237">
        <v>10.25</v>
      </c>
      <c r="K8" s="237">
        <v>10.39</v>
      </c>
      <c r="L8" s="237">
        <v>10.54</v>
      </c>
      <c r="M8" s="237">
        <v>10.68</v>
      </c>
      <c r="N8" s="237">
        <v>10.83</v>
      </c>
      <c r="O8" s="237">
        <v>10.97</v>
      </c>
      <c r="P8" s="237">
        <v>11.12</v>
      </c>
      <c r="Q8" s="237">
        <v>11.27</v>
      </c>
      <c r="R8" s="237">
        <v>11.41</v>
      </c>
      <c r="S8" s="761">
        <v>12.33</v>
      </c>
      <c r="T8" s="761">
        <v>12.18</v>
      </c>
      <c r="U8" s="237">
        <v>8.5</v>
      </c>
      <c r="V8" s="237">
        <v>8.35</v>
      </c>
      <c r="W8" s="237">
        <v>8.2100000000000009</v>
      </c>
      <c r="X8" s="51">
        <v>4</v>
      </c>
      <c r="Y8" s="761">
        <v>7.63</v>
      </c>
      <c r="Z8" s="761">
        <v>7.73</v>
      </c>
      <c r="AA8" s="728">
        <v>7.83</v>
      </c>
      <c r="AB8" s="739">
        <f>AA8+0.11</f>
        <v>7.94</v>
      </c>
      <c r="AC8" s="739">
        <f>AB8+0.1</f>
        <v>8.0400000000000009</v>
      </c>
      <c r="AD8" s="739">
        <f>AC8+0.1</f>
        <v>8.14</v>
      </c>
      <c r="AE8" s="739">
        <f>AD8+0.1</f>
        <v>8.24</v>
      </c>
      <c r="AF8" s="739">
        <f>AE8+0.11</f>
        <v>8.35</v>
      </c>
      <c r="AG8" s="739">
        <f>AF8+0.1</f>
        <v>8.4499999999999993</v>
      </c>
      <c r="AH8" s="739">
        <f t="shared" ref="AH8:AR8" si="2">AG8+0.1</f>
        <v>8.5499999999999989</v>
      </c>
      <c r="AI8" s="739">
        <f>AH8+0.11</f>
        <v>8.6599999999999984</v>
      </c>
      <c r="AJ8" s="739">
        <f t="shared" si="2"/>
        <v>8.759999999999998</v>
      </c>
      <c r="AK8" s="739">
        <f t="shared" si="2"/>
        <v>8.8599999999999977</v>
      </c>
      <c r="AL8" s="739">
        <f t="shared" si="2"/>
        <v>8.9599999999999973</v>
      </c>
      <c r="AM8" s="739">
        <f>AL8+0.11</f>
        <v>9.0699999999999967</v>
      </c>
      <c r="AN8" s="739">
        <f t="shared" si="2"/>
        <v>9.1699999999999964</v>
      </c>
      <c r="AO8" s="739">
        <f t="shared" si="2"/>
        <v>9.269999999999996</v>
      </c>
      <c r="AP8" s="739">
        <f>AO8+0.11</f>
        <v>9.3799999999999955</v>
      </c>
      <c r="AQ8" s="739">
        <f t="shared" si="2"/>
        <v>9.4799999999999951</v>
      </c>
      <c r="AR8" s="739">
        <f t="shared" si="2"/>
        <v>9.5799999999999947</v>
      </c>
      <c r="AS8" s="237">
        <v>5.8</v>
      </c>
      <c r="AT8" s="237">
        <v>5.7</v>
      </c>
      <c r="AU8" s="761">
        <v>7.53</v>
      </c>
      <c r="AV8" s="237">
        <v>5.5</v>
      </c>
      <c r="AW8" s="236">
        <v>5.39</v>
      </c>
    </row>
    <row r="9" spans="1:49" ht="22.5">
      <c r="A9" s="131">
        <v>10.25</v>
      </c>
      <c r="B9" s="122">
        <v>10.43</v>
      </c>
      <c r="C9" s="123">
        <v>10.61</v>
      </c>
      <c r="D9" s="123">
        <v>10.8</v>
      </c>
      <c r="E9" s="122">
        <v>10.98</v>
      </c>
      <c r="F9" s="739">
        <v>14.93</v>
      </c>
      <c r="G9" s="739">
        <v>15.11</v>
      </c>
      <c r="H9" s="974">
        <v>15.29</v>
      </c>
      <c r="I9" s="237">
        <v>11.71</v>
      </c>
      <c r="J9" s="237">
        <v>11.89</v>
      </c>
      <c r="K9" s="237">
        <v>12.07</v>
      </c>
      <c r="L9" s="237">
        <v>12.25</v>
      </c>
      <c r="M9" s="237">
        <v>12.43</v>
      </c>
      <c r="N9" s="237">
        <v>12.62</v>
      </c>
      <c r="O9" s="237">
        <v>12.8</v>
      </c>
      <c r="P9" s="237">
        <v>12.98</v>
      </c>
      <c r="Q9" s="237">
        <v>13.16</v>
      </c>
      <c r="R9" s="237">
        <v>13.34</v>
      </c>
      <c r="S9" s="761">
        <v>13.84</v>
      </c>
      <c r="T9" s="761">
        <v>13.65</v>
      </c>
      <c r="U9" s="237">
        <v>9.6999999999999993</v>
      </c>
      <c r="V9" s="237">
        <v>9.52</v>
      </c>
      <c r="W9" s="237">
        <v>9.34</v>
      </c>
      <c r="X9" s="51">
        <v>5</v>
      </c>
      <c r="Y9" s="761">
        <v>8.75</v>
      </c>
      <c r="Z9" s="761">
        <v>8.8800000000000008</v>
      </c>
      <c r="AA9" s="728">
        <v>9.01</v>
      </c>
      <c r="AB9" s="739">
        <f>AA9+0.13</f>
        <v>9.14</v>
      </c>
      <c r="AC9" s="739">
        <f t="shared" ref="AC9:AR9" si="3">AB9+0.13</f>
        <v>9.2700000000000014</v>
      </c>
      <c r="AD9" s="739">
        <f t="shared" si="3"/>
        <v>9.4000000000000021</v>
      </c>
      <c r="AE9" s="739">
        <f t="shared" si="3"/>
        <v>9.5300000000000029</v>
      </c>
      <c r="AF9" s="739">
        <f>AE9+0.12</f>
        <v>9.6500000000000021</v>
      </c>
      <c r="AG9" s="739">
        <f>AF9+0.13</f>
        <v>9.7800000000000029</v>
      </c>
      <c r="AH9" s="739">
        <f t="shared" si="3"/>
        <v>9.9100000000000037</v>
      </c>
      <c r="AI9" s="739">
        <f t="shared" si="3"/>
        <v>10.040000000000004</v>
      </c>
      <c r="AJ9" s="739">
        <f t="shared" si="3"/>
        <v>10.170000000000005</v>
      </c>
      <c r="AK9" s="739">
        <f t="shared" si="3"/>
        <v>10.300000000000006</v>
      </c>
      <c r="AL9" s="739">
        <f t="shared" si="3"/>
        <v>10.430000000000007</v>
      </c>
      <c r="AM9" s="739">
        <f>AL9+0.12</f>
        <v>10.550000000000006</v>
      </c>
      <c r="AN9" s="739">
        <f t="shared" si="3"/>
        <v>10.680000000000007</v>
      </c>
      <c r="AO9" s="739">
        <f t="shared" si="3"/>
        <v>10.810000000000008</v>
      </c>
      <c r="AP9" s="739">
        <f t="shared" si="3"/>
        <v>10.940000000000008</v>
      </c>
      <c r="AQ9" s="739">
        <f t="shared" si="3"/>
        <v>11.070000000000009</v>
      </c>
      <c r="AR9" s="739">
        <f t="shared" si="3"/>
        <v>11.20000000000001</v>
      </c>
      <c r="AS9" s="237">
        <v>6.77</v>
      </c>
      <c r="AT9" s="237">
        <v>6.64</v>
      </c>
      <c r="AU9" s="761">
        <v>8.6300000000000008</v>
      </c>
      <c r="AV9" s="237">
        <v>6.38</v>
      </c>
      <c r="AW9" s="236">
        <v>6.26</v>
      </c>
    </row>
    <row r="10" spans="1:49" ht="22.5">
      <c r="A10" s="131">
        <v>11.56</v>
      </c>
      <c r="B10" s="122">
        <v>11.78</v>
      </c>
      <c r="C10" s="123">
        <v>12</v>
      </c>
      <c r="D10" s="123">
        <v>12.22</v>
      </c>
      <c r="E10" s="122">
        <v>12.44</v>
      </c>
      <c r="F10" s="122">
        <v>12.66</v>
      </c>
      <c r="G10" s="122">
        <v>12.87</v>
      </c>
      <c r="H10" s="974">
        <v>17.09</v>
      </c>
      <c r="I10" s="237">
        <v>13.31</v>
      </c>
      <c r="J10" s="237">
        <v>13.53</v>
      </c>
      <c r="K10" s="237">
        <v>13.75</v>
      </c>
      <c r="L10" s="237">
        <v>13.97</v>
      </c>
      <c r="M10" s="237">
        <v>14.18</v>
      </c>
      <c r="N10" s="237">
        <v>14.4</v>
      </c>
      <c r="O10" s="237">
        <v>14.62</v>
      </c>
      <c r="P10" s="237">
        <v>14.84</v>
      </c>
      <c r="Q10" s="237">
        <v>15.06</v>
      </c>
      <c r="R10" s="237">
        <v>15.28</v>
      </c>
      <c r="S10" s="761">
        <v>15.34</v>
      </c>
      <c r="T10" s="761">
        <v>15.12</v>
      </c>
      <c r="U10" s="237">
        <v>10.91</v>
      </c>
      <c r="V10" s="237">
        <v>10.69</v>
      </c>
      <c r="W10" s="237">
        <v>10.47</v>
      </c>
      <c r="X10" s="51">
        <v>6</v>
      </c>
      <c r="Y10" s="761">
        <v>9.8800000000000008</v>
      </c>
      <c r="Z10" s="761">
        <v>10.039999999999999</v>
      </c>
      <c r="AA10" s="728">
        <v>10.19</v>
      </c>
      <c r="AB10" s="739">
        <f>AA10+0.16</f>
        <v>10.35</v>
      </c>
      <c r="AC10" s="739">
        <f>AB10+0.15</f>
        <v>10.5</v>
      </c>
      <c r="AD10" s="739">
        <f>AC10+0.16</f>
        <v>10.66</v>
      </c>
      <c r="AE10" s="739">
        <f>AD10+0.15</f>
        <v>10.81</v>
      </c>
      <c r="AF10" s="739">
        <f>AE10+0.15</f>
        <v>10.96</v>
      </c>
      <c r="AG10" s="739">
        <f>AF10+0.16</f>
        <v>11.120000000000001</v>
      </c>
      <c r="AH10" s="739">
        <f>AG10+0.15</f>
        <v>11.270000000000001</v>
      </c>
      <c r="AI10" s="739">
        <f>AH10+0.16</f>
        <v>11.430000000000001</v>
      </c>
      <c r="AJ10" s="739">
        <f>AI10+0.15</f>
        <v>11.580000000000002</v>
      </c>
      <c r="AK10" s="739">
        <f>AJ10+0.15</f>
        <v>11.730000000000002</v>
      </c>
      <c r="AL10" s="739">
        <f>AK10+0.16</f>
        <v>11.890000000000002</v>
      </c>
      <c r="AM10" s="739">
        <f>AL10+0.15</f>
        <v>12.040000000000003</v>
      </c>
      <c r="AN10" s="739">
        <f>AM10+0.16</f>
        <v>12.200000000000003</v>
      </c>
      <c r="AO10" s="739">
        <f>AN10+0.15</f>
        <v>12.350000000000003</v>
      </c>
      <c r="AP10" s="739">
        <f>AO10+0.16</f>
        <v>12.510000000000003</v>
      </c>
      <c r="AQ10" s="739">
        <f>AP10+0.15</f>
        <v>12.660000000000004</v>
      </c>
      <c r="AR10" s="739">
        <f>AQ10+0.15</f>
        <v>12.810000000000004</v>
      </c>
      <c r="AS10" s="237">
        <v>7.74</v>
      </c>
      <c r="AT10" s="237">
        <v>7.58</v>
      </c>
      <c r="AU10" s="761">
        <v>9.73</v>
      </c>
      <c r="AV10" s="237">
        <v>7.27</v>
      </c>
      <c r="AW10" s="236">
        <v>7.12</v>
      </c>
    </row>
    <row r="11" spans="1:49" ht="22.5">
      <c r="A11" s="131">
        <v>12.88</v>
      </c>
      <c r="B11" s="122">
        <v>13.13</v>
      </c>
      <c r="C11" s="123">
        <v>13.39</v>
      </c>
      <c r="D11" s="123">
        <v>13.64</v>
      </c>
      <c r="E11" s="122">
        <v>13.9</v>
      </c>
      <c r="F11" s="122">
        <v>14.15</v>
      </c>
      <c r="G11" s="122">
        <v>14.41</v>
      </c>
      <c r="H11" s="974">
        <v>18.88</v>
      </c>
      <c r="I11" s="237">
        <v>14.92</v>
      </c>
      <c r="J11" s="237">
        <v>15.17</v>
      </c>
      <c r="K11" s="237">
        <v>15.43</v>
      </c>
      <c r="L11" s="237">
        <v>15.68</v>
      </c>
      <c r="M11" s="237">
        <v>15.93</v>
      </c>
      <c r="N11" s="237">
        <v>16.190000000000001</v>
      </c>
      <c r="O11" s="237">
        <v>16.440000000000001</v>
      </c>
      <c r="P11" s="237">
        <v>16.7</v>
      </c>
      <c r="Q11" s="237">
        <v>16.95</v>
      </c>
      <c r="R11" s="237">
        <v>17.21</v>
      </c>
      <c r="S11" s="761">
        <v>16.850000000000001</v>
      </c>
      <c r="T11" s="761">
        <v>16.59</v>
      </c>
      <c r="U11" s="237">
        <v>12.11</v>
      </c>
      <c r="V11" s="237">
        <v>11.86</v>
      </c>
      <c r="W11" s="237">
        <v>11.6</v>
      </c>
      <c r="X11" s="51">
        <v>7</v>
      </c>
      <c r="Y11" s="761">
        <v>11.01</v>
      </c>
      <c r="Z11" s="761">
        <v>11.19</v>
      </c>
      <c r="AA11" s="728">
        <v>11.37</v>
      </c>
      <c r="AB11" s="739">
        <f>AA11+0.18</f>
        <v>11.549999999999999</v>
      </c>
      <c r="AC11" s="739">
        <f t="shared" ref="AC11:AR11" si="4">AB11+0.18</f>
        <v>11.729999999999999</v>
      </c>
      <c r="AD11" s="739">
        <f t="shared" si="4"/>
        <v>11.909999999999998</v>
      </c>
      <c r="AE11" s="739">
        <f t="shared" si="4"/>
        <v>12.089999999999998</v>
      </c>
      <c r="AF11" s="739">
        <f t="shared" si="4"/>
        <v>12.269999999999998</v>
      </c>
      <c r="AG11" s="739">
        <f t="shared" si="4"/>
        <v>12.449999999999998</v>
      </c>
      <c r="AH11" s="739">
        <f t="shared" si="4"/>
        <v>12.629999999999997</v>
      </c>
      <c r="AI11" s="739">
        <f t="shared" si="4"/>
        <v>12.809999999999997</v>
      </c>
      <c r="AJ11" s="739">
        <f t="shared" si="4"/>
        <v>12.989999999999997</v>
      </c>
      <c r="AK11" s="739">
        <f t="shared" si="4"/>
        <v>13.169999999999996</v>
      </c>
      <c r="AL11" s="739">
        <f t="shared" si="4"/>
        <v>13.349999999999996</v>
      </c>
      <c r="AM11" s="739">
        <f t="shared" si="4"/>
        <v>13.529999999999996</v>
      </c>
      <c r="AN11" s="739">
        <f t="shared" si="4"/>
        <v>13.709999999999996</v>
      </c>
      <c r="AO11" s="739">
        <f t="shared" si="4"/>
        <v>13.889999999999995</v>
      </c>
      <c r="AP11" s="739">
        <f t="shared" si="4"/>
        <v>14.069999999999995</v>
      </c>
      <c r="AQ11" s="739">
        <f t="shared" si="4"/>
        <v>14.249999999999995</v>
      </c>
      <c r="AR11" s="739">
        <f t="shared" si="4"/>
        <v>14.429999999999994</v>
      </c>
      <c r="AS11" s="237">
        <v>8.6999999999999993</v>
      </c>
      <c r="AT11" s="237">
        <v>8.52</v>
      </c>
      <c r="AU11" s="761">
        <v>10.83</v>
      </c>
      <c r="AV11" s="237">
        <v>8.16</v>
      </c>
      <c r="AW11" s="236">
        <v>7.98</v>
      </c>
    </row>
    <row r="12" spans="1:49" ht="22.5">
      <c r="A12" s="131">
        <v>14.33</v>
      </c>
      <c r="B12" s="122">
        <v>14.62</v>
      </c>
      <c r="C12" s="123">
        <v>14.91</v>
      </c>
      <c r="D12" s="123">
        <v>15.2</v>
      </c>
      <c r="E12" s="122">
        <v>15.49</v>
      </c>
      <c r="F12" s="122">
        <v>15.79</v>
      </c>
      <c r="G12" s="122">
        <v>16.079999999999998</v>
      </c>
      <c r="H12" s="974">
        <v>20.92</v>
      </c>
      <c r="I12" s="237">
        <v>16.66</v>
      </c>
      <c r="J12" s="237">
        <v>16.95</v>
      </c>
      <c r="K12" s="237">
        <v>17.239999999999998</v>
      </c>
      <c r="L12" s="237">
        <v>17.53</v>
      </c>
      <c r="M12" s="237">
        <v>17.82</v>
      </c>
      <c r="N12" s="237">
        <v>18.12</v>
      </c>
      <c r="O12" s="237">
        <v>18.41</v>
      </c>
      <c r="P12" s="237">
        <v>18.7</v>
      </c>
      <c r="Q12" s="237">
        <v>18.989999999999998</v>
      </c>
      <c r="R12" s="237">
        <v>19.28</v>
      </c>
      <c r="S12" s="761">
        <v>18.59</v>
      </c>
      <c r="T12" s="761">
        <v>18.3</v>
      </c>
      <c r="U12" s="237">
        <v>13.46</v>
      </c>
      <c r="V12" s="237">
        <v>13.16</v>
      </c>
      <c r="W12" s="237">
        <v>12.87</v>
      </c>
      <c r="X12" s="51">
        <v>8</v>
      </c>
      <c r="Y12" s="761">
        <v>12.14</v>
      </c>
      <c r="Z12" s="761">
        <v>12.35</v>
      </c>
      <c r="AA12" s="728">
        <v>12.55</v>
      </c>
      <c r="AB12" s="739">
        <f>AA12+0.21</f>
        <v>12.760000000000002</v>
      </c>
      <c r="AC12" s="739">
        <f>AB12+0.2</f>
        <v>12.96</v>
      </c>
      <c r="AD12" s="739">
        <f>AC12+0.21</f>
        <v>13.170000000000002</v>
      </c>
      <c r="AE12" s="739">
        <f>AD12+0.2</f>
        <v>13.370000000000001</v>
      </c>
      <c r="AF12" s="739">
        <f>AE12+0.21</f>
        <v>13.580000000000002</v>
      </c>
      <c r="AG12" s="739">
        <f>AF12+0.2</f>
        <v>13.780000000000001</v>
      </c>
      <c r="AH12" s="739">
        <f t="shared" ref="AH12:AR12" si="5">AG12+0.21</f>
        <v>13.990000000000002</v>
      </c>
      <c r="AI12" s="739">
        <f t="shared" si="5"/>
        <v>14.200000000000003</v>
      </c>
      <c r="AJ12" s="739">
        <f>AI12+0.2</f>
        <v>14.400000000000002</v>
      </c>
      <c r="AK12" s="739">
        <f t="shared" si="5"/>
        <v>14.610000000000003</v>
      </c>
      <c r="AL12" s="739">
        <f>AK12+0.2</f>
        <v>14.810000000000002</v>
      </c>
      <c r="AM12" s="739">
        <f t="shared" si="5"/>
        <v>15.020000000000003</v>
      </c>
      <c r="AN12" s="739">
        <f>AM12+0.2</f>
        <v>15.220000000000002</v>
      </c>
      <c r="AO12" s="739">
        <f t="shared" si="5"/>
        <v>15.430000000000003</v>
      </c>
      <c r="AP12" s="739">
        <f t="shared" si="5"/>
        <v>15.640000000000004</v>
      </c>
      <c r="AQ12" s="739">
        <f>AP12+0.2</f>
        <v>15.840000000000003</v>
      </c>
      <c r="AR12" s="739">
        <f t="shared" si="5"/>
        <v>16.050000000000004</v>
      </c>
      <c r="AS12" s="237">
        <v>9.67</v>
      </c>
      <c r="AT12" s="237">
        <v>9.4600000000000009</v>
      </c>
      <c r="AU12" s="761">
        <v>11.93</v>
      </c>
      <c r="AV12" s="237">
        <v>9.0500000000000007</v>
      </c>
      <c r="AW12" s="236">
        <v>8.84</v>
      </c>
    </row>
    <row r="13" spans="1:49" ht="22.5">
      <c r="A13" s="131">
        <v>16.03</v>
      </c>
      <c r="B13" s="122">
        <v>16.36</v>
      </c>
      <c r="C13" s="123">
        <v>16.68</v>
      </c>
      <c r="D13" s="123">
        <v>17.010000000000002</v>
      </c>
      <c r="E13" s="122">
        <v>17.34</v>
      </c>
      <c r="F13" s="122">
        <v>17.670000000000002</v>
      </c>
      <c r="G13" s="122">
        <v>18</v>
      </c>
      <c r="H13" s="974">
        <v>23.38</v>
      </c>
      <c r="I13" s="237">
        <v>18.649999999999999</v>
      </c>
      <c r="J13" s="237">
        <v>18.98</v>
      </c>
      <c r="K13" s="237">
        <v>19.309999999999999</v>
      </c>
      <c r="L13" s="237">
        <v>19.63</v>
      </c>
      <c r="M13" s="237">
        <v>19.96</v>
      </c>
      <c r="N13" s="237">
        <v>20.29</v>
      </c>
      <c r="O13" s="237">
        <v>20.62</v>
      </c>
      <c r="P13" s="237">
        <v>20.94</v>
      </c>
      <c r="Q13" s="237">
        <v>21.27</v>
      </c>
      <c r="R13" s="237">
        <v>21.6</v>
      </c>
      <c r="S13" s="237">
        <v>15.7</v>
      </c>
      <c r="T13" s="237">
        <v>15.37</v>
      </c>
      <c r="U13" s="237">
        <v>15.05</v>
      </c>
      <c r="V13" s="237">
        <v>14.72</v>
      </c>
      <c r="W13" s="237">
        <v>14.39</v>
      </c>
      <c r="X13" s="51">
        <v>9</v>
      </c>
      <c r="Y13" s="761">
        <v>13.27</v>
      </c>
      <c r="Z13" s="761">
        <v>13.5</v>
      </c>
      <c r="AA13" s="728">
        <v>13.73</v>
      </c>
      <c r="AB13" s="739">
        <f>AA13+0.23</f>
        <v>13.96</v>
      </c>
      <c r="AC13" s="739">
        <f t="shared" ref="AC13:AR13" si="6">AB13+0.23</f>
        <v>14.190000000000001</v>
      </c>
      <c r="AD13" s="739">
        <f>AC13+0.24</f>
        <v>14.430000000000001</v>
      </c>
      <c r="AE13" s="739">
        <f>AD13+0.23</f>
        <v>14.660000000000002</v>
      </c>
      <c r="AF13" s="739">
        <f>AE13+0.23</f>
        <v>14.890000000000002</v>
      </c>
      <c r="AG13" s="739">
        <f>AF13+0.23</f>
        <v>15.120000000000003</v>
      </c>
      <c r="AH13" s="739">
        <f t="shared" si="6"/>
        <v>15.350000000000003</v>
      </c>
      <c r="AI13" s="739">
        <f t="shared" si="6"/>
        <v>15.580000000000004</v>
      </c>
      <c r="AJ13" s="739">
        <f t="shared" si="6"/>
        <v>15.810000000000004</v>
      </c>
      <c r="AK13" s="739">
        <f t="shared" si="6"/>
        <v>16.040000000000003</v>
      </c>
      <c r="AL13" s="739">
        <f>AK13+0.24</f>
        <v>16.28</v>
      </c>
      <c r="AM13" s="739">
        <f t="shared" si="6"/>
        <v>16.510000000000002</v>
      </c>
      <c r="AN13" s="739">
        <f t="shared" si="6"/>
        <v>16.740000000000002</v>
      </c>
      <c r="AO13" s="739">
        <f t="shared" si="6"/>
        <v>16.970000000000002</v>
      </c>
      <c r="AP13" s="739">
        <f t="shared" si="6"/>
        <v>17.200000000000003</v>
      </c>
      <c r="AQ13" s="739">
        <f t="shared" si="6"/>
        <v>17.430000000000003</v>
      </c>
      <c r="AR13" s="739">
        <f t="shared" si="6"/>
        <v>17.660000000000004</v>
      </c>
      <c r="AS13" s="237">
        <v>10.63</v>
      </c>
      <c r="AT13" s="237">
        <v>10.4</v>
      </c>
      <c r="AU13" s="761">
        <v>13.04</v>
      </c>
      <c r="AV13" s="237">
        <v>9.94</v>
      </c>
      <c r="AW13" s="236">
        <v>9.7100000000000009</v>
      </c>
    </row>
    <row r="14" spans="1:49" ht="22.5">
      <c r="A14" s="131">
        <v>17.73</v>
      </c>
      <c r="B14" s="122">
        <v>18.09</v>
      </c>
      <c r="C14" s="123">
        <v>18.46</v>
      </c>
      <c r="D14" s="123">
        <v>18.82</v>
      </c>
      <c r="E14" s="122">
        <v>19.18</v>
      </c>
      <c r="F14" s="122">
        <v>19.55</v>
      </c>
      <c r="G14" s="122">
        <v>19.91</v>
      </c>
      <c r="H14" s="974">
        <v>25.83</v>
      </c>
      <c r="I14" s="237">
        <v>20.64</v>
      </c>
      <c r="J14" s="237">
        <v>21</v>
      </c>
      <c r="K14" s="237">
        <v>21.37</v>
      </c>
      <c r="L14" s="237">
        <v>21.73</v>
      </c>
      <c r="M14" s="237">
        <v>22.1</v>
      </c>
      <c r="N14" s="237">
        <v>22.46</v>
      </c>
      <c r="O14" s="237">
        <v>22.82</v>
      </c>
      <c r="P14" s="237">
        <v>23.19</v>
      </c>
      <c r="Q14" s="237">
        <v>23.55</v>
      </c>
      <c r="R14" s="237">
        <v>23.92</v>
      </c>
      <c r="S14" s="237">
        <v>17.36</v>
      </c>
      <c r="T14" s="237">
        <v>17</v>
      </c>
      <c r="U14" s="237">
        <v>16.64</v>
      </c>
      <c r="V14" s="237">
        <v>16.27</v>
      </c>
      <c r="W14" s="237">
        <v>15.91</v>
      </c>
      <c r="X14" s="51">
        <v>10</v>
      </c>
      <c r="Y14" s="761">
        <v>14.4</v>
      </c>
      <c r="Z14" s="761">
        <v>14.65</v>
      </c>
      <c r="AA14" s="728">
        <v>14.91</v>
      </c>
      <c r="AB14" s="739">
        <f>AA14+0.26</f>
        <v>15.17</v>
      </c>
      <c r="AC14" s="739">
        <f>AB14+0.25</f>
        <v>15.42</v>
      </c>
      <c r="AD14" s="739">
        <f>AC14+0.26</f>
        <v>15.68</v>
      </c>
      <c r="AE14" s="739">
        <f>AD14+0.26</f>
        <v>15.94</v>
      </c>
      <c r="AF14" s="739">
        <f>AE14+0.26</f>
        <v>16.2</v>
      </c>
      <c r="AG14" s="739">
        <f>AF14+0.25</f>
        <v>16.45</v>
      </c>
      <c r="AH14" s="739">
        <f t="shared" ref="AH14:AR14" si="7">AG14+0.26</f>
        <v>16.71</v>
      </c>
      <c r="AI14" s="739">
        <f t="shared" si="7"/>
        <v>16.970000000000002</v>
      </c>
      <c r="AJ14" s="739">
        <f>AI14+0.25</f>
        <v>17.220000000000002</v>
      </c>
      <c r="AK14" s="739">
        <f t="shared" si="7"/>
        <v>17.480000000000004</v>
      </c>
      <c r="AL14" s="739">
        <f t="shared" si="7"/>
        <v>17.740000000000006</v>
      </c>
      <c r="AM14" s="739">
        <f>AL14+0.25</f>
        <v>17.990000000000006</v>
      </c>
      <c r="AN14" s="739">
        <f t="shared" si="7"/>
        <v>18.250000000000007</v>
      </c>
      <c r="AO14" s="739">
        <f t="shared" si="7"/>
        <v>18.510000000000009</v>
      </c>
      <c r="AP14" s="739">
        <f t="shared" si="7"/>
        <v>18.77000000000001</v>
      </c>
      <c r="AQ14" s="739">
        <f>AP14+0.25</f>
        <v>19.02000000000001</v>
      </c>
      <c r="AR14" s="739">
        <f t="shared" si="7"/>
        <v>19.280000000000012</v>
      </c>
      <c r="AS14" s="237">
        <v>11.6</v>
      </c>
      <c r="AT14" s="237">
        <v>11.34</v>
      </c>
      <c r="AU14" s="761">
        <v>14.14</v>
      </c>
      <c r="AV14" s="237">
        <v>10.83</v>
      </c>
      <c r="AW14" s="236">
        <v>10.57</v>
      </c>
    </row>
    <row r="15" spans="1:49" ht="22.5">
      <c r="A15" s="131">
        <v>19.43</v>
      </c>
      <c r="B15" s="122">
        <v>19.829999999999998</v>
      </c>
      <c r="C15" s="123">
        <v>20.23</v>
      </c>
      <c r="D15" s="123">
        <v>20.63</v>
      </c>
      <c r="E15" s="122">
        <v>21.03</v>
      </c>
      <c r="F15" s="122">
        <v>21.43</v>
      </c>
      <c r="G15" s="122">
        <v>21.83</v>
      </c>
      <c r="H15" s="974">
        <v>28.29</v>
      </c>
      <c r="I15" s="237">
        <v>22.63</v>
      </c>
      <c r="J15" s="237">
        <v>23.03</v>
      </c>
      <c r="K15" s="237">
        <v>23.43</v>
      </c>
      <c r="L15" s="237">
        <v>23.83</v>
      </c>
      <c r="M15" s="237">
        <v>24.23</v>
      </c>
      <c r="N15" s="237">
        <v>24.63</v>
      </c>
      <c r="O15" s="237">
        <v>25.03</v>
      </c>
      <c r="P15" s="237">
        <v>25.43</v>
      </c>
      <c r="Q15" s="237">
        <v>25.83</v>
      </c>
      <c r="R15" s="237">
        <v>26.23</v>
      </c>
      <c r="S15" s="237">
        <v>19.03</v>
      </c>
      <c r="T15" s="237">
        <v>18.63</v>
      </c>
      <c r="U15" s="237">
        <v>18.23</v>
      </c>
      <c r="V15" s="237">
        <v>17.829999999999998</v>
      </c>
      <c r="W15" s="237">
        <v>17.43</v>
      </c>
      <c r="X15" s="51">
        <v>11</v>
      </c>
      <c r="Y15" s="761">
        <v>15.52</v>
      </c>
      <c r="Z15" s="761">
        <v>15.81</v>
      </c>
      <c r="AA15" s="728">
        <v>16.09</v>
      </c>
      <c r="AB15" s="739">
        <f>AA15+0.28</f>
        <v>16.37</v>
      </c>
      <c r="AC15" s="739">
        <f t="shared" ref="AC15:AQ15" si="8">AB15+0.28</f>
        <v>16.650000000000002</v>
      </c>
      <c r="AD15" s="739">
        <f>AC15+0.29</f>
        <v>16.940000000000001</v>
      </c>
      <c r="AE15" s="739">
        <f>AD15+0.28</f>
        <v>17.220000000000002</v>
      </c>
      <c r="AF15" s="739">
        <f>AE15+0.28</f>
        <v>17.500000000000004</v>
      </c>
      <c r="AG15" s="739">
        <f>AF15+0.29</f>
        <v>17.790000000000003</v>
      </c>
      <c r="AH15" s="739">
        <f t="shared" si="8"/>
        <v>18.070000000000004</v>
      </c>
      <c r="AI15" s="739">
        <f t="shared" si="8"/>
        <v>18.350000000000005</v>
      </c>
      <c r="AJ15" s="739">
        <f t="shared" si="8"/>
        <v>18.630000000000006</v>
      </c>
      <c r="AK15" s="739">
        <f>AJ15+0.29</f>
        <v>18.920000000000005</v>
      </c>
      <c r="AL15" s="739">
        <f t="shared" si="8"/>
        <v>19.200000000000006</v>
      </c>
      <c r="AM15" s="739">
        <f t="shared" si="8"/>
        <v>19.480000000000008</v>
      </c>
      <c r="AN15" s="739">
        <f t="shared" si="8"/>
        <v>19.760000000000009</v>
      </c>
      <c r="AO15" s="739">
        <f>AN15+0.29</f>
        <v>20.050000000000008</v>
      </c>
      <c r="AP15" s="739">
        <f t="shared" si="8"/>
        <v>20.330000000000009</v>
      </c>
      <c r="AQ15" s="739">
        <f t="shared" si="8"/>
        <v>20.61000000000001</v>
      </c>
      <c r="AR15" s="739">
        <f>AQ15+0.29</f>
        <v>20.900000000000009</v>
      </c>
      <c r="AS15" s="237">
        <v>12.56</v>
      </c>
      <c r="AT15" s="237">
        <v>12.28</v>
      </c>
      <c r="AU15" s="761">
        <v>15.24</v>
      </c>
      <c r="AV15" s="237">
        <v>11.71</v>
      </c>
      <c r="AW15" s="236">
        <v>11.43</v>
      </c>
    </row>
    <row r="16" spans="1:49" ht="22.5">
      <c r="A16" s="131">
        <v>21.13</v>
      </c>
      <c r="B16" s="122">
        <v>21.56</v>
      </c>
      <c r="C16" s="123">
        <v>22</v>
      </c>
      <c r="D16" s="123">
        <v>22.44</v>
      </c>
      <c r="E16" s="122">
        <v>22.87</v>
      </c>
      <c r="F16" s="122">
        <v>23.31</v>
      </c>
      <c r="G16" s="122">
        <v>23.75</v>
      </c>
      <c r="H16" s="974">
        <v>30.75</v>
      </c>
      <c r="I16" s="237">
        <v>24.62</v>
      </c>
      <c r="J16" s="237">
        <v>25.06</v>
      </c>
      <c r="K16" s="237">
        <v>25.49</v>
      </c>
      <c r="L16" s="237">
        <v>25.93</v>
      </c>
      <c r="M16" s="237">
        <v>26.37</v>
      </c>
      <c r="N16" s="237">
        <v>26.8</v>
      </c>
      <c r="O16" s="237">
        <v>27.24</v>
      </c>
      <c r="P16" s="237">
        <v>27.68</v>
      </c>
      <c r="Q16" s="237">
        <v>28.11</v>
      </c>
      <c r="R16" s="237">
        <v>28.55</v>
      </c>
      <c r="S16" s="237">
        <v>20.69</v>
      </c>
      <c r="T16" s="237">
        <v>20.25</v>
      </c>
      <c r="U16" s="237">
        <v>19.82</v>
      </c>
      <c r="V16" s="237">
        <v>19.38</v>
      </c>
      <c r="W16" s="237">
        <v>18.940000000000001</v>
      </c>
      <c r="X16" s="51">
        <v>12</v>
      </c>
      <c r="Y16" s="761">
        <v>16.649999999999999</v>
      </c>
      <c r="Z16" s="761">
        <v>16.96</v>
      </c>
      <c r="AA16" s="728">
        <v>17.27</v>
      </c>
      <c r="AB16" s="739">
        <f>AA16+0.31</f>
        <v>17.579999999999998</v>
      </c>
      <c r="AC16" s="739">
        <f t="shared" ref="AC16:AR16" si="9">AB16+0.31</f>
        <v>17.889999999999997</v>
      </c>
      <c r="AD16" s="739">
        <f>AC16+0.3</f>
        <v>18.189999999999998</v>
      </c>
      <c r="AE16" s="739">
        <f>AD16+0.31</f>
        <v>18.499999999999996</v>
      </c>
      <c r="AF16" s="739">
        <f>AE16+0.31</f>
        <v>18.809999999999995</v>
      </c>
      <c r="AG16" s="739">
        <f>AF16+0.31</f>
        <v>19.119999999999994</v>
      </c>
      <c r="AH16" s="739">
        <f t="shared" si="9"/>
        <v>19.429999999999993</v>
      </c>
      <c r="AI16" s="739">
        <f t="shared" si="9"/>
        <v>19.739999999999991</v>
      </c>
      <c r="AJ16" s="739">
        <f>AI16+0.3</f>
        <v>20.039999999999992</v>
      </c>
      <c r="AK16" s="739">
        <f t="shared" si="9"/>
        <v>20.349999999999991</v>
      </c>
      <c r="AL16" s="739">
        <f t="shared" si="9"/>
        <v>20.659999999999989</v>
      </c>
      <c r="AM16" s="739">
        <f t="shared" si="9"/>
        <v>20.969999999999988</v>
      </c>
      <c r="AN16" s="739">
        <f t="shared" si="9"/>
        <v>21.279999999999987</v>
      </c>
      <c r="AO16" s="739">
        <f t="shared" si="9"/>
        <v>21.589999999999986</v>
      </c>
      <c r="AP16" s="739">
        <f t="shared" si="9"/>
        <v>21.899999999999984</v>
      </c>
      <c r="AQ16" s="739">
        <f>AP16+0.3</f>
        <v>22.199999999999985</v>
      </c>
      <c r="AR16" s="739">
        <f t="shared" si="9"/>
        <v>22.509999999999984</v>
      </c>
      <c r="AS16" s="237">
        <v>13.53</v>
      </c>
      <c r="AT16" s="237">
        <v>13.22</v>
      </c>
      <c r="AU16" s="761">
        <v>16.34</v>
      </c>
      <c r="AV16" s="237">
        <v>12.6</v>
      </c>
      <c r="AW16" s="236">
        <v>12.29</v>
      </c>
    </row>
    <row r="17" spans="1:49" ht="22.5">
      <c r="A17" s="131">
        <v>22.83</v>
      </c>
      <c r="B17" s="122">
        <v>23.3</v>
      </c>
      <c r="C17" s="123">
        <v>23.77</v>
      </c>
      <c r="D17" s="123">
        <v>24.25</v>
      </c>
      <c r="E17" s="122">
        <v>24.72</v>
      </c>
      <c r="F17" s="122">
        <v>25.19</v>
      </c>
      <c r="G17" s="122">
        <v>25.67</v>
      </c>
      <c r="H17" s="974">
        <v>33.200000000000003</v>
      </c>
      <c r="I17" s="237">
        <v>26.61</v>
      </c>
      <c r="J17" s="237">
        <v>27.08</v>
      </c>
      <c r="K17" s="237">
        <v>27.56</v>
      </c>
      <c r="L17" s="237">
        <v>28.03</v>
      </c>
      <c r="M17" s="237">
        <v>28.5</v>
      </c>
      <c r="N17" s="237">
        <v>28.98</v>
      </c>
      <c r="O17" s="237">
        <v>29.45</v>
      </c>
      <c r="P17" s="237">
        <v>29.92</v>
      </c>
      <c r="Q17" s="237">
        <v>30.4</v>
      </c>
      <c r="R17" s="237">
        <v>30.87</v>
      </c>
      <c r="S17" s="237">
        <v>22.35</v>
      </c>
      <c r="T17" s="237">
        <v>21.88</v>
      </c>
      <c r="U17" s="237">
        <v>21.41</v>
      </c>
      <c r="V17" s="237">
        <v>20.93</v>
      </c>
      <c r="W17" s="237">
        <v>20.46</v>
      </c>
      <c r="X17" s="51">
        <v>13</v>
      </c>
      <c r="Y17" s="761">
        <v>17.78</v>
      </c>
      <c r="Z17" s="761">
        <v>18.12</v>
      </c>
      <c r="AA17" s="728">
        <v>18.45</v>
      </c>
      <c r="AB17" s="739">
        <f>AA17+0.33</f>
        <v>18.779999999999998</v>
      </c>
      <c r="AC17" s="739">
        <f>AB17+0.34</f>
        <v>19.119999999999997</v>
      </c>
      <c r="AD17" s="739">
        <f>AC17+0.33</f>
        <v>19.449999999999996</v>
      </c>
      <c r="AE17" s="739">
        <f>AD17+0.34</f>
        <v>19.789999999999996</v>
      </c>
      <c r="AF17" s="739">
        <f>AE17+0.33</f>
        <v>20.119999999999994</v>
      </c>
      <c r="AG17" s="739">
        <f>AF17+0.33</f>
        <v>20.449999999999992</v>
      </c>
      <c r="AH17" s="739">
        <f>AG17+0.34</f>
        <v>20.789999999999992</v>
      </c>
      <c r="AI17" s="739">
        <f>AH17+0.33</f>
        <v>21.11999999999999</v>
      </c>
      <c r="AJ17" s="739">
        <f>AI17+0.34</f>
        <v>21.45999999999999</v>
      </c>
      <c r="AK17" s="739">
        <f>AJ17+0.33</f>
        <v>21.789999999999988</v>
      </c>
      <c r="AL17" s="739">
        <f>AK17+0.33</f>
        <v>22.119999999999987</v>
      </c>
      <c r="AM17" s="739">
        <f>AL17+0.34</f>
        <v>22.459999999999987</v>
      </c>
      <c r="AN17" s="739">
        <f>AM17+0.33</f>
        <v>22.789999999999985</v>
      </c>
      <c r="AO17" s="739">
        <f>AN17+0.34</f>
        <v>23.129999999999985</v>
      </c>
      <c r="AP17" s="739">
        <f>AO17+0.33</f>
        <v>23.459999999999983</v>
      </c>
      <c r="AQ17" s="739">
        <f>AP17+0.34</f>
        <v>23.799999999999983</v>
      </c>
      <c r="AR17" s="739">
        <f>AQ17+0.33</f>
        <v>24.129999999999981</v>
      </c>
      <c r="AS17" s="237">
        <v>14.49</v>
      </c>
      <c r="AT17" s="237">
        <v>14.16</v>
      </c>
      <c r="AU17" s="761">
        <v>17.45</v>
      </c>
      <c r="AV17" s="237">
        <v>13.49</v>
      </c>
      <c r="AW17" s="236">
        <v>13.16</v>
      </c>
    </row>
    <row r="18" spans="1:49" ht="22.5">
      <c r="A18" s="131">
        <v>24.53</v>
      </c>
      <c r="B18" s="122">
        <v>25.04</v>
      </c>
      <c r="C18" s="123">
        <v>25.55</v>
      </c>
      <c r="D18" s="123">
        <v>26.05</v>
      </c>
      <c r="E18" s="122">
        <v>26.56</v>
      </c>
      <c r="F18" s="122">
        <v>27.07</v>
      </c>
      <c r="G18" s="122">
        <v>27.58</v>
      </c>
      <c r="H18" s="974">
        <v>35.659999999999997</v>
      </c>
      <c r="I18" s="237">
        <v>28.6</v>
      </c>
      <c r="J18" s="237">
        <v>29.11</v>
      </c>
      <c r="K18" s="237">
        <v>29.62</v>
      </c>
      <c r="L18" s="237">
        <v>30.13</v>
      </c>
      <c r="M18" s="237">
        <v>30.64</v>
      </c>
      <c r="N18" s="237">
        <v>31.15</v>
      </c>
      <c r="O18" s="237">
        <v>31.66</v>
      </c>
      <c r="P18" s="237">
        <v>32.17</v>
      </c>
      <c r="Q18" s="237">
        <v>32.68</v>
      </c>
      <c r="R18" s="237">
        <v>33.19</v>
      </c>
      <c r="S18" s="237">
        <v>24.02</v>
      </c>
      <c r="T18" s="237">
        <v>23.51</v>
      </c>
      <c r="U18" s="237">
        <v>23</v>
      </c>
      <c r="V18" s="237">
        <v>22.49</v>
      </c>
      <c r="W18" s="237">
        <v>21.98</v>
      </c>
      <c r="X18" s="51">
        <v>14</v>
      </c>
      <c r="Y18" s="761">
        <v>18.91</v>
      </c>
      <c r="Z18" s="761">
        <v>19.27</v>
      </c>
      <c r="AA18" s="728">
        <v>19.63</v>
      </c>
      <c r="AB18" s="739">
        <f>AA18+0.36</f>
        <v>19.989999999999998</v>
      </c>
      <c r="AC18" s="739">
        <f t="shared" ref="AC18:AR18" si="10">AB18+0.36</f>
        <v>20.349999999999998</v>
      </c>
      <c r="AD18" s="739">
        <f t="shared" si="10"/>
        <v>20.709999999999997</v>
      </c>
      <c r="AE18" s="739">
        <f t="shared" si="10"/>
        <v>21.069999999999997</v>
      </c>
      <c r="AF18" s="739">
        <f t="shared" si="10"/>
        <v>21.429999999999996</v>
      </c>
      <c r="AG18" s="739">
        <f t="shared" si="10"/>
        <v>21.789999999999996</v>
      </c>
      <c r="AH18" s="739">
        <f t="shared" si="10"/>
        <v>22.149999999999995</v>
      </c>
      <c r="AI18" s="739">
        <f t="shared" si="10"/>
        <v>22.509999999999994</v>
      </c>
      <c r="AJ18" s="739">
        <f t="shared" si="10"/>
        <v>22.869999999999994</v>
      </c>
      <c r="AK18" s="739">
        <f t="shared" si="10"/>
        <v>23.229999999999993</v>
      </c>
      <c r="AL18" s="739">
        <f t="shared" si="10"/>
        <v>23.589999999999993</v>
      </c>
      <c r="AM18" s="739">
        <f t="shared" si="10"/>
        <v>23.949999999999992</v>
      </c>
      <c r="AN18" s="739">
        <f t="shared" si="10"/>
        <v>24.309999999999992</v>
      </c>
      <c r="AO18" s="739">
        <f t="shared" si="10"/>
        <v>24.669999999999991</v>
      </c>
      <c r="AP18" s="739">
        <f t="shared" si="10"/>
        <v>25.02999999999999</v>
      </c>
      <c r="AQ18" s="739">
        <f t="shared" si="10"/>
        <v>25.38999999999999</v>
      </c>
      <c r="AR18" s="739">
        <f t="shared" si="10"/>
        <v>25.749999999999989</v>
      </c>
      <c r="AS18" s="237">
        <v>15.46</v>
      </c>
      <c r="AT18" s="237">
        <v>15.1</v>
      </c>
      <c r="AU18" s="761">
        <v>18.55</v>
      </c>
      <c r="AV18" s="237">
        <v>14.38</v>
      </c>
      <c r="AW18" s="236">
        <v>14.02</v>
      </c>
    </row>
    <row r="19" spans="1:49" ht="22.5">
      <c r="A19" s="131">
        <v>26.22</v>
      </c>
      <c r="B19" s="122">
        <v>26.77</v>
      </c>
      <c r="C19" s="123">
        <v>27.32</v>
      </c>
      <c r="D19" s="123">
        <v>27.86</v>
      </c>
      <c r="E19" s="122">
        <v>28.41</v>
      </c>
      <c r="F19" s="122">
        <v>28.95</v>
      </c>
      <c r="G19" s="122">
        <v>29.5</v>
      </c>
      <c r="H19" s="974">
        <v>38.119999999999997</v>
      </c>
      <c r="I19" s="237">
        <v>30.59</v>
      </c>
      <c r="J19" s="237">
        <v>31.14</v>
      </c>
      <c r="K19" s="237">
        <v>31.68</v>
      </c>
      <c r="L19" s="237">
        <v>32.229999999999997</v>
      </c>
      <c r="M19" s="237">
        <v>32.78</v>
      </c>
      <c r="N19" s="237">
        <v>33.32</v>
      </c>
      <c r="O19" s="237">
        <v>33.869999999999997</v>
      </c>
      <c r="P19" s="237">
        <v>34.409999999999997</v>
      </c>
      <c r="Q19" s="237">
        <v>34.96</v>
      </c>
      <c r="R19" s="237">
        <v>35.51</v>
      </c>
      <c r="S19" s="237">
        <v>25.68</v>
      </c>
      <c r="T19" s="237">
        <v>25.13</v>
      </c>
      <c r="U19" s="237">
        <v>24.59</v>
      </c>
      <c r="V19" s="237">
        <v>24.04</v>
      </c>
      <c r="W19" s="237">
        <v>23.49</v>
      </c>
      <c r="X19" s="51">
        <v>15</v>
      </c>
      <c r="Y19" s="761">
        <v>20.09</v>
      </c>
      <c r="Z19" s="761">
        <v>20.48</v>
      </c>
      <c r="AA19" s="728">
        <v>20.87</v>
      </c>
      <c r="AB19" s="739">
        <f>AA19+0.38</f>
        <v>21.25</v>
      </c>
      <c r="AC19" s="739">
        <f>AB19+0.39</f>
        <v>21.64</v>
      </c>
      <c r="AD19" s="739">
        <f>AC19+0.38</f>
        <v>22.02</v>
      </c>
      <c r="AE19" s="739">
        <f>AD19+0.39</f>
        <v>22.41</v>
      </c>
      <c r="AF19" s="739">
        <f>AE19+0.38</f>
        <v>22.79</v>
      </c>
      <c r="AG19" s="739">
        <f>AF19+0.39</f>
        <v>23.18</v>
      </c>
      <c r="AH19" s="739">
        <f>AG19+0.38</f>
        <v>23.56</v>
      </c>
      <c r="AI19" s="739">
        <f>AH19+0.39</f>
        <v>23.95</v>
      </c>
      <c r="AJ19" s="739">
        <f>AI19+0.38</f>
        <v>24.33</v>
      </c>
      <c r="AK19" s="739">
        <f>AJ19+0.39</f>
        <v>24.72</v>
      </c>
      <c r="AL19" s="739">
        <f>AK19+0.39</f>
        <v>25.11</v>
      </c>
      <c r="AM19" s="739">
        <f>AL19+0.38</f>
        <v>25.49</v>
      </c>
      <c r="AN19" s="739">
        <f>AM19+0.39</f>
        <v>25.88</v>
      </c>
      <c r="AO19" s="739">
        <f>AN19+0.38</f>
        <v>26.259999999999998</v>
      </c>
      <c r="AP19" s="739">
        <f>AO19+0.39</f>
        <v>26.65</v>
      </c>
      <c r="AQ19" s="739">
        <f>AP19+0.38</f>
        <v>27.029999999999998</v>
      </c>
      <c r="AR19" s="739">
        <f>AQ19+0.39</f>
        <v>27.419999999999998</v>
      </c>
      <c r="AS19" s="237">
        <v>16.46</v>
      </c>
      <c r="AT19" s="237">
        <v>16.07</v>
      </c>
      <c r="AU19" s="761">
        <v>19.71</v>
      </c>
      <c r="AV19" s="237">
        <v>15.3</v>
      </c>
      <c r="AW19" s="236">
        <v>14.92</v>
      </c>
    </row>
    <row r="20" spans="1:49" ht="22.5">
      <c r="A20" s="131">
        <v>27.93</v>
      </c>
      <c r="B20" s="122">
        <v>28.51</v>
      </c>
      <c r="C20" s="123">
        <v>29.09</v>
      </c>
      <c r="D20" s="123">
        <v>29.67</v>
      </c>
      <c r="E20" s="122">
        <v>30.25</v>
      </c>
      <c r="F20" s="122">
        <v>30.84</v>
      </c>
      <c r="G20" s="122">
        <v>31.42</v>
      </c>
      <c r="H20" s="974">
        <v>40.58</v>
      </c>
      <c r="I20" s="237">
        <v>32.58</v>
      </c>
      <c r="J20" s="237">
        <v>33.17</v>
      </c>
      <c r="K20" s="237">
        <v>33.75</v>
      </c>
      <c r="L20" s="237">
        <v>34.33</v>
      </c>
      <c r="M20" s="237">
        <v>34.909999999999997</v>
      </c>
      <c r="N20" s="237">
        <v>35.5</v>
      </c>
      <c r="O20" s="237">
        <v>36.08</v>
      </c>
      <c r="P20" s="237">
        <v>36.659999999999997</v>
      </c>
      <c r="Q20" s="237">
        <v>37.24</v>
      </c>
      <c r="R20" s="237">
        <v>37.83</v>
      </c>
      <c r="S20" s="237">
        <v>27.34</v>
      </c>
      <c r="T20" s="237">
        <v>26.76</v>
      </c>
      <c r="U20" s="237">
        <v>26.18</v>
      </c>
      <c r="V20" s="237">
        <v>25.6</v>
      </c>
      <c r="W20" s="237">
        <v>25.01</v>
      </c>
      <c r="X20" s="51">
        <v>16</v>
      </c>
      <c r="Y20" s="761">
        <v>21.39</v>
      </c>
      <c r="Z20" s="761">
        <v>21.8</v>
      </c>
      <c r="AA20" s="728">
        <v>22.21</v>
      </c>
      <c r="AB20" s="739">
        <f>AA20+0.42</f>
        <v>22.630000000000003</v>
      </c>
      <c r="AC20" s="739">
        <f t="shared" ref="AC20:AJ20" si="11">AB20+0.41</f>
        <v>23.040000000000003</v>
      </c>
      <c r="AD20" s="739">
        <f t="shared" si="11"/>
        <v>23.450000000000003</v>
      </c>
      <c r="AE20" s="739">
        <f t="shared" si="11"/>
        <v>23.860000000000003</v>
      </c>
      <c r="AF20" s="739">
        <f t="shared" si="11"/>
        <v>24.270000000000003</v>
      </c>
      <c r="AG20" s="739">
        <f t="shared" si="11"/>
        <v>24.680000000000003</v>
      </c>
      <c r="AH20" s="739">
        <f t="shared" si="11"/>
        <v>25.090000000000003</v>
      </c>
      <c r="AI20" s="739">
        <f t="shared" si="11"/>
        <v>25.500000000000004</v>
      </c>
      <c r="AJ20" s="739">
        <f t="shared" si="11"/>
        <v>25.910000000000004</v>
      </c>
      <c r="AK20" s="739">
        <f>AJ20+0.42</f>
        <v>26.330000000000005</v>
      </c>
      <c r="AL20" s="739">
        <f t="shared" ref="AL20:AR20" si="12">AK20+0.41</f>
        <v>26.740000000000006</v>
      </c>
      <c r="AM20" s="739">
        <f t="shared" si="12"/>
        <v>27.150000000000006</v>
      </c>
      <c r="AN20" s="739">
        <f t="shared" si="12"/>
        <v>27.560000000000006</v>
      </c>
      <c r="AO20" s="739">
        <f t="shared" si="12"/>
        <v>27.970000000000006</v>
      </c>
      <c r="AP20" s="739">
        <f t="shared" si="12"/>
        <v>28.380000000000006</v>
      </c>
      <c r="AQ20" s="739">
        <f t="shared" si="12"/>
        <v>28.790000000000006</v>
      </c>
      <c r="AR20" s="739">
        <f t="shared" si="12"/>
        <v>29.200000000000006</v>
      </c>
      <c r="AS20" s="237">
        <v>17.53</v>
      </c>
      <c r="AT20" s="237">
        <v>17.12</v>
      </c>
      <c r="AU20" s="761">
        <v>20.98</v>
      </c>
      <c r="AV20" s="237">
        <v>16.3</v>
      </c>
      <c r="AW20" s="236">
        <v>15.89</v>
      </c>
    </row>
    <row r="21" spans="1:49" ht="22.5">
      <c r="A21" s="131">
        <v>29.62</v>
      </c>
      <c r="B21" s="122">
        <v>30.24</v>
      </c>
      <c r="C21" s="123">
        <v>30.86</v>
      </c>
      <c r="D21" s="123">
        <v>31.48</v>
      </c>
      <c r="E21" s="122">
        <v>32.1</v>
      </c>
      <c r="F21" s="122">
        <v>32.72</v>
      </c>
      <c r="G21" s="122">
        <v>33.340000000000003</v>
      </c>
      <c r="H21" s="974">
        <v>43.03</v>
      </c>
      <c r="I21" s="237">
        <v>34.57</v>
      </c>
      <c r="J21" s="237">
        <v>35.19</v>
      </c>
      <c r="K21" s="237">
        <v>35.81</v>
      </c>
      <c r="L21" s="237">
        <v>36.43</v>
      </c>
      <c r="M21" s="237">
        <v>37.049999999999997</v>
      </c>
      <c r="N21" s="237">
        <v>37.67</v>
      </c>
      <c r="O21" s="237">
        <v>38.29</v>
      </c>
      <c r="P21" s="237">
        <v>38.909999999999997</v>
      </c>
      <c r="Q21" s="237">
        <v>39.520000000000003</v>
      </c>
      <c r="R21" s="237">
        <v>40.14</v>
      </c>
      <c r="S21" s="237">
        <v>29</v>
      </c>
      <c r="T21" s="237">
        <v>28.39</v>
      </c>
      <c r="U21" s="237">
        <v>27.77</v>
      </c>
      <c r="V21" s="237">
        <v>27.15</v>
      </c>
      <c r="W21" s="237">
        <v>26.53</v>
      </c>
      <c r="X21" s="51">
        <v>17</v>
      </c>
      <c r="Y21" s="761">
        <v>22.69</v>
      </c>
      <c r="Z21" s="761">
        <v>23.13</v>
      </c>
      <c r="AA21" s="728">
        <v>23.56</v>
      </c>
      <c r="AB21" s="739">
        <f>AA21+0.44</f>
        <v>24</v>
      </c>
      <c r="AC21" s="739">
        <f t="shared" ref="AC21:AR21" si="13">AB21+0.44</f>
        <v>24.44</v>
      </c>
      <c r="AD21" s="739">
        <f>AC21+0.43</f>
        <v>24.87</v>
      </c>
      <c r="AE21" s="739">
        <f>AD21+0.44</f>
        <v>25.310000000000002</v>
      </c>
      <c r="AF21" s="739">
        <f>AE21+0.44</f>
        <v>25.750000000000004</v>
      </c>
      <c r="AG21" s="739">
        <f>AF21+0.44</f>
        <v>26.190000000000005</v>
      </c>
      <c r="AH21" s="739">
        <f>AG21+0.43</f>
        <v>26.620000000000005</v>
      </c>
      <c r="AI21" s="739">
        <f t="shared" si="13"/>
        <v>27.060000000000006</v>
      </c>
      <c r="AJ21" s="739">
        <f t="shared" si="13"/>
        <v>27.500000000000007</v>
      </c>
      <c r="AK21" s="739">
        <f>AJ21+0.43</f>
        <v>27.930000000000007</v>
      </c>
      <c r="AL21" s="739">
        <f t="shared" si="13"/>
        <v>28.370000000000008</v>
      </c>
      <c r="AM21" s="739">
        <f t="shared" si="13"/>
        <v>28.810000000000009</v>
      </c>
      <c r="AN21" s="739">
        <f>AM21+0.43</f>
        <v>29.240000000000009</v>
      </c>
      <c r="AO21" s="739">
        <f t="shared" si="13"/>
        <v>29.68000000000001</v>
      </c>
      <c r="AP21" s="739">
        <f t="shared" si="13"/>
        <v>30.120000000000012</v>
      </c>
      <c r="AQ21" s="739">
        <f>AP21+0.43</f>
        <v>30.550000000000011</v>
      </c>
      <c r="AR21" s="739">
        <f t="shared" si="13"/>
        <v>30.990000000000013</v>
      </c>
      <c r="AS21" s="237">
        <v>18.600000000000001</v>
      </c>
      <c r="AT21" s="237">
        <v>18.170000000000002</v>
      </c>
      <c r="AU21" s="761">
        <v>22.25</v>
      </c>
      <c r="AV21" s="237">
        <v>17.29</v>
      </c>
      <c r="AW21" s="237">
        <v>16.850000000000001</v>
      </c>
    </row>
    <row r="22" spans="1:49" ht="22.5">
      <c r="A22" s="131">
        <v>31.32</v>
      </c>
      <c r="B22" s="122">
        <v>31.98</v>
      </c>
      <c r="C22" s="123">
        <v>32.630000000000003</v>
      </c>
      <c r="D22" s="123">
        <v>33.29</v>
      </c>
      <c r="E22" s="122">
        <v>33.94</v>
      </c>
      <c r="F22" s="122">
        <v>34.6</v>
      </c>
      <c r="G22" s="122">
        <v>35.25</v>
      </c>
      <c r="H22" s="974">
        <v>45.49</v>
      </c>
      <c r="I22" s="237">
        <v>36.56</v>
      </c>
      <c r="J22" s="237">
        <v>37.22</v>
      </c>
      <c r="K22" s="237">
        <v>37.869999999999997</v>
      </c>
      <c r="L22" s="237">
        <v>38.53</v>
      </c>
      <c r="M22" s="237">
        <v>39.18</v>
      </c>
      <c r="N22" s="237">
        <v>39.840000000000003</v>
      </c>
      <c r="O22" s="237">
        <v>40.49</v>
      </c>
      <c r="P22" s="237">
        <v>41.15</v>
      </c>
      <c r="Q22" s="237">
        <v>41.8</v>
      </c>
      <c r="R22" s="237">
        <v>42.46</v>
      </c>
      <c r="S22" s="237">
        <v>30.67</v>
      </c>
      <c r="T22" s="237">
        <v>30.01</v>
      </c>
      <c r="U22" s="237">
        <v>29.36</v>
      </c>
      <c r="V22" s="237">
        <v>28.7</v>
      </c>
      <c r="W22" s="237">
        <v>28.05</v>
      </c>
      <c r="X22" s="51">
        <v>18</v>
      </c>
      <c r="Y22" s="761">
        <v>23.99</v>
      </c>
      <c r="Z22" s="761">
        <v>24.45</v>
      </c>
      <c r="AA22" s="728">
        <v>24.91</v>
      </c>
      <c r="AB22" s="739">
        <f>AA22+0.47</f>
        <v>25.38</v>
      </c>
      <c r="AC22" s="739">
        <f>AB22+0.46</f>
        <v>25.84</v>
      </c>
      <c r="AD22" s="739">
        <f>AC22+0.46</f>
        <v>26.3</v>
      </c>
      <c r="AE22" s="739">
        <f>AD22+0.46</f>
        <v>26.76</v>
      </c>
      <c r="AF22" s="739">
        <f>AE22+0.47</f>
        <v>27.23</v>
      </c>
      <c r="AG22" s="739">
        <f>AF22+0.46</f>
        <v>27.69</v>
      </c>
      <c r="AH22" s="739">
        <f>AG22+0.46</f>
        <v>28.150000000000002</v>
      </c>
      <c r="AI22" s="739">
        <f>AH22+0.46</f>
        <v>28.610000000000003</v>
      </c>
      <c r="AJ22" s="739">
        <f>AI22+0.47</f>
        <v>29.080000000000002</v>
      </c>
      <c r="AK22" s="739">
        <f>AJ22+0.46</f>
        <v>29.540000000000003</v>
      </c>
      <c r="AL22" s="739">
        <f>AK22+0.46</f>
        <v>30.000000000000004</v>
      </c>
      <c r="AM22" s="739">
        <f>AL22+0.46</f>
        <v>30.460000000000004</v>
      </c>
      <c r="AN22" s="739">
        <f>AM22+0.47</f>
        <v>30.930000000000003</v>
      </c>
      <c r="AO22" s="739">
        <f>AN22+0.46</f>
        <v>31.390000000000004</v>
      </c>
      <c r="AP22" s="739">
        <f>AO22+0.46</f>
        <v>31.850000000000005</v>
      </c>
      <c r="AQ22" s="739">
        <f>AP22+0.46</f>
        <v>32.31</v>
      </c>
      <c r="AR22" s="739">
        <f>AQ22+0.47</f>
        <v>32.78</v>
      </c>
      <c r="AS22" s="237">
        <v>19.670000000000002</v>
      </c>
      <c r="AT22" s="237">
        <v>19.21</v>
      </c>
      <c r="AU22" s="761">
        <v>23.53</v>
      </c>
      <c r="AV22" s="237">
        <v>18.29</v>
      </c>
      <c r="AW22" s="237">
        <v>17.82</v>
      </c>
    </row>
    <row r="23" spans="1:49" ht="22.5">
      <c r="A23" s="131">
        <v>33.020000000000003</v>
      </c>
      <c r="B23" s="122">
        <v>33.71</v>
      </c>
      <c r="C23" s="123">
        <v>34.409999999999997</v>
      </c>
      <c r="D23" s="123">
        <v>35.1</v>
      </c>
      <c r="E23" s="122">
        <v>35.79</v>
      </c>
      <c r="F23" s="122">
        <v>36.479999999999997</v>
      </c>
      <c r="G23" s="122">
        <v>37.17</v>
      </c>
      <c r="H23" s="974">
        <v>47.95</v>
      </c>
      <c r="I23" s="237">
        <v>38.56</v>
      </c>
      <c r="J23" s="237">
        <v>39.25</v>
      </c>
      <c r="K23" s="237">
        <v>39.94</v>
      </c>
      <c r="L23" s="237">
        <v>40.630000000000003</v>
      </c>
      <c r="M23" s="237">
        <v>41.32</v>
      </c>
      <c r="N23" s="237">
        <v>42.01</v>
      </c>
      <c r="O23" s="237">
        <v>42.71</v>
      </c>
      <c r="P23" s="237">
        <v>43.4</v>
      </c>
      <c r="Q23" s="237">
        <v>44.09</v>
      </c>
      <c r="R23" s="237">
        <v>44.78</v>
      </c>
      <c r="S23" s="237">
        <v>32.33</v>
      </c>
      <c r="T23" s="237">
        <v>31.64</v>
      </c>
      <c r="U23" s="237">
        <v>30.95</v>
      </c>
      <c r="V23" s="237">
        <v>30.26</v>
      </c>
      <c r="W23" s="237">
        <v>29.57</v>
      </c>
      <c r="X23" s="51">
        <v>19</v>
      </c>
      <c r="Y23" s="761">
        <v>25.29</v>
      </c>
      <c r="Z23" s="761">
        <v>25.78</v>
      </c>
      <c r="AA23" s="728">
        <v>26.26</v>
      </c>
      <c r="AB23" s="739">
        <f>AA23+0.49</f>
        <v>26.75</v>
      </c>
      <c r="AC23" s="739">
        <f t="shared" ref="AC23:AQ23" si="14">AB23+0.49</f>
        <v>27.24</v>
      </c>
      <c r="AD23" s="739">
        <f t="shared" si="14"/>
        <v>27.729999999999997</v>
      </c>
      <c r="AE23" s="739">
        <f t="shared" si="14"/>
        <v>28.219999999999995</v>
      </c>
      <c r="AF23" s="739">
        <f>AE23+0.48</f>
        <v>28.699999999999996</v>
      </c>
      <c r="AG23" s="739">
        <f>AF23+0.49</f>
        <v>29.189999999999994</v>
      </c>
      <c r="AH23" s="739">
        <f t="shared" si="14"/>
        <v>29.679999999999993</v>
      </c>
      <c r="AI23" s="739">
        <f t="shared" si="14"/>
        <v>30.169999999999991</v>
      </c>
      <c r="AJ23" s="739">
        <f t="shared" si="14"/>
        <v>30.659999999999989</v>
      </c>
      <c r="AK23" s="739">
        <f t="shared" si="14"/>
        <v>31.149999999999988</v>
      </c>
      <c r="AL23" s="739">
        <f>AK23+0.48</f>
        <v>31.629999999999988</v>
      </c>
      <c r="AM23" s="739">
        <f t="shared" si="14"/>
        <v>32.11999999999999</v>
      </c>
      <c r="AN23" s="739">
        <f t="shared" si="14"/>
        <v>32.609999999999992</v>
      </c>
      <c r="AO23" s="739">
        <f t="shared" si="14"/>
        <v>33.099999999999994</v>
      </c>
      <c r="AP23" s="739">
        <f t="shared" si="14"/>
        <v>33.589999999999996</v>
      </c>
      <c r="AQ23" s="739">
        <f t="shared" si="14"/>
        <v>34.08</v>
      </c>
      <c r="AR23" s="739">
        <f>AQ23+0.48</f>
        <v>34.559999999999995</v>
      </c>
      <c r="AS23" s="237">
        <v>20.75</v>
      </c>
      <c r="AT23" s="237">
        <v>20.260000000000002</v>
      </c>
      <c r="AU23" s="761">
        <v>24.8</v>
      </c>
      <c r="AV23" s="237">
        <v>19.28</v>
      </c>
      <c r="AW23" s="237">
        <v>18.79</v>
      </c>
    </row>
    <row r="24" spans="1:49" ht="22.5">
      <c r="A24" s="131">
        <v>34.72</v>
      </c>
      <c r="B24" s="122">
        <v>35.450000000000003</v>
      </c>
      <c r="C24" s="123">
        <v>36.18</v>
      </c>
      <c r="D24" s="123">
        <v>36.909999999999997</v>
      </c>
      <c r="E24" s="122">
        <v>37.630000000000003</v>
      </c>
      <c r="F24" s="122">
        <v>38.36</v>
      </c>
      <c r="G24" s="122">
        <v>39.090000000000003</v>
      </c>
      <c r="H24" s="974">
        <v>50.41</v>
      </c>
      <c r="I24" s="237">
        <v>40.549999999999997</v>
      </c>
      <c r="J24" s="237">
        <v>41.27</v>
      </c>
      <c r="K24" s="237">
        <v>42</v>
      </c>
      <c r="L24" s="237">
        <v>42.73</v>
      </c>
      <c r="M24" s="237">
        <v>43.46</v>
      </c>
      <c r="N24" s="237">
        <v>44.19</v>
      </c>
      <c r="O24" s="237">
        <v>44.91</v>
      </c>
      <c r="P24" s="237">
        <v>45.64</v>
      </c>
      <c r="Q24" s="237">
        <v>46.37</v>
      </c>
      <c r="R24" s="237">
        <v>47.1</v>
      </c>
      <c r="S24" s="237">
        <v>33.99</v>
      </c>
      <c r="T24" s="237">
        <v>33.270000000000003</v>
      </c>
      <c r="U24" s="237">
        <v>32.54</v>
      </c>
      <c r="V24" s="237">
        <v>31.81</v>
      </c>
      <c r="W24" s="237">
        <v>31.08</v>
      </c>
      <c r="X24" s="51">
        <v>20</v>
      </c>
      <c r="Y24" s="761">
        <v>26.58</v>
      </c>
      <c r="Z24" s="761">
        <v>27.1</v>
      </c>
      <c r="AA24" s="728">
        <v>27.61</v>
      </c>
      <c r="AB24" s="739">
        <f>AA24+0.52</f>
        <v>28.13</v>
      </c>
      <c r="AC24" s="739">
        <f>AB24+0.51</f>
        <v>28.64</v>
      </c>
      <c r="AD24" s="739">
        <f>AC24+0.51</f>
        <v>29.150000000000002</v>
      </c>
      <c r="AE24" s="739">
        <f>AD24+0.52</f>
        <v>29.67</v>
      </c>
      <c r="AF24" s="739">
        <f>AE24+0.51</f>
        <v>30.180000000000003</v>
      </c>
      <c r="AG24" s="739">
        <f>AF24+0.52</f>
        <v>30.700000000000003</v>
      </c>
      <c r="AH24" s="739">
        <f>AG24+0.51</f>
        <v>31.210000000000004</v>
      </c>
      <c r="AI24" s="739">
        <f>AH24+0.51</f>
        <v>31.720000000000006</v>
      </c>
      <c r="AJ24" s="739">
        <f>AI24+0.52</f>
        <v>32.240000000000009</v>
      </c>
      <c r="AK24" s="739">
        <f>AJ24+0.51</f>
        <v>32.750000000000007</v>
      </c>
      <c r="AL24" s="739">
        <f>AK24+0.52</f>
        <v>33.27000000000001</v>
      </c>
      <c r="AM24" s="739">
        <f>AL24+0.51</f>
        <v>33.780000000000008</v>
      </c>
      <c r="AN24" s="739">
        <f>AM24+0.51</f>
        <v>34.290000000000006</v>
      </c>
      <c r="AO24" s="739">
        <f>AN24+0.52</f>
        <v>34.810000000000009</v>
      </c>
      <c r="AP24" s="739">
        <f>AO24+0.51</f>
        <v>35.320000000000007</v>
      </c>
      <c r="AQ24" s="739">
        <f>AP24+0.52</f>
        <v>35.840000000000011</v>
      </c>
      <c r="AR24" s="739">
        <f>AQ24+0.51</f>
        <v>36.350000000000009</v>
      </c>
      <c r="AS24" s="237">
        <v>21.82</v>
      </c>
      <c r="AT24" s="237">
        <v>21.3</v>
      </c>
      <c r="AU24" s="761">
        <v>26.07</v>
      </c>
      <c r="AV24" s="237">
        <v>20.27</v>
      </c>
      <c r="AW24" s="237">
        <v>19.760000000000002</v>
      </c>
    </row>
    <row r="25" spans="1:49" ht="22.5">
      <c r="A25" s="131">
        <v>36.42</v>
      </c>
      <c r="B25" s="122">
        <v>37.18</v>
      </c>
      <c r="C25" s="123">
        <v>37.950000000000003</v>
      </c>
      <c r="D25" s="123">
        <v>38.71</v>
      </c>
      <c r="E25" s="122">
        <v>39.479999999999997</v>
      </c>
      <c r="F25" s="122">
        <v>40.24</v>
      </c>
      <c r="G25" s="122">
        <v>41.01</v>
      </c>
      <c r="H25" s="974">
        <v>52.86</v>
      </c>
      <c r="I25" s="237">
        <v>42.54</v>
      </c>
      <c r="J25" s="237">
        <v>43.3</v>
      </c>
      <c r="K25" s="237">
        <v>44.06</v>
      </c>
      <c r="L25" s="237">
        <v>44.83</v>
      </c>
      <c r="M25" s="237">
        <v>45.59</v>
      </c>
      <c r="N25" s="237">
        <v>46.36</v>
      </c>
      <c r="O25" s="237">
        <v>47.12</v>
      </c>
      <c r="P25" s="237">
        <v>47.89</v>
      </c>
      <c r="Q25" s="237">
        <v>48.65</v>
      </c>
      <c r="R25" s="237">
        <v>49.41</v>
      </c>
      <c r="S25" s="237">
        <v>35.659999999999997</v>
      </c>
      <c r="T25" s="237">
        <v>34.89</v>
      </c>
      <c r="U25" s="237">
        <v>34.130000000000003</v>
      </c>
      <c r="V25" s="237">
        <v>33.36</v>
      </c>
      <c r="W25" s="237">
        <v>32.6</v>
      </c>
      <c r="X25" s="51">
        <v>21</v>
      </c>
      <c r="Y25" s="761">
        <v>27.88</v>
      </c>
      <c r="Z25" s="761">
        <v>28.42</v>
      </c>
      <c r="AA25" s="728">
        <v>28.96</v>
      </c>
      <c r="AB25" s="739">
        <v>29.5</v>
      </c>
      <c r="AC25" s="745">
        <v>30.04</v>
      </c>
      <c r="AD25" s="739">
        <v>30.58</v>
      </c>
      <c r="AE25" s="739">
        <v>31.12</v>
      </c>
      <c r="AF25" s="739">
        <v>31.66</v>
      </c>
      <c r="AG25" s="739">
        <v>32.200000000000003</v>
      </c>
      <c r="AH25" s="785">
        <v>32.74</v>
      </c>
      <c r="AI25" s="237">
        <v>27.75</v>
      </c>
      <c r="AJ25" s="237">
        <v>28.29</v>
      </c>
      <c r="AK25" s="237">
        <v>28.83</v>
      </c>
      <c r="AL25" s="237">
        <v>29.37</v>
      </c>
      <c r="AM25" s="237">
        <v>29.9</v>
      </c>
      <c r="AN25" s="237">
        <v>30.44</v>
      </c>
      <c r="AO25" s="237">
        <v>30.98</v>
      </c>
      <c r="AP25" s="237">
        <v>31.52</v>
      </c>
      <c r="AQ25" s="237">
        <v>32.06</v>
      </c>
      <c r="AR25" s="237">
        <v>32.6</v>
      </c>
      <c r="AS25" s="237">
        <v>22.89</v>
      </c>
      <c r="AT25" s="237">
        <v>22.35</v>
      </c>
      <c r="AU25" s="761">
        <v>27.34</v>
      </c>
      <c r="AV25" s="237">
        <v>21.27</v>
      </c>
      <c r="AW25" s="237">
        <v>20.73</v>
      </c>
    </row>
    <row r="26" spans="1:49" ht="22.5">
      <c r="A26" s="131">
        <v>38.119999999999997</v>
      </c>
      <c r="B26" s="122">
        <v>38.92</v>
      </c>
      <c r="C26" s="123">
        <v>39.72</v>
      </c>
      <c r="D26" s="123">
        <v>40.53</v>
      </c>
      <c r="E26" s="122">
        <v>41.33</v>
      </c>
      <c r="F26" s="122">
        <v>42.13</v>
      </c>
      <c r="G26" s="122">
        <v>42.93</v>
      </c>
      <c r="H26" s="974">
        <v>55.33</v>
      </c>
      <c r="I26" s="237">
        <v>44.53</v>
      </c>
      <c r="J26" s="237">
        <v>45.33</v>
      </c>
      <c r="K26" s="237">
        <v>46.13</v>
      </c>
      <c r="L26" s="237">
        <v>46.93</v>
      </c>
      <c r="M26" s="237">
        <v>47.73</v>
      </c>
      <c r="N26" s="237">
        <v>48.53</v>
      </c>
      <c r="O26" s="237">
        <v>49.33</v>
      </c>
      <c r="P26" s="237">
        <v>50.14</v>
      </c>
      <c r="Q26" s="237">
        <v>50.94</v>
      </c>
      <c r="R26" s="237">
        <v>51.74</v>
      </c>
      <c r="S26" s="237">
        <v>37.32</v>
      </c>
      <c r="T26" s="237">
        <v>36.520000000000003</v>
      </c>
      <c r="U26" s="237">
        <v>35.72</v>
      </c>
      <c r="V26" s="237">
        <v>34.92</v>
      </c>
      <c r="W26" s="237">
        <v>34.119999999999997</v>
      </c>
      <c r="X26" s="51">
        <v>22</v>
      </c>
      <c r="Y26" s="761">
        <v>29.18</v>
      </c>
      <c r="Z26" s="761">
        <v>29.75</v>
      </c>
      <c r="AA26" s="728">
        <v>30.31</v>
      </c>
      <c r="AB26" s="739">
        <v>30.88</v>
      </c>
      <c r="AC26" s="745">
        <v>31.44</v>
      </c>
      <c r="AD26" s="739">
        <f>AD25+1.43</f>
        <v>32.01</v>
      </c>
      <c r="AE26" s="739">
        <v>32.57</v>
      </c>
      <c r="AF26" s="739">
        <v>33.14</v>
      </c>
      <c r="AG26" s="739">
        <v>33.700000000000003</v>
      </c>
      <c r="AH26" s="785">
        <v>32.270000000000003</v>
      </c>
      <c r="AI26" s="237">
        <v>29.05</v>
      </c>
      <c r="AJ26" s="237">
        <v>29.61</v>
      </c>
      <c r="AK26" s="237">
        <v>30.18</v>
      </c>
      <c r="AL26" s="237">
        <v>30.74</v>
      </c>
      <c r="AM26" s="237">
        <v>31.31</v>
      </c>
      <c r="AN26" s="237">
        <v>31.87</v>
      </c>
      <c r="AO26" s="237">
        <v>32.44</v>
      </c>
      <c r="AP26" s="237">
        <v>33.01</v>
      </c>
      <c r="AQ26" s="237">
        <v>33.57</v>
      </c>
      <c r="AR26" s="237">
        <v>34.14</v>
      </c>
      <c r="AS26" s="237">
        <v>23.96</v>
      </c>
      <c r="AT26" s="237">
        <v>23.39</v>
      </c>
      <c r="AU26" s="761">
        <v>28.61</v>
      </c>
      <c r="AV26" s="237">
        <v>22.26</v>
      </c>
      <c r="AW26" s="237">
        <v>21.7</v>
      </c>
    </row>
    <row r="27" spans="1:49" ht="22.5">
      <c r="A27" s="131">
        <v>39.82</v>
      </c>
      <c r="B27" s="122">
        <v>40.659999999999997</v>
      </c>
      <c r="C27" s="123">
        <v>41.49</v>
      </c>
      <c r="D27" s="123">
        <v>42.33</v>
      </c>
      <c r="E27" s="122">
        <v>43.17</v>
      </c>
      <c r="F27" s="122">
        <v>44</v>
      </c>
      <c r="G27" s="122">
        <v>44.84</v>
      </c>
      <c r="H27" s="974">
        <v>57.78</v>
      </c>
      <c r="I27" s="237">
        <v>46.52</v>
      </c>
      <c r="J27" s="237">
        <v>47.35</v>
      </c>
      <c r="K27" s="237">
        <v>48.19</v>
      </c>
      <c r="L27" s="237">
        <v>49.03</v>
      </c>
      <c r="M27" s="237">
        <v>49.86</v>
      </c>
      <c r="N27" s="237">
        <v>50.7</v>
      </c>
      <c r="O27" s="237">
        <v>51.54</v>
      </c>
      <c r="P27" s="237">
        <v>52.38</v>
      </c>
      <c r="Q27" s="237">
        <v>53.21</v>
      </c>
      <c r="R27" s="237">
        <v>54.05</v>
      </c>
      <c r="S27" s="237">
        <v>38.979999999999997</v>
      </c>
      <c r="T27" s="237">
        <v>38.14</v>
      </c>
      <c r="U27" s="237">
        <v>37.31</v>
      </c>
      <c r="V27" s="237">
        <v>36.47</v>
      </c>
      <c r="W27" s="237">
        <v>35.630000000000003</v>
      </c>
      <c r="X27" s="51">
        <v>23</v>
      </c>
      <c r="Y27" s="761">
        <v>30.48</v>
      </c>
      <c r="Z27" s="761">
        <v>31.07</v>
      </c>
      <c r="AA27" s="728">
        <v>31.66</v>
      </c>
      <c r="AB27" s="739">
        <v>32.25</v>
      </c>
      <c r="AC27" s="745">
        <v>32.85</v>
      </c>
      <c r="AD27" s="739">
        <f>AD26+1.43</f>
        <v>33.44</v>
      </c>
      <c r="AE27" s="739">
        <v>34.03</v>
      </c>
      <c r="AF27" s="739">
        <v>34.619999999999997</v>
      </c>
      <c r="AG27" s="739">
        <v>35.21</v>
      </c>
      <c r="AH27" s="785">
        <v>35.799999999999997</v>
      </c>
      <c r="AI27" s="237">
        <v>30.35</v>
      </c>
      <c r="AJ27" s="237">
        <v>30.94</v>
      </c>
      <c r="AK27" s="237">
        <v>31.53</v>
      </c>
      <c r="AL27" s="237">
        <v>32.130000000000003</v>
      </c>
      <c r="AM27" s="237">
        <v>32.72</v>
      </c>
      <c r="AN27" s="237">
        <v>33.31</v>
      </c>
      <c r="AO27" s="237">
        <v>33.9</v>
      </c>
      <c r="AP27" s="237">
        <v>34.49</v>
      </c>
      <c r="AQ27" s="237">
        <v>35.08</v>
      </c>
      <c r="AR27" s="237">
        <v>35.67</v>
      </c>
      <c r="AS27" s="237">
        <v>25.03</v>
      </c>
      <c r="AT27" s="237">
        <v>24.44</v>
      </c>
      <c r="AU27" s="761">
        <v>29.89</v>
      </c>
      <c r="AV27" s="237">
        <v>23.26</v>
      </c>
      <c r="AW27" s="237">
        <v>22.67</v>
      </c>
    </row>
    <row r="28" spans="1:49" ht="22.5">
      <c r="A28" s="131">
        <v>41.52</v>
      </c>
      <c r="B28" s="122">
        <v>42.39</v>
      </c>
      <c r="C28" s="123">
        <v>43.27</v>
      </c>
      <c r="D28" s="123">
        <v>44.14</v>
      </c>
      <c r="E28" s="122">
        <v>45.01</v>
      </c>
      <c r="F28" s="122">
        <v>45.89</v>
      </c>
      <c r="G28" s="122">
        <v>46.76</v>
      </c>
      <c r="H28" s="974">
        <v>60.24</v>
      </c>
      <c r="I28" s="237">
        <v>48.51</v>
      </c>
      <c r="J28" s="237">
        <v>49.38</v>
      </c>
      <c r="K28" s="237">
        <v>50.26</v>
      </c>
      <c r="L28" s="237">
        <v>51.13</v>
      </c>
      <c r="M28" s="237">
        <v>52</v>
      </c>
      <c r="N28" s="237">
        <v>52.88</v>
      </c>
      <c r="O28" s="237">
        <v>53.75</v>
      </c>
      <c r="P28" s="237">
        <v>54.62</v>
      </c>
      <c r="Q28" s="237">
        <v>55.5</v>
      </c>
      <c r="R28" s="237">
        <v>56.37</v>
      </c>
      <c r="S28" s="237">
        <v>40.65</v>
      </c>
      <c r="T28" s="237">
        <v>39.770000000000003</v>
      </c>
      <c r="U28" s="237">
        <v>38.9</v>
      </c>
      <c r="V28" s="237">
        <v>38.03</v>
      </c>
      <c r="W28" s="237">
        <v>37.15</v>
      </c>
      <c r="X28" s="51">
        <v>24</v>
      </c>
      <c r="Y28" s="761">
        <v>31.78</v>
      </c>
      <c r="Z28" s="761">
        <v>32.39</v>
      </c>
      <c r="AA28" s="728">
        <v>33.01</v>
      </c>
      <c r="AB28" s="739">
        <v>33.630000000000003</v>
      </c>
      <c r="AC28" s="745">
        <v>34.24</v>
      </c>
      <c r="AD28" s="739">
        <f>AD27+1.42</f>
        <v>34.86</v>
      </c>
      <c r="AE28" s="739">
        <v>35.479999999999997</v>
      </c>
      <c r="AF28" s="739">
        <v>36.090000000000003</v>
      </c>
      <c r="AG28" s="783">
        <v>36.71</v>
      </c>
      <c r="AH28" s="785">
        <v>37.33</v>
      </c>
      <c r="AI28" s="237">
        <v>31.65</v>
      </c>
      <c r="AJ28" s="237" t="s">
        <v>710</v>
      </c>
      <c r="AK28" s="237">
        <v>32.89</v>
      </c>
      <c r="AL28" s="237">
        <v>33.5</v>
      </c>
      <c r="AM28" s="237">
        <v>34.119999999999997</v>
      </c>
      <c r="AN28" s="237">
        <v>34.74</v>
      </c>
      <c r="AO28" s="237">
        <v>35.35</v>
      </c>
      <c r="AP28" s="237">
        <v>35.97</v>
      </c>
      <c r="AQ28" s="237">
        <v>36.590000000000003</v>
      </c>
      <c r="AR28" s="237">
        <v>37.200000000000003</v>
      </c>
      <c r="AS28" s="237">
        <v>26.1</v>
      </c>
      <c r="AT28" s="237">
        <v>25.49</v>
      </c>
      <c r="AU28" s="761">
        <v>31.16</v>
      </c>
      <c r="AV28" s="237">
        <v>24.25</v>
      </c>
      <c r="AW28" s="237">
        <v>23.63</v>
      </c>
    </row>
    <row r="29" spans="1:49" ht="22.5">
      <c r="A29" s="131">
        <v>43.22</v>
      </c>
      <c r="B29" s="122">
        <v>44.13</v>
      </c>
      <c r="C29" s="123">
        <v>45.04</v>
      </c>
      <c r="D29" s="123">
        <v>45.95</v>
      </c>
      <c r="E29" s="122">
        <v>46.86</v>
      </c>
      <c r="F29" s="122">
        <v>47.77</v>
      </c>
      <c r="G29" s="122">
        <v>48.68</v>
      </c>
      <c r="H29" s="974">
        <v>62.7</v>
      </c>
      <c r="I29" s="237">
        <v>50.5</v>
      </c>
      <c r="J29" s="237">
        <v>51.41</v>
      </c>
      <c r="K29" s="237">
        <v>52.32</v>
      </c>
      <c r="L29" s="237">
        <v>53.23</v>
      </c>
      <c r="M29" s="237">
        <v>54.14</v>
      </c>
      <c r="N29" s="237">
        <v>55.05</v>
      </c>
      <c r="O29" s="237">
        <v>55.96</v>
      </c>
      <c r="P29" s="237">
        <v>56.87</v>
      </c>
      <c r="Q29" s="237">
        <v>57.78</v>
      </c>
      <c r="R29" s="237">
        <v>58.69</v>
      </c>
      <c r="S29" s="237">
        <v>42.31</v>
      </c>
      <c r="T29" s="237">
        <v>41.4</v>
      </c>
      <c r="U29" s="237">
        <v>40.49</v>
      </c>
      <c r="V29" s="237">
        <v>39.58</v>
      </c>
      <c r="W29" s="237">
        <v>38.67</v>
      </c>
      <c r="X29" s="51">
        <v>25</v>
      </c>
      <c r="Y29" s="761">
        <v>33.08</v>
      </c>
      <c r="Z29" s="761">
        <v>33.72</v>
      </c>
      <c r="AA29" s="728">
        <v>34.36</v>
      </c>
      <c r="AB29" s="739">
        <v>35</v>
      </c>
      <c r="AC29" s="745">
        <v>35.65</v>
      </c>
      <c r="AD29" s="739">
        <f>AD28+1.43</f>
        <v>36.29</v>
      </c>
      <c r="AE29" s="739">
        <v>36.93</v>
      </c>
      <c r="AF29" s="739">
        <v>37.57</v>
      </c>
      <c r="AG29" s="783">
        <v>38.22</v>
      </c>
      <c r="AH29" s="785">
        <v>38.86</v>
      </c>
      <c r="AI29" s="237">
        <v>32.96</v>
      </c>
      <c r="AJ29" s="237">
        <v>33.6</v>
      </c>
      <c r="AK29" s="237">
        <v>34.24</v>
      </c>
      <c r="AL29" s="237">
        <v>34.880000000000003</v>
      </c>
      <c r="AM29" s="237">
        <v>35.53</v>
      </c>
      <c r="AN29" s="237">
        <v>36.17</v>
      </c>
      <c r="AO29" s="237">
        <v>36.81</v>
      </c>
      <c r="AP29" s="237">
        <v>37.450000000000003</v>
      </c>
      <c r="AQ29" s="237">
        <v>38.1</v>
      </c>
      <c r="AR29" s="237">
        <v>38.74</v>
      </c>
      <c r="AS29" s="237">
        <v>27.17</v>
      </c>
      <c r="AT29" s="237">
        <v>26.53</v>
      </c>
      <c r="AU29" s="761">
        <v>32.43</v>
      </c>
      <c r="AV29" s="237">
        <v>25.25</v>
      </c>
      <c r="AW29" s="237">
        <v>24.6</v>
      </c>
    </row>
    <row r="30" spans="1:49" ht="22.5">
      <c r="A30" s="131">
        <v>44.92</v>
      </c>
      <c r="B30" s="122">
        <v>45.87</v>
      </c>
      <c r="C30" s="123">
        <v>46.81</v>
      </c>
      <c r="D30" s="123">
        <v>47.76</v>
      </c>
      <c r="E30" s="122">
        <v>48.71</v>
      </c>
      <c r="F30" s="122">
        <v>49.65</v>
      </c>
      <c r="G30" s="122">
        <v>50.6</v>
      </c>
      <c r="H30" s="974">
        <v>65.150000000000006</v>
      </c>
      <c r="I30" s="237">
        <v>52.49</v>
      </c>
      <c r="J30" s="237">
        <v>53.44</v>
      </c>
      <c r="K30" s="237">
        <v>54.38</v>
      </c>
      <c r="L30" s="237">
        <v>55.33</v>
      </c>
      <c r="M30" s="237">
        <v>56.28</v>
      </c>
      <c r="N30" s="237">
        <v>57.22</v>
      </c>
      <c r="O30" s="237">
        <v>58.17</v>
      </c>
      <c r="P30" s="237">
        <v>59.12</v>
      </c>
      <c r="Q30" s="237">
        <v>60.06</v>
      </c>
      <c r="R30" s="237">
        <v>61.01</v>
      </c>
      <c r="S30" s="237">
        <v>43.97</v>
      </c>
      <c r="T30" s="237">
        <v>43.03</v>
      </c>
      <c r="U30" s="237">
        <v>42.08</v>
      </c>
      <c r="V30" s="237">
        <v>41.13</v>
      </c>
      <c r="W30" s="237">
        <v>40.19</v>
      </c>
      <c r="X30" s="51">
        <v>26</v>
      </c>
      <c r="Y30" s="761">
        <v>34.369999999999997</v>
      </c>
      <c r="Z30" s="761">
        <v>35.04</v>
      </c>
      <c r="AA30" s="728">
        <v>35.71</v>
      </c>
      <c r="AB30" s="739">
        <v>36.380000000000003</v>
      </c>
      <c r="AC30" s="745">
        <v>37.04</v>
      </c>
      <c r="AD30" s="739">
        <f>AD29+1.42</f>
        <v>37.71</v>
      </c>
      <c r="AE30" s="739">
        <v>38.380000000000003</v>
      </c>
      <c r="AF30" s="739">
        <v>39.049999999999997</v>
      </c>
      <c r="AG30" s="783">
        <v>39.72</v>
      </c>
      <c r="AH30" s="785">
        <v>40.39</v>
      </c>
      <c r="AI30" s="237">
        <v>34.26</v>
      </c>
      <c r="AJ30" s="237">
        <v>34.93</v>
      </c>
      <c r="AK30" s="237">
        <v>35.590000000000003</v>
      </c>
      <c r="AL30" s="237">
        <v>36.26</v>
      </c>
      <c r="AM30" s="237">
        <v>36.93</v>
      </c>
      <c r="AN30" s="237">
        <v>37.6</v>
      </c>
      <c r="AO30" s="237">
        <v>38.270000000000003</v>
      </c>
      <c r="AP30" s="237">
        <v>38.94</v>
      </c>
      <c r="AQ30" s="237">
        <v>39.6</v>
      </c>
      <c r="AR30" s="237">
        <v>40.270000000000003</v>
      </c>
      <c r="AS30" s="237">
        <v>28.24</v>
      </c>
      <c r="AT30" s="237">
        <v>27.58</v>
      </c>
      <c r="AU30" s="761">
        <v>33.700000000000003</v>
      </c>
      <c r="AV30" s="237">
        <v>26.24</v>
      </c>
      <c r="AW30" s="237">
        <v>25.57</v>
      </c>
    </row>
    <row r="31" spans="1:49" ht="22.5">
      <c r="A31" s="131">
        <v>46.62</v>
      </c>
      <c r="B31" s="122">
        <v>47.6</v>
      </c>
      <c r="C31" s="123">
        <v>48.59</v>
      </c>
      <c r="D31" s="123">
        <v>49.57</v>
      </c>
      <c r="E31" s="122">
        <v>50.55</v>
      </c>
      <c r="F31" s="122">
        <v>51.53</v>
      </c>
      <c r="G31" s="122">
        <v>52.52</v>
      </c>
      <c r="H31" s="974">
        <v>67.61</v>
      </c>
      <c r="I31" s="237">
        <v>54.48</v>
      </c>
      <c r="J31" s="237">
        <v>55.47</v>
      </c>
      <c r="K31" s="237">
        <v>56.45</v>
      </c>
      <c r="L31" s="237">
        <v>57.43</v>
      </c>
      <c r="M31" s="237">
        <v>58.41</v>
      </c>
      <c r="N31" s="237">
        <v>59.4</v>
      </c>
      <c r="O31" s="237">
        <v>60.38</v>
      </c>
      <c r="P31" s="237">
        <v>61.36</v>
      </c>
      <c r="Q31" s="237">
        <v>62.35</v>
      </c>
      <c r="R31" s="237">
        <v>63.33</v>
      </c>
      <c r="S31" s="237">
        <v>45.64</v>
      </c>
      <c r="T31" s="237">
        <v>44.65</v>
      </c>
      <c r="U31" s="237">
        <v>43.67</v>
      </c>
      <c r="V31" s="237">
        <v>42.69</v>
      </c>
      <c r="W31" s="237">
        <v>41.71</v>
      </c>
      <c r="X31" s="51">
        <v>27</v>
      </c>
      <c r="Y31" s="761">
        <v>35.67</v>
      </c>
      <c r="Z31" s="761">
        <v>36.36</v>
      </c>
      <c r="AA31" s="728">
        <v>37.06</v>
      </c>
      <c r="AB31" s="739">
        <v>37.75</v>
      </c>
      <c r="AC31" s="745">
        <v>38.450000000000003</v>
      </c>
      <c r="AD31" s="739">
        <f>AD30+1.43</f>
        <v>39.14</v>
      </c>
      <c r="AE31" s="739">
        <v>39.83</v>
      </c>
      <c r="AF31" s="739">
        <v>40.53</v>
      </c>
      <c r="AG31" s="783">
        <v>41.22</v>
      </c>
      <c r="AH31" s="785">
        <v>41.92</v>
      </c>
      <c r="AI31" s="237">
        <v>35.56</v>
      </c>
      <c r="AJ31" s="237">
        <v>36.26</v>
      </c>
      <c r="AK31" s="237">
        <v>36.950000000000003</v>
      </c>
      <c r="AL31" s="237">
        <v>37.64</v>
      </c>
      <c r="AM31" s="237">
        <v>38.93</v>
      </c>
      <c r="AN31" s="237">
        <v>39.03</v>
      </c>
      <c r="AO31" s="237">
        <v>39.72</v>
      </c>
      <c r="AP31" s="237">
        <v>40.42</v>
      </c>
      <c r="AQ31" s="237">
        <v>41.11</v>
      </c>
      <c r="AR31" s="237">
        <v>41.81</v>
      </c>
      <c r="AS31" s="237">
        <v>29.32</v>
      </c>
      <c r="AT31" s="237">
        <v>28.62</v>
      </c>
      <c r="AU31" s="761">
        <v>34.979999999999997</v>
      </c>
      <c r="AV31" s="237">
        <v>27.23</v>
      </c>
      <c r="AW31" s="237">
        <v>26.54</v>
      </c>
    </row>
    <row r="32" spans="1:49" ht="22.5">
      <c r="A32" s="131">
        <v>48.32</v>
      </c>
      <c r="B32" s="122">
        <v>49.34</v>
      </c>
      <c r="C32" s="123">
        <v>50.36</v>
      </c>
      <c r="D32" s="123">
        <v>51.38</v>
      </c>
      <c r="E32" s="122">
        <v>52.4</v>
      </c>
      <c r="F32" s="122">
        <v>53.42</v>
      </c>
      <c r="G32" s="122">
        <v>54.44</v>
      </c>
      <c r="H32" s="974">
        <v>70.069999999999993</v>
      </c>
      <c r="I32" s="237">
        <v>56.47</v>
      </c>
      <c r="J32" s="237">
        <v>57.49</v>
      </c>
      <c r="K32" s="237">
        <v>58.51</v>
      </c>
      <c r="L32" s="237">
        <v>59.53</v>
      </c>
      <c r="M32" s="237">
        <v>60.55</v>
      </c>
      <c r="N32" s="237">
        <v>61.57</v>
      </c>
      <c r="O32" s="237">
        <v>62.59</v>
      </c>
      <c r="P32" s="237">
        <v>63.61</v>
      </c>
      <c r="Q32" s="237">
        <v>64.63</v>
      </c>
      <c r="R32" s="237">
        <v>65.650000000000006</v>
      </c>
      <c r="S32" s="237">
        <v>47.3</v>
      </c>
      <c r="T32" s="237">
        <v>46.28</v>
      </c>
      <c r="U32" s="237">
        <v>45.26</v>
      </c>
      <c r="V32" s="237">
        <v>44.24</v>
      </c>
      <c r="W32" s="237">
        <v>43.23</v>
      </c>
      <c r="X32" s="51">
        <v>28</v>
      </c>
      <c r="Y32" s="761">
        <v>36.97</v>
      </c>
      <c r="Z32" s="761">
        <v>37.69</v>
      </c>
      <c r="AA32" s="728">
        <v>38.409999999999997</v>
      </c>
      <c r="AB32" s="739">
        <v>39.130000000000003</v>
      </c>
      <c r="AC32" s="745">
        <v>39.85</v>
      </c>
      <c r="AD32" s="739">
        <f>AD31+1.43</f>
        <v>40.57</v>
      </c>
      <c r="AE32" s="739">
        <v>41.29</v>
      </c>
      <c r="AF32" s="739">
        <v>42.01</v>
      </c>
      <c r="AG32" s="783">
        <v>42.73</v>
      </c>
      <c r="AH32" s="785">
        <v>43.45</v>
      </c>
      <c r="AI32" s="237">
        <v>36.869999999999997</v>
      </c>
      <c r="AJ32" s="237">
        <v>37.590000000000003</v>
      </c>
      <c r="AK32" s="237">
        <v>38.31</v>
      </c>
      <c r="AL32" s="237">
        <v>39.020000000000003</v>
      </c>
      <c r="AM32" s="237">
        <v>39.74</v>
      </c>
      <c r="AN32" s="237">
        <v>40.46</v>
      </c>
      <c r="AO32" s="237">
        <v>41.18</v>
      </c>
      <c r="AP32" s="237">
        <v>41.9</v>
      </c>
      <c r="AQ32" s="237">
        <v>42.62</v>
      </c>
      <c r="AR32" s="237">
        <v>43.34</v>
      </c>
      <c r="AS32" s="237">
        <v>30.39</v>
      </c>
      <c r="AT32" s="237">
        <v>29.67</v>
      </c>
      <c r="AU32" s="761">
        <v>36.25</v>
      </c>
      <c r="AV32" s="237">
        <v>28.23</v>
      </c>
      <c r="AW32" s="237">
        <v>27.51</v>
      </c>
    </row>
    <row r="33" spans="1:49" ht="22.5">
      <c r="A33" s="131">
        <v>50.01</v>
      </c>
      <c r="B33" s="122">
        <v>51.07</v>
      </c>
      <c r="C33" s="123">
        <v>52.12</v>
      </c>
      <c r="D33" s="123">
        <v>53.18</v>
      </c>
      <c r="E33" s="122">
        <v>54.23</v>
      </c>
      <c r="F33" s="122">
        <v>55.29</v>
      </c>
      <c r="G33" s="122">
        <v>56.35</v>
      </c>
      <c r="H33" s="974">
        <v>72.52</v>
      </c>
      <c r="I33" s="237">
        <v>58.46</v>
      </c>
      <c r="J33" s="237">
        <v>59.51</v>
      </c>
      <c r="K33" s="237">
        <v>60.57</v>
      </c>
      <c r="L33" s="237">
        <v>61.62</v>
      </c>
      <c r="M33" s="237">
        <v>62.68</v>
      </c>
      <c r="N33" s="237">
        <v>63.73</v>
      </c>
      <c r="O33" s="237">
        <v>64.790000000000006</v>
      </c>
      <c r="P33" s="237">
        <v>65.849999999999994</v>
      </c>
      <c r="Q33" s="237">
        <v>66.900000000000006</v>
      </c>
      <c r="R33" s="237">
        <v>67.959999999999994</v>
      </c>
      <c r="S33" s="237">
        <v>48.96</v>
      </c>
      <c r="T33" s="237">
        <v>47.9</v>
      </c>
      <c r="U33" s="237">
        <v>46.85</v>
      </c>
      <c r="V33" s="237">
        <v>45.79</v>
      </c>
      <c r="W33" s="237">
        <v>44.73</v>
      </c>
      <c r="X33" s="51">
        <v>29</v>
      </c>
      <c r="Y33" s="761">
        <v>38.270000000000003</v>
      </c>
      <c r="Z33" s="761">
        <v>39.01</v>
      </c>
      <c r="AA33" s="728">
        <v>39.76</v>
      </c>
      <c r="AB33" s="739">
        <v>40.5</v>
      </c>
      <c r="AC33" s="745">
        <v>41.25</v>
      </c>
      <c r="AD33" s="739">
        <f>AD32+1.42</f>
        <v>41.99</v>
      </c>
      <c r="AE33" s="739">
        <v>42.74</v>
      </c>
      <c r="AF33" s="739">
        <v>43.48</v>
      </c>
      <c r="AG33" s="783">
        <v>44.23</v>
      </c>
      <c r="AH33" s="785">
        <v>44.97</v>
      </c>
      <c r="AI33" s="237">
        <v>38.17</v>
      </c>
      <c r="AJ33" s="237">
        <v>38.909999999999997</v>
      </c>
      <c r="AK33" s="237">
        <v>39.659999999999997</v>
      </c>
      <c r="AL33" s="237">
        <v>40.4</v>
      </c>
      <c r="AM33" s="237">
        <v>41.15</v>
      </c>
      <c r="AN33" s="237">
        <v>41.89</v>
      </c>
      <c r="AO33" s="237">
        <v>42.64</v>
      </c>
      <c r="AP33" s="237">
        <v>43.38</v>
      </c>
      <c r="AQ33" s="237">
        <v>44.13</v>
      </c>
      <c r="AR33" s="237">
        <v>44.87</v>
      </c>
      <c r="AS33" s="237">
        <v>31.46</v>
      </c>
      <c r="AT33" s="237">
        <v>30.71</v>
      </c>
      <c r="AU33" s="761">
        <v>37.520000000000003</v>
      </c>
      <c r="AV33" s="237">
        <v>29.22</v>
      </c>
      <c r="AW33" s="237">
        <v>28.48</v>
      </c>
    </row>
    <row r="34" spans="1:49" ht="22.5">
      <c r="A34" s="131">
        <v>51.72</v>
      </c>
      <c r="B34" s="122">
        <v>52.81</v>
      </c>
      <c r="C34" s="123">
        <v>53.9</v>
      </c>
      <c r="D34" s="123">
        <v>54.99</v>
      </c>
      <c r="E34" s="122">
        <v>56.09</v>
      </c>
      <c r="F34" s="122">
        <v>57.18</v>
      </c>
      <c r="G34" s="122">
        <v>58.27</v>
      </c>
      <c r="H34" s="974">
        <v>74.989999999999995</v>
      </c>
      <c r="I34" s="237">
        <v>60.45</v>
      </c>
      <c r="J34" s="237">
        <v>61.55</v>
      </c>
      <c r="K34" s="237">
        <v>62.64</v>
      </c>
      <c r="L34" s="237">
        <v>63.73</v>
      </c>
      <c r="M34" s="237">
        <v>64.819999999999993</v>
      </c>
      <c r="N34" s="237">
        <v>65.91</v>
      </c>
      <c r="O34" s="237">
        <v>67.010000000000005</v>
      </c>
      <c r="P34" s="237">
        <v>68.099999999999994</v>
      </c>
      <c r="Q34" s="237">
        <v>69.19</v>
      </c>
      <c r="R34" s="237">
        <v>70.28</v>
      </c>
      <c r="S34" s="237">
        <v>50.63</v>
      </c>
      <c r="T34" s="237">
        <v>49.53</v>
      </c>
      <c r="U34" s="237">
        <v>48.44</v>
      </c>
      <c r="V34" s="237">
        <v>47.35</v>
      </c>
      <c r="W34" s="237">
        <v>46.26</v>
      </c>
      <c r="X34" s="51">
        <v>30</v>
      </c>
      <c r="Y34" s="761">
        <v>39.57</v>
      </c>
      <c r="Z34" s="761">
        <v>40.340000000000003</v>
      </c>
      <c r="AA34" s="728">
        <v>41.11</v>
      </c>
      <c r="AB34" s="739">
        <v>41.88</v>
      </c>
      <c r="AC34" s="745">
        <v>42.65</v>
      </c>
      <c r="AD34" s="739">
        <f>AD33+1.43</f>
        <v>43.42</v>
      </c>
      <c r="AE34" s="739">
        <v>44.19</v>
      </c>
      <c r="AF34" s="739">
        <v>44.96</v>
      </c>
      <c r="AG34" s="783">
        <v>45.74</v>
      </c>
      <c r="AH34" s="785">
        <v>46.51</v>
      </c>
      <c r="AI34" s="237">
        <v>39.47</v>
      </c>
      <c r="AJ34" s="237">
        <v>40.24</v>
      </c>
      <c r="AK34" s="237">
        <v>41.01</v>
      </c>
      <c r="AL34" s="237">
        <v>41.78</v>
      </c>
      <c r="AM34" s="237">
        <v>42.55</v>
      </c>
      <c r="AN34" s="237">
        <v>43.33</v>
      </c>
      <c r="AO34" s="237">
        <v>44.1</v>
      </c>
      <c r="AP34" s="237">
        <v>44.87</v>
      </c>
      <c r="AQ34" s="237">
        <v>45.64</v>
      </c>
      <c r="AR34" s="237">
        <v>46.41</v>
      </c>
      <c r="AS34" s="237">
        <v>32.53</v>
      </c>
      <c r="AT34" s="237">
        <v>31.76</v>
      </c>
      <c r="AU34" s="761">
        <v>38.799999999999997</v>
      </c>
      <c r="AV34" s="237">
        <v>30.22</v>
      </c>
      <c r="AW34" s="237">
        <v>29.45</v>
      </c>
    </row>
    <row r="35" spans="1:49" ht="22.5">
      <c r="A35" s="131">
        <v>53.41</v>
      </c>
      <c r="B35" s="122">
        <v>54.54</v>
      </c>
      <c r="C35" s="123">
        <v>55.67</v>
      </c>
      <c r="D35" s="123">
        <v>56.8</v>
      </c>
      <c r="E35" s="122">
        <v>57.92</v>
      </c>
      <c r="F35" s="122">
        <v>59.05</v>
      </c>
      <c r="G35" s="122">
        <v>60.18</v>
      </c>
      <c r="H35" s="974">
        <v>77.430000000000007</v>
      </c>
      <c r="I35" s="237">
        <v>62.44</v>
      </c>
      <c r="J35" s="237">
        <v>63.57</v>
      </c>
      <c r="K35" s="237">
        <v>64.69</v>
      </c>
      <c r="L35" s="237">
        <v>65.819999999999993</v>
      </c>
      <c r="M35" s="237">
        <v>66.95</v>
      </c>
      <c r="N35" s="237">
        <v>68.08</v>
      </c>
      <c r="O35" s="237">
        <v>69.209999999999994</v>
      </c>
      <c r="P35" s="237">
        <v>70.34</v>
      </c>
      <c r="Q35" s="237">
        <v>71.47</v>
      </c>
      <c r="R35" s="237">
        <v>72.59</v>
      </c>
      <c r="S35" s="237">
        <v>52.28</v>
      </c>
      <c r="T35" s="237">
        <v>51.15</v>
      </c>
      <c r="U35" s="237">
        <v>50.03</v>
      </c>
      <c r="V35" s="237">
        <v>48.9</v>
      </c>
      <c r="W35" s="237">
        <v>47.77</v>
      </c>
      <c r="X35" s="51">
        <v>31</v>
      </c>
      <c r="Y35" s="761">
        <v>40.86</v>
      </c>
      <c r="Z35" s="761">
        <v>41.66</v>
      </c>
      <c r="AA35" s="728">
        <v>42.46</v>
      </c>
      <c r="AB35" s="739">
        <v>43.25</v>
      </c>
      <c r="AC35" s="745">
        <v>44.05</v>
      </c>
      <c r="AD35" s="739">
        <f>AD34+1.43</f>
        <v>44.85</v>
      </c>
      <c r="AE35" s="739">
        <v>45.64</v>
      </c>
      <c r="AF35" s="739">
        <v>46.44</v>
      </c>
      <c r="AG35" s="783">
        <v>47.24</v>
      </c>
      <c r="AH35" s="785">
        <v>48.03</v>
      </c>
      <c r="AI35" s="237">
        <v>40.770000000000003</v>
      </c>
      <c r="AJ35" s="237">
        <v>41.57</v>
      </c>
      <c r="AK35" s="237">
        <v>42.37</v>
      </c>
      <c r="AL35" s="237">
        <v>43.16</v>
      </c>
      <c r="AM35" s="237">
        <v>43.96</v>
      </c>
      <c r="AN35" s="237">
        <v>44.76</v>
      </c>
      <c r="AO35" s="237">
        <v>45.55</v>
      </c>
      <c r="AP35" s="237">
        <v>46.35</v>
      </c>
      <c r="AQ35" s="237">
        <v>47.15</v>
      </c>
      <c r="AR35" s="237">
        <v>47.94</v>
      </c>
      <c r="AS35" s="237">
        <v>33.6</v>
      </c>
      <c r="AT35" s="237">
        <v>32.81</v>
      </c>
      <c r="AU35" s="761">
        <v>40.07</v>
      </c>
      <c r="AV35" s="237">
        <v>31.21</v>
      </c>
      <c r="AW35" s="237">
        <v>30.42</v>
      </c>
    </row>
    <row r="36" spans="1:49" ht="22.5">
      <c r="A36" s="133">
        <v>55.12</v>
      </c>
      <c r="B36" s="134">
        <v>56.28</v>
      </c>
      <c r="C36" s="135">
        <v>57.45</v>
      </c>
      <c r="D36" s="135">
        <v>58.61</v>
      </c>
      <c r="E36" s="134">
        <v>59.78</v>
      </c>
      <c r="F36" s="134">
        <v>60.94</v>
      </c>
      <c r="G36" s="134">
        <v>62.11</v>
      </c>
      <c r="H36" s="974">
        <v>79.900000000000006</v>
      </c>
      <c r="I36" s="237">
        <v>64.44</v>
      </c>
      <c r="J36" s="237">
        <v>65.599999999999994</v>
      </c>
      <c r="K36" s="237">
        <v>66.77</v>
      </c>
      <c r="L36" s="237">
        <v>67.930000000000007</v>
      </c>
      <c r="M36" s="237">
        <v>69.099999999999994</v>
      </c>
      <c r="N36" s="237">
        <v>70.260000000000005</v>
      </c>
      <c r="O36" s="237">
        <v>71.430000000000007</v>
      </c>
      <c r="P36" s="237">
        <v>72.59</v>
      </c>
      <c r="Q36" s="237">
        <v>73.75</v>
      </c>
      <c r="R36" s="237">
        <v>74.92</v>
      </c>
      <c r="S36" s="237">
        <v>53.95</v>
      </c>
      <c r="T36" s="237">
        <v>52.79</v>
      </c>
      <c r="U36" s="237">
        <v>51.62</v>
      </c>
      <c r="V36" s="237">
        <v>50.46</v>
      </c>
      <c r="W36" s="237">
        <v>49.29</v>
      </c>
      <c r="X36" s="51">
        <v>32</v>
      </c>
      <c r="Y36" s="761">
        <v>42.16</v>
      </c>
      <c r="Z36" s="761">
        <v>42.98</v>
      </c>
      <c r="AA36" s="729">
        <v>43.81</v>
      </c>
      <c r="AB36" s="741">
        <v>44.63</v>
      </c>
      <c r="AC36" s="745">
        <v>45.45</v>
      </c>
      <c r="AD36" s="739">
        <f>AD35+1.42</f>
        <v>46.27</v>
      </c>
      <c r="AE36" s="741">
        <v>47.1</v>
      </c>
      <c r="AF36" s="741">
        <v>47.92</v>
      </c>
      <c r="AG36" s="783">
        <v>48.74</v>
      </c>
      <c r="AH36" s="786">
        <v>49.56</v>
      </c>
      <c r="AI36" s="237">
        <v>42.08</v>
      </c>
      <c r="AJ36" s="237">
        <v>42.9</v>
      </c>
      <c r="AK36" s="237">
        <v>43.72</v>
      </c>
      <c r="AL36" s="237">
        <v>44.54</v>
      </c>
      <c r="AM36" s="237">
        <v>45.36</v>
      </c>
      <c r="AN36" s="237">
        <v>46.19</v>
      </c>
      <c r="AO36" s="237">
        <v>47.01</v>
      </c>
      <c r="AP36" s="237">
        <v>47.83</v>
      </c>
      <c r="AQ36" s="237">
        <v>48.65</v>
      </c>
      <c r="AR36" s="237">
        <v>49.48</v>
      </c>
      <c r="AS36" s="237">
        <v>34.67</v>
      </c>
      <c r="AT36" s="237">
        <v>33.85</v>
      </c>
      <c r="AU36" s="761">
        <v>41.34</v>
      </c>
      <c r="AV36" s="237">
        <v>32.21</v>
      </c>
      <c r="AW36" s="237">
        <v>31.38</v>
      </c>
    </row>
    <row r="37" spans="1:49" ht="22.5">
      <c r="A37" s="2">
        <v>56.82</v>
      </c>
      <c r="B37" s="59">
        <v>58.02</v>
      </c>
      <c r="C37" s="3">
        <v>59.22</v>
      </c>
      <c r="D37" s="3">
        <v>60.42</v>
      </c>
      <c r="E37" s="59">
        <v>61.62</v>
      </c>
      <c r="F37" s="59">
        <v>62.82</v>
      </c>
      <c r="G37" s="59">
        <v>64.02</v>
      </c>
      <c r="H37" s="974">
        <v>82.36</v>
      </c>
      <c r="I37" s="237">
        <v>66.430000000000007</v>
      </c>
      <c r="J37" s="237">
        <v>67.63</v>
      </c>
      <c r="K37" s="237">
        <v>68.83</v>
      </c>
      <c r="L37" s="237">
        <v>70.03</v>
      </c>
      <c r="M37" s="237">
        <v>71.23</v>
      </c>
      <c r="N37" s="237">
        <v>72.430000000000007</v>
      </c>
      <c r="O37" s="237">
        <v>73.63</v>
      </c>
      <c r="P37" s="237">
        <v>74.84</v>
      </c>
      <c r="Q37" s="237">
        <v>76.040000000000006</v>
      </c>
      <c r="R37" s="237">
        <v>77.239999999999995</v>
      </c>
      <c r="S37" s="237">
        <v>55.62</v>
      </c>
      <c r="T37" s="237">
        <v>54.42</v>
      </c>
      <c r="U37" s="237">
        <v>53.21</v>
      </c>
      <c r="V37" s="237">
        <v>52.01</v>
      </c>
      <c r="W37" s="237">
        <v>50.81</v>
      </c>
      <c r="X37" s="51">
        <v>33</v>
      </c>
      <c r="Y37" s="761">
        <v>43.46</v>
      </c>
      <c r="Z37" s="761">
        <v>44.31</v>
      </c>
      <c r="AA37" s="730">
        <v>45.16</v>
      </c>
      <c r="AB37" s="742">
        <v>46</v>
      </c>
      <c r="AC37" s="746">
        <v>46.85</v>
      </c>
      <c r="AD37" s="739">
        <f>AD36+1.42</f>
        <v>47.690000000000005</v>
      </c>
      <c r="AE37" s="742">
        <v>48.55</v>
      </c>
      <c r="AF37" s="742">
        <v>49.4</v>
      </c>
      <c r="AG37" s="783">
        <v>50.24</v>
      </c>
      <c r="AH37" s="787">
        <v>51.09</v>
      </c>
      <c r="AI37" s="237">
        <v>43.38</v>
      </c>
      <c r="AJ37" s="237">
        <v>44.23</v>
      </c>
      <c r="AK37" s="237">
        <v>45.07</v>
      </c>
      <c r="AL37" s="237">
        <v>45.92</v>
      </c>
      <c r="AM37" s="237">
        <v>46.77</v>
      </c>
      <c r="AN37" s="237">
        <v>47.62</v>
      </c>
      <c r="AO37" s="237">
        <v>48.47</v>
      </c>
      <c r="AP37" s="237">
        <v>49.31</v>
      </c>
      <c r="AQ37" s="237">
        <v>50.16</v>
      </c>
      <c r="AR37" s="237">
        <v>51.01</v>
      </c>
      <c r="AS37" s="237">
        <v>35.74</v>
      </c>
      <c r="AT37" s="237">
        <v>34.9</v>
      </c>
      <c r="AU37" s="761">
        <v>42.61</v>
      </c>
      <c r="AV37" s="237">
        <v>33.200000000000003</v>
      </c>
      <c r="AW37" s="237">
        <v>32.35</v>
      </c>
    </row>
    <row r="38" spans="1:49" ht="22.5">
      <c r="A38" s="2">
        <v>58.52</v>
      </c>
      <c r="B38" s="59">
        <v>59.76</v>
      </c>
      <c r="C38" s="3">
        <v>61</v>
      </c>
      <c r="D38" s="3">
        <v>62.23</v>
      </c>
      <c r="E38" s="59">
        <v>63.47</v>
      </c>
      <c r="F38" s="59">
        <v>64.709999999999994</v>
      </c>
      <c r="G38" s="59">
        <v>65.95</v>
      </c>
      <c r="H38" s="974">
        <v>84.82</v>
      </c>
      <c r="I38" s="237">
        <v>68.42</v>
      </c>
      <c r="J38" s="237">
        <v>69.66</v>
      </c>
      <c r="K38" s="237">
        <v>70.900000000000006</v>
      </c>
      <c r="L38" s="237">
        <v>72.13</v>
      </c>
      <c r="M38" s="237">
        <v>73.37</v>
      </c>
      <c r="N38" s="237">
        <v>74.61</v>
      </c>
      <c r="O38" s="237">
        <v>75.849999999999994</v>
      </c>
      <c r="P38" s="237">
        <v>77.08</v>
      </c>
      <c r="Q38" s="237">
        <v>78.319999999999993</v>
      </c>
      <c r="R38" s="237">
        <v>79.56</v>
      </c>
      <c r="S38" s="237">
        <v>57.28</v>
      </c>
      <c r="T38" s="237">
        <v>56.04</v>
      </c>
      <c r="U38" s="237">
        <v>54.81</v>
      </c>
      <c r="V38" s="237">
        <v>53.57</v>
      </c>
      <c r="W38" s="237">
        <v>52.33</v>
      </c>
      <c r="X38" s="51">
        <v>34</v>
      </c>
      <c r="Y38" s="761">
        <v>44.76</v>
      </c>
      <c r="Z38" s="761">
        <v>45.63</v>
      </c>
      <c r="AA38" s="730">
        <v>46.51</v>
      </c>
      <c r="AB38" s="742">
        <v>47.38</v>
      </c>
      <c r="AC38" s="747">
        <v>48.25</v>
      </c>
      <c r="AD38" s="739">
        <f>AD37+1.43</f>
        <v>49.120000000000005</v>
      </c>
      <c r="AE38" s="742">
        <v>50</v>
      </c>
      <c r="AF38" s="742">
        <v>50.87</v>
      </c>
      <c r="AG38" s="783">
        <v>51.75</v>
      </c>
      <c r="AH38" s="787">
        <v>52.62</v>
      </c>
      <c r="AI38" s="237">
        <v>44.68</v>
      </c>
      <c r="AJ38" s="237">
        <v>45.55</v>
      </c>
      <c r="AK38" s="237">
        <v>46.43</v>
      </c>
      <c r="AL38" s="237">
        <v>47.3</v>
      </c>
      <c r="AM38" s="237">
        <v>48.18</v>
      </c>
      <c r="AN38" s="237">
        <v>49.05</v>
      </c>
      <c r="AO38" s="237">
        <v>49.92</v>
      </c>
      <c r="AP38" s="237">
        <v>50.8</v>
      </c>
      <c r="AQ38" s="237">
        <v>51.67</v>
      </c>
      <c r="AR38" s="237">
        <v>52.54</v>
      </c>
      <c r="AS38" s="237">
        <v>36.82</v>
      </c>
      <c r="AT38" s="237">
        <v>35.94</v>
      </c>
      <c r="AU38" s="761">
        <v>43.88</v>
      </c>
      <c r="AV38" s="237">
        <v>34.19</v>
      </c>
      <c r="AW38" s="237">
        <v>33.32</v>
      </c>
    </row>
    <row r="39" spans="1:49" ht="22.5">
      <c r="A39" s="2">
        <v>60.21</v>
      </c>
      <c r="B39" s="59">
        <v>61.48</v>
      </c>
      <c r="C39" s="3">
        <v>62.76</v>
      </c>
      <c r="D39" s="3">
        <v>64.03</v>
      </c>
      <c r="E39" s="59">
        <v>65.31</v>
      </c>
      <c r="F39" s="59">
        <v>66.58</v>
      </c>
      <c r="G39" s="59">
        <v>67.849999999999994</v>
      </c>
      <c r="H39" s="974">
        <v>87.26</v>
      </c>
      <c r="I39" s="237">
        <v>70.400000000000006</v>
      </c>
      <c r="J39" s="237">
        <v>71.680000000000007</v>
      </c>
      <c r="K39" s="237">
        <v>72.95</v>
      </c>
      <c r="L39" s="237">
        <v>74.22</v>
      </c>
      <c r="M39" s="237">
        <v>75.5</v>
      </c>
      <c r="N39" s="237">
        <v>76.77</v>
      </c>
      <c r="O39" s="237">
        <v>78.05</v>
      </c>
      <c r="P39" s="237">
        <v>79.319999999999993</v>
      </c>
      <c r="Q39" s="237">
        <v>80.59</v>
      </c>
      <c r="R39" s="237">
        <v>81.87</v>
      </c>
      <c r="S39" s="237">
        <v>58.94</v>
      </c>
      <c r="T39" s="237">
        <v>57.66</v>
      </c>
      <c r="U39" s="237">
        <v>56.39</v>
      </c>
      <c r="V39" s="237">
        <v>55.11</v>
      </c>
      <c r="W39" s="237">
        <v>53.84</v>
      </c>
      <c r="X39" s="51">
        <v>35</v>
      </c>
      <c r="Y39" s="761">
        <v>46.05</v>
      </c>
      <c r="Z39" s="761">
        <v>46.95</v>
      </c>
      <c r="AA39" s="730">
        <v>47.85</v>
      </c>
      <c r="AB39" s="742">
        <v>48.75</v>
      </c>
      <c r="AC39" s="747">
        <v>49.65</v>
      </c>
      <c r="AD39" s="739">
        <f>AD38+1.43</f>
        <v>50.550000000000004</v>
      </c>
      <c r="AE39" s="742">
        <v>51.45</v>
      </c>
      <c r="AF39" s="742">
        <v>52.35</v>
      </c>
      <c r="AG39" s="783">
        <v>53.25</v>
      </c>
      <c r="AH39" s="787">
        <v>54.15</v>
      </c>
      <c r="AI39" s="237">
        <v>45.98</v>
      </c>
      <c r="AJ39" s="237">
        <v>46.88</v>
      </c>
      <c r="AK39" s="237">
        <v>47.78</v>
      </c>
      <c r="AL39" s="237">
        <v>48.68</v>
      </c>
      <c r="AM39" s="237">
        <v>49.58</v>
      </c>
      <c r="AN39" s="237">
        <v>50.48</v>
      </c>
      <c r="AO39" s="237">
        <v>51.38</v>
      </c>
      <c r="AP39" s="237">
        <v>52.28</v>
      </c>
      <c r="AQ39" s="237">
        <v>53.18</v>
      </c>
      <c r="AR39" s="237">
        <v>54.08</v>
      </c>
      <c r="AS39" s="237">
        <v>37.89</v>
      </c>
      <c r="AT39" s="237">
        <v>36.99</v>
      </c>
      <c r="AU39" s="761">
        <v>45.15</v>
      </c>
      <c r="AV39" s="237">
        <v>35.19</v>
      </c>
      <c r="AW39" s="237">
        <v>34.29</v>
      </c>
    </row>
    <row r="40" spans="1:49" ht="22.5">
      <c r="A40" s="2">
        <v>61.91</v>
      </c>
      <c r="B40" s="59">
        <v>63.22</v>
      </c>
      <c r="C40" s="3">
        <v>64.53</v>
      </c>
      <c r="D40" s="3">
        <v>65.849999999999994</v>
      </c>
      <c r="E40" s="59">
        <v>67.16</v>
      </c>
      <c r="F40" s="59">
        <v>68.47</v>
      </c>
      <c r="G40" s="59">
        <v>69.78</v>
      </c>
      <c r="H40" s="974">
        <v>89.73</v>
      </c>
      <c r="I40" s="237">
        <v>72.400000000000006</v>
      </c>
      <c r="J40" s="237">
        <v>73.709999999999994</v>
      </c>
      <c r="K40" s="237">
        <v>75.02</v>
      </c>
      <c r="L40" s="237">
        <v>76.33</v>
      </c>
      <c r="M40" s="237">
        <v>77.64</v>
      </c>
      <c r="N40" s="237">
        <v>78.95</v>
      </c>
      <c r="O40" s="237">
        <v>80.260000000000005</v>
      </c>
      <c r="P40" s="237">
        <v>81.569999999999993</v>
      </c>
      <c r="Q40" s="237">
        <v>82.88</v>
      </c>
      <c r="R40" s="237">
        <v>84.19</v>
      </c>
      <c r="S40" s="237">
        <v>60.6</v>
      </c>
      <c r="T40" s="237">
        <v>59.29</v>
      </c>
      <c r="U40" s="237">
        <v>57.98</v>
      </c>
      <c r="V40" s="237">
        <v>56.67</v>
      </c>
      <c r="W40" s="237">
        <v>55.36</v>
      </c>
      <c r="X40" s="51">
        <v>36</v>
      </c>
      <c r="Y40" s="761">
        <v>47.36</v>
      </c>
      <c r="Z40" s="761">
        <v>48.28</v>
      </c>
      <c r="AA40" s="730">
        <v>49.21</v>
      </c>
      <c r="AB40" s="742">
        <v>50.13</v>
      </c>
      <c r="AC40" s="747">
        <v>51.06</v>
      </c>
      <c r="AD40" s="739">
        <f>AD39+1.43</f>
        <v>51.980000000000004</v>
      </c>
      <c r="AE40" s="742">
        <v>52.91</v>
      </c>
      <c r="AF40" s="742">
        <v>53.83</v>
      </c>
      <c r="AG40" s="783">
        <v>54.76</v>
      </c>
      <c r="AH40" s="787">
        <v>55.68</v>
      </c>
      <c r="AI40" s="237">
        <v>47.29</v>
      </c>
      <c r="AJ40" s="237">
        <v>48.21</v>
      </c>
      <c r="AK40" s="237">
        <v>49.14</v>
      </c>
      <c r="AL40" s="237">
        <v>50.06</v>
      </c>
      <c r="AM40" s="237">
        <v>50.99</v>
      </c>
      <c r="AN40" s="237">
        <v>51.91</v>
      </c>
      <c r="AO40" s="237">
        <v>52.84</v>
      </c>
      <c r="AP40" s="237">
        <v>53.76</v>
      </c>
      <c r="AQ40" s="237">
        <v>54.69</v>
      </c>
      <c r="AR40" s="237">
        <v>55.61</v>
      </c>
      <c r="AS40" s="237">
        <v>38.96</v>
      </c>
      <c r="AT40" s="237">
        <v>38.04</v>
      </c>
      <c r="AU40" s="761">
        <v>46.43</v>
      </c>
      <c r="AV40" s="237">
        <v>36.19</v>
      </c>
      <c r="AW40" s="237">
        <v>35.26</v>
      </c>
    </row>
    <row r="41" spans="1:49" ht="22.5">
      <c r="A41" s="2">
        <v>63.62</v>
      </c>
      <c r="B41" s="59">
        <v>64.959999999999994</v>
      </c>
      <c r="C41" s="3">
        <v>66.31</v>
      </c>
      <c r="D41" s="3">
        <v>67.66</v>
      </c>
      <c r="E41" s="59">
        <v>69</v>
      </c>
      <c r="F41" s="59">
        <v>70.349999999999994</v>
      </c>
      <c r="G41" s="59">
        <v>71.7</v>
      </c>
      <c r="H41" s="974">
        <v>92.19</v>
      </c>
      <c r="I41" s="237">
        <v>74.39</v>
      </c>
      <c r="J41" s="237">
        <v>75.739999999999995</v>
      </c>
      <c r="K41" s="237">
        <v>77.09</v>
      </c>
      <c r="L41" s="237">
        <v>78.430000000000007</v>
      </c>
      <c r="M41" s="237">
        <v>79.78</v>
      </c>
      <c r="N41" s="237">
        <v>81.13</v>
      </c>
      <c r="O41" s="237">
        <v>82.47</v>
      </c>
      <c r="P41" s="237">
        <v>83.82</v>
      </c>
      <c r="Q41" s="237">
        <v>85.17</v>
      </c>
      <c r="R41" s="237">
        <v>86.51</v>
      </c>
      <c r="S41" s="237">
        <v>62.27</v>
      </c>
      <c r="T41" s="237">
        <v>60.92</v>
      </c>
      <c r="U41" s="237">
        <v>59.58</v>
      </c>
      <c r="V41" s="237">
        <v>58.23</v>
      </c>
      <c r="W41" s="237">
        <v>56.88</v>
      </c>
      <c r="X41" s="51">
        <v>37</v>
      </c>
      <c r="Y41" s="761">
        <v>48.65</v>
      </c>
      <c r="Z41" s="761">
        <v>49.6</v>
      </c>
      <c r="AA41" s="730">
        <v>50.55</v>
      </c>
      <c r="AB41" s="742">
        <v>51.5</v>
      </c>
      <c r="AC41" s="747">
        <v>52.45</v>
      </c>
      <c r="AD41" s="739">
        <f>AD40+1.43</f>
        <v>53.410000000000004</v>
      </c>
      <c r="AE41" s="742">
        <v>54.36</v>
      </c>
      <c r="AF41" s="742">
        <v>55.31</v>
      </c>
      <c r="AG41" s="783">
        <v>56.26</v>
      </c>
      <c r="AH41" s="787">
        <v>57.21</v>
      </c>
      <c r="AI41" s="237">
        <v>48.59</v>
      </c>
      <c r="AJ41" s="237">
        <v>49.54</v>
      </c>
      <c r="AK41" s="237">
        <v>50.49</v>
      </c>
      <c r="AL41" s="237">
        <v>51.44</v>
      </c>
      <c r="AM41" s="237">
        <v>52.39</v>
      </c>
      <c r="AN41" s="237">
        <v>53.34</v>
      </c>
      <c r="AO41" s="237">
        <v>54.29</v>
      </c>
      <c r="AP41" s="237">
        <v>55.24</v>
      </c>
      <c r="AQ41" s="237">
        <v>56.19</v>
      </c>
      <c r="AR41" s="237">
        <v>57.15</v>
      </c>
      <c r="AS41" s="237">
        <v>40.03</v>
      </c>
      <c r="AT41" s="237">
        <v>39.08</v>
      </c>
      <c r="AU41" s="761">
        <v>47.7</v>
      </c>
      <c r="AV41" s="237">
        <v>37.18</v>
      </c>
      <c r="AW41" s="237">
        <v>36.229999999999997</v>
      </c>
    </row>
    <row r="42" spans="1:49" ht="22.5">
      <c r="A42" s="2">
        <v>65.319999999999993</v>
      </c>
      <c r="B42" s="59">
        <v>66.7</v>
      </c>
      <c r="C42" s="3">
        <v>68.09</v>
      </c>
      <c r="D42" s="3">
        <v>69.47</v>
      </c>
      <c r="E42" s="59">
        <v>70.849999999999994</v>
      </c>
      <c r="F42" s="59">
        <v>72.239999999999995</v>
      </c>
      <c r="G42" s="59">
        <v>73.62</v>
      </c>
      <c r="H42" s="974">
        <v>94.65</v>
      </c>
      <c r="I42" s="237">
        <v>76.38</v>
      </c>
      <c r="J42" s="237">
        <v>77.77</v>
      </c>
      <c r="K42" s="237">
        <v>79.150000000000006</v>
      </c>
      <c r="L42" s="237">
        <v>80.53</v>
      </c>
      <c r="M42" s="237">
        <v>81.92</v>
      </c>
      <c r="N42" s="237">
        <v>83.3</v>
      </c>
      <c r="O42" s="237">
        <v>84.68</v>
      </c>
      <c r="P42" s="237">
        <v>86.07</v>
      </c>
      <c r="Q42" s="237">
        <v>87.45</v>
      </c>
      <c r="R42" s="237">
        <v>88.83</v>
      </c>
      <c r="S42" s="237">
        <v>63.94</v>
      </c>
      <c r="T42" s="237">
        <v>62.55</v>
      </c>
      <c r="U42" s="237">
        <v>61.17</v>
      </c>
      <c r="V42" s="237">
        <v>59.79</v>
      </c>
      <c r="W42" s="237">
        <v>58.4</v>
      </c>
      <c r="X42" s="51">
        <v>38</v>
      </c>
      <c r="Y42" s="761">
        <v>49.95</v>
      </c>
      <c r="Z42" s="761">
        <v>50.93</v>
      </c>
      <c r="AA42" s="730">
        <v>51.9</v>
      </c>
      <c r="AB42" s="742">
        <v>52.88</v>
      </c>
      <c r="AC42" s="747">
        <v>53.86</v>
      </c>
      <c r="AD42" s="739">
        <f>AD41+1.42</f>
        <v>54.830000000000005</v>
      </c>
      <c r="AE42" s="742">
        <v>55.81</v>
      </c>
      <c r="AF42" s="742">
        <v>56.79</v>
      </c>
      <c r="AG42" s="783">
        <v>57.76</v>
      </c>
      <c r="AH42" s="787">
        <v>58.74</v>
      </c>
      <c r="AI42" s="237">
        <v>49.89</v>
      </c>
      <c r="AJ42" s="237">
        <v>50.87</v>
      </c>
      <c r="AK42" s="237">
        <v>51.84</v>
      </c>
      <c r="AL42" s="237">
        <v>52.82</v>
      </c>
      <c r="AM42" s="237">
        <v>53.8</v>
      </c>
      <c r="AN42" s="237">
        <v>54.77</v>
      </c>
      <c r="AO42" s="237">
        <v>55.75</v>
      </c>
      <c r="AP42" s="237">
        <v>56.73</v>
      </c>
      <c r="AQ42" s="237">
        <v>57.7</v>
      </c>
      <c r="AR42" s="237">
        <v>58.68</v>
      </c>
      <c r="AS42" s="237">
        <v>41.1</v>
      </c>
      <c r="AT42" s="237">
        <v>40.130000000000003</v>
      </c>
      <c r="AU42" s="761">
        <v>48.97</v>
      </c>
      <c r="AV42" s="237">
        <v>38.17</v>
      </c>
      <c r="AW42" s="237">
        <v>37.200000000000003</v>
      </c>
    </row>
    <row r="43" spans="1:49" ht="22.5">
      <c r="A43" s="2">
        <v>67.02</v>
      </c>
      <c r="B43" s="59">
        <v>68.44</v>
      </c>
      <c r="C43" s="3">
        <v>69.86</v>
      </c>
      <c r="D43" s="3">
        <v>71.28</v>
      </c>
      <c r="E43" s="59">
        <v>72.7</v>
      </c>
      <c r="F43" s="59">
        <v>74.12</v>
      </c>
      <c r="G43" s="59">
        <v>75.540000000000006</v>
      </c>
      <c r="H43" s="974">
        <v>97.11</v>
      </c>
      <c r="I43" s="237">
        <v>78.37</v>
      </c>
      <c r="J43" s="237">
        <v>79.790000000000006</v>
      </c>
      <c r="K43" s="237">
        <v>81.209999999999994</v>
      </c>
      <c r="L43" s="237">
        <v>82.63</v>
      </c>
      <c r="M43" s="237">
        <v>84.05</v>
      </c>
      <c r="N43" s="237">
        <v>85.47</v>
      </c>
      <c r="O43" s="237">
        <v>86.89</v>
      </c>
      <c r="P43" s="237">
        <v>88.31</v>
      </c>
      <c r="Q43" s="237">
        <v>89.73</v>
      </c>
      <c r="R43" s="237">
        <v>91.15</v>
      </c>
      <c r="S43" s="237">
        <v>95.6</v>
      </c>
      <c r="T43" s="237">
        <v>64.180000000000007</v>
      </c>
      <c r="U43" s="237">
        <v>62.76</v>
      </c>
      <c r="V43" s="237">
        <v>61.34</v>
      </c>
      <c r="W43" s="237">
        <v>59.92</v>
      </c>
      <c r="X43" s="51">
        <v>39</v>
      </c>
      <c r="Y43" s="761">
        <v>51.25</v>
      </c>
      <c r="Z43" s="761">
        <v>52.26</v>
      </c>
      <c r="AA43" s="730">
        <v>53.26</v>
      </c>
      <c r="AB43" s="742">
        <v>54.26</v>
      </c>
      <c r="AC43" s="747">
        <v>55.26</v>
      </c>
      <c r="AD43" s="739">
        <f>AD42+1.44</f>
        <v>56.27</v>
      </c>
      <c r="AE43" s="742">
        <v>57.27</v>
      </c>
      <c r="AF43" s="742">
        <v>58.27</v>
      </c>
      <c r="AG43" s="783">
        <v>59.27</v>
      </c>
      <c r="AH43" s="787">
        <v>60.28</v>
      </c>
      <c r="AI43" s="237">
        <v>51.2</v>
      </c>
      <c r="AJ43" s="237">
        <v>52.2</v>
      </c>
      <c r="AK43" s="237">
        <v>53.2</v>
      </c>
      <c r="AL43" s="237">
        <v>54.2</v>
      </c>
      <c r="AM43" s="237">
        <v>55.21</v>
      </c>
      <c r="AN43" s="237">
        <v>56.21</v>
      </c>
      <c r="AO43" s="237">
        <v>57.21</v>
      </c>
      <c r="AP43" s="237">
        <v>58.21</v>
      </c>
      <c r="AQ43" s="237">
        <v>59.22</v>
      </c>
      <c r="AR43" s="237">
        <v>60.22</v>
      </c>
      <c r="AS43" s="237">
        <v>42.18</v>
      </c>
      <c r="AT43" s="237">
        <v>41.17</v>
      </c>
      <c r="AU43" s="761">
        <v>50.25</v>
      </c>
      <c r="AV43" s="237">
        <v>39.17</v>
      </c>
      <c r="AW43" s="237">
        <v>38.17</v>
      </c>
    </row>
    <row r="44" spans="1:49" ht="22.5">
      <c r="A44" s="2">
        <v>68.709999999999994</v>
      </c>
      <c r="B44" s="59">
        <v>70.17</v>
      </c>
      <c r="C44" s="3">
        <v>71.62</v>
      </c>
      <c r="D44" s="3">
        <v>73.08</v>
      </c>
      <c r="E44" s="59">
        <v>74.540000000000006</v>
      </c>
      <c r="F44" s="59">
        <v>75.989999999999995</v>
      </c>
      <c r="G44" s="59">
        <v>77.45</v>
      </c>
      <c r="H44" s="974">
        <v>99.56</v>
      </c>
      <c r="I44" s="237">
        <v>80.36</v>
      </c>
      <c r="J44" s="237">
        <v>81.819999999999993</v>
      </c>
      <c r="K44" s="237">
        <v>83.27</v>
      </c>
      <c r="L44" s="237">
        <v>84.73</v>
      </c>
      <c r="M44" s="237">
        <v>86.18</v>
      </c>
      <c r="N44" s="237">
        <v>87.64</v>
      </c>
      <c r="O44" s="237">
        <v>89.1</v>
      </c>
      <c r="P44" s="237">
        <v>90.55</v>
      </c>
      <c r="Q44" s="237">
        <v>92.01</v>
      </c>
      <c r="R44" s="237">
        <v>93.46</v>
      </c>
      <c r="S44" s="237">
        <v>67.260000000000005</v>
      </c>
      <c r="T44" s="237">
        <v>65.8</v>
      </c>
      <c r="U44" s="237">
        <v>64.34</v>
      </c>
      <c r="V44" s="237">
        <v>62.89</v>
      </c>
      <c r="W44" s="237">
        <v>61.53</v>
      </c>
      <c r="X44" s="51">
        <v>40</v>
      </c>
      <c r="Y44" s="761">
        <v>52.55</v>
      </c>
      <c r="Z44" s="761">
        <v>53.58</v>
      </c>
      <c r="AA44" s="730">
        <v>54.6</v>
      </c>
      <c r="AB44" s="742">
        <v>55.63</v>
      </c>
      <c r="AC44" s="747">
        <v>56.66</v>
      </c>
      <c r="AD44" s="739">
        <f>AD43+1.42</f>
        <v>57.690000000000005</v>
      </c>
      <c r="AE44" s="742">
        <v>58.72</v>
      </c>
      <c r="AF44" s="742">
        <v>59.74</v>
      </c>
      <c r="AG44" s="783">
        <v>60.77</v>
      </c>
      <c r="AH44" s="787">
        <v>61.8</v>
      </c>
      <c r="AI44" s="237">
        <v>52.5</v>
      </c>
      <c r="AJ44" s="237">
        <v>53.53</v>
      </c>
      <c r="AK44" s="237">
        <v>54.55</v>
      </c>
      <c r="AL44" s="237">
        <v>55.58</v>
      </c>
      <c r="AM44" s="237">
        <v>56.61</v>
      </c>
      <c r="AN44" s="237">
        <v>57.64</v>
      </c>
      <c r="AO44" s="237">
        <v>58.67</v>
      </c>
      <c r="AP44" s="237">
        <v>59.69</v>
      </c>
      <c r="AQ44" s="237">
        <v>60.72</v>
      </c>
      <c r="AR44" s="237">
        <v>61.75</v>
      </c>
      <c r="AS44" s="237">
        <v>43.25</v>
      </c>
      <c r="AT44" s="237">
        <v>42.22</v>
      </c>
      <c r="AU44" s="761">
        <v>51.52</v>
      </c>
      <c r="AV44" s="237">
        <v>40.159999999999997</v>
      </c>
      <c r="AW44" s="237">
        <v>39.130000000000003</v>
      </c>
    </row>
    <row r="45" spans="1:49" ht="22.5">
      <c r="A45" s="2">
        <v>70.42</v>
      </c>
      <c r="B45" s="59">
        <v>71.91</v>
      </c>
      <c r="C45" s="3">
        <v>73.400000000000006</v>
      </c>
      <c r="D45" s="3">
        <v>74.900000000000006</v>
      </c>
      <c r="E45" s="59">
        <v>76.39</v>
      </c>
      <c r="F45" s="59">
        <v>77.88</v>
      </c>
      <c r="G45" s="59">
        <v>79.37</v>
      </c>
      <c r="H45" s="974">
        <v>102.03</v>
      </c>
      <c r="I45" s="237">
        <v>82.36</v>
      </c>
      <c r="J45" s="237">
        <v>83.85</v>
      </c>
      <c r="K45" s="237">
        <v>85.34</v>
      </c>
      <c r="L45" s="237">
        <v>86.83</v>
      </c>
      <c r="M45" s="237">
        <v>88.33</v>
      </c>
      <c r="N45" s="237">
        <v>89.82</v>
      </c>
      <c r="O45" s="237">
        <v>91.31</v>
      </c>
      <c r="P45" s="237">
        <v>92.8</v>
      </c>
      <c r="Q45" s="237">
        <v>94.3</v>
      </c>
      <c r="R45" s="237">
        <v>95.79</v>
      </c>
      <c r="S45" s="237">
        <v>68.930000000000007</v>
      </c>
      <c r="T45" s="237">
        <v>67.430000000000007</v>
      </c>
      <c r="U45" s="237">
        <v>65.94</v>
      </c>
      <c r="V45" s="237">
        <v>64.400000000000006</v>
      </c>
      <c r="W45" s="237">
        <v>62.96</v>
      </c>
      <c r="X45" s="51">
        <v>41</v>
      </c>
      <c r="Y45" s="761">
        <v>53.85</v>
      </c>
      <c r="Z45" s="761">
        <v>54.9</v>
      </c>
      <c r="AA45" s="730">
        <v>55.95</v>
      </c>
      <c r="AB45" s="742">
        <v>57.01</v>
      </c>
      <c r="AC45" s="747">
        <v>58.06</v>
      </c>
      <c r="AD45" s="739">
        <f>AD44+1.42</f>
        <v>59.110000000000007</v>
      </c>
      <c r="AE45" s="742">
        <v>60.17</v>
      </c>
      <c r="AF45" s="742">
        <v>61.22</v>
      </c>
      <c r="AG45" s="783">
        <v>62.28</v>
      </c>
      <c r="AH45" s="787">
        <v>63.33</v>
      </c>
      <c r="AI45" s="237">
        <v>53.8</v>
      </c>
      <c r="AJ45" s="237">
        <v>54.85</v>
      </c>
      <c r="AK45" s="237">
        <v>55.91</v>
      </c>
      <c r="AL45" s="237">
        <v>56.96</v>
      </c>
      <c r="AM45" s="237">
        <v>58.02</v>
      </c>
      <c r="AN45" s="237">
        <v>59.07</v>
      </c>
      <c r="AO45" s="237">
        <v>60.12</v>
      </c>
      <c r="AP45" s="237">
        <v>61.18</v>
      </c>
      <c r="AQ45" s="237">
        <v>62.23</v>
      </c>
      <c r="AR45" s="237">
        <v>63.28</v>
      </c>
      <c r="AS45" s="237">
        <v>44.32</v>
      </c>
      <c r="AT45" s="237">
        <v>43.26</v>
      </c>
      <c r="AU45" s="761">
        <v>52.79</v>
      </c>
      <c r="AV45" s="237">
        <v>41.16</v>
      </c>
      <c r="AW45" s="237">
        <v>40.1</v>
      </c>
    </row>
    <row r="46" spans="1:49" ht="22.5">
      <c r="A46" s="2">
        <v>72.12</v>
      </c>
      <c r="B46" s="59">
        <v>73.650000000000006</v>
      </c>
      <c r="C46" s="3">
        <v>75.180000000000007</v>
      </c>
      <c r="D46" s="3">
        <v>76.709999999999994</v>
      </c>
      <c r="E46" s="59">
        <v>78.23</v>
      </c>
      <c r="F46" s="59">
        <v>79.760000000000005</v>
      </c>
      <c r="G46" s="59">
        <v>81.290000000000006</v>
      </c>
      <c r="H46" s="974">
        <v>104.49</v>
      </c>
      <c r="I46" s="237">
        <v>84.35</v>
      </c>
      <c r="J46" s="237">
        <v>85.88</v>
      </c>
      <c r="K46" s="237">
        <v>87.41</v>
      </c>
      <c r="L46" s="237">
        <v>88.94</v>
      </c>
      <c r="M46" s="237">
        <v>90.46</v>
      </c>
      <c r="N46" s="237">
        <v>91.99</v>
      </c>
      <c r="O46" s="237">
        <v>93.52</v>
      </c>
      <c r="P46" s="237">
        <v>95.05</v>
      </c>
      <c r="Q46" s="237">
        <v>96.58</v>
      </c>
      <c r="R46" s="237">
        <v>98.11</v>
      </c>
      <c r="S46" s="237">
        <v>70.59</v>
      </c>
      <c r="T46" s="237">
        <v>69.06</v>
      </c>
      <c r="U46" s="237">
        <v>67.53</v>
      </c>
      <c r="V46" s="237">
        <v>66</v>
      </c>
      <c r="W46" s="237">
        <v>64.47</v>
      </c>
      <c r="X46" s="51">
        <v>42</v>
      </c>
      <c r="Y46" s="761">
        <v>55.15</v>
      </c>
      <c r="Z46" s="761">
        <v>56.23</v>
      </c>
      <c r="AA46" s="730">
        <v>57.31</v>
      </c>
      <c r="AB46" s="742">
        <v>58.39</v>
      </c>
      <c r="AC46" s="747">
        <v>59.47</v>
      </c>
      <c r="AD46" s="739">
        <f>AD45+1.44</f>
        <v>60.550000000000004</v>
      </c>
      <c r="AE46" s="742">
        <v>61.63</v>
      </c>
      <c r="AF46" s="742">
        <v>62.71</v>
      </c>
      <c r="AG46" s="783">
        <v>63.78</v>
      </c>
      <c r="AH46" s="787">
        <v>64.38</v>
      </c>
      <c r="AI46" s="237">
        <v>55.11</v>
      </c>
      <c r="AJ46" s="237">
        <v>56.19</v>
      </c>
      <c r="AK46" s="237">
        <v>57.27</v>
      </c>
      <c r="AL46" s="237">
        <v>58.34</v>
      </c>
      <c r="AM46" s="237">
        <v>59.42</v>
      </c>
      <c r="AN46" s="237">
        <v>60.5</v>
      </c>
      <c r="AO46" s="237">
        <v>61.58</v>
      </c>
      <c r="AP46" s="237">
        <v>62.66</v>
      </c>
      <c r="AQ46" s="237">
        <v>63.74</v>
      </c>
      <c r="AR46" s="237">
        <v>64.819999999999993</v>
      </c>
      <c r="AS46" s="237">
        <v>45.39</v>
      </c>
      <c r="AT46" s="237">
        <v>44.31</v>
      </c>
      <c r="AU46" s="761">
        <v>54.07</v>
      </c>
      <c r="AV46" s="237">
        <v>42.15</v>
      </c>
      <c r="AW46" s="237">
        <v>41.07</v>
      </c>
    </row>
    <row r="47" spans="1:49" ht="22.5">
      <c r="A47" s="2">
        <v>73.81</v>
      </c>
      <c r="B47" s="59">
        <v>75.38</v>
      </c>
      <c r="C47" s="3">
        <v>76.94</v>
      </c>
      <c r="D47" s="3">
        <v>78.510000000000005</v>
      </c>
      <c r="E47" s="59">
        <v>80.069999999999993</v>
      </c>
      <c r="F47" s="59">
        <v>81.64</v>
      </c>
      <c r="G47" s="59">
        <v>83.2</v>
      </c>
      <c r="H47" s="974">
        <v>106.93</v>
      </c>
      <c r="I47" s="237">
        <v>86.33</v>
      </c>
      <c r="J47" s="237">
        <v>87.9</v>
      </c>
      <c r="K47" s="237">
        <v>89.46</v>
      </c>
      <c r="L47" s="237">
        <v>91.03</v>
      </c>
      <c r="M47" s="237">
        <v>92.59</v>
      </c>
      <c r="N47" s="237">
        <v>94.16</v>
      </c>
      <c r="O47" s="237">
        <v>95.72</v>
      </c>
      <c r="P47" s="237">
        <v>97.29</v>
      </c>
      <c r="Q47" s="237">
        <v>98.85</v>
      </c>
      <c r="R47" s="237">
        <v>100.42</v>
      </c>
      <c r="S47" s="237">
        <v>72.25</v>
      </c>
      <c r="T47" s="237">
        <v>70.680000000000007</v>
      </c>
      <c r="U47" s="237">
        <v>69.12</v>
      </c>
      <c r="V47" s="237">
        <v>67.55</v>
      </c>
      <c r="W47" s="237">
        <v>65.989999999999995</v>
      </c>
      <c r="X47" s="51">
        <v>43</v>
      </c>
      <c r="Y47" s="761">
        <v>56.44</v>
      </c>
      <c r="Z47" s="761">
        <v>57.54</v>
      </c>
      <c r="AA47" s="730">
        <v>58.65</v>
      </c>
      <c r="AB47" s="742">
        <v>59.75</v>
      </c>
      <c r="AC47" s="747">
        <v>60.86</v>
      </c>
      <c r="AD47" s="739">
        <f>AD46+1.41</f>
        <v>61.96</v>
      </c>
      <c r="AE47" s="742">
        <v>63.07</v>
      </c>
      <c r="AF47" s="742">
        <v>64.17</v>
      </c>
      <c r="AG47" s="783">
        <v>65.28</v>
      </c>
      <c r="AH47" s="787">
        <v>66.38</v>
      </c>
      <c r="AI47" s="237">
        <v>56.4</v>
      </c>
      <c r="AJ47" s="237">
        <v>57.51</v>
      </c>
      <c r="AK47" s="237">
        <v>58.61</v>
      </c>
      <c r="AL47" s="237">
        <v>59.72</v>
      </c>
      <c r="AM47" s="237">
        <v>60.82</v>
      </c>
      <c r="AN47" s="237">
        <v>61.93</v>
      </c>
      <c r="AO47" s="237">
        <v>63.03</v>
      </c>
      <c r="AP47" s="237">
        <v>64.14</v>
      </c>
      <c r="AQ47" s="237">
        <v>65.239999999999995</v>
      </c>
      <c r="AR47" s="237">
        <v>66.349999999999994</v>
      </c>
      <c r="AS47" s="237">
        <v>46.46</v>
      </c>
      <c r="AT47" s="237">
        <v>45.35</v>
      </c>
      <c r="AU47" s="761">
        <v>55.33</v>
      </c>
      <c r="AV47" s="237">
        <v>43.14</v>
      </c>
      <c r="AW47" s="237">
        <v>42.04</v>
      </c>
    </row>
    <row r="48" spans="1:49" ht="22.5">
      <c r="A48" s="2">
        <v>75.52</v>
      </c>
      <c r="B48" s="59">
        <v>77.12</v>
      </c>
      <c r="C48" s="3">
        <v>78.72</v>
      </c>
      <c r="D48" s="3">
        <v>80.319999999999993</v>
      </c>
      <c r="E48" s="59">
        <v>81.92</v>
      </c>
      <c r="F48" s="59">
        <v>83.52</v>
      </c>
      <c r="G48" s="59">
        <v>85.13</v>
      </c>
      <c r="H48" s="974">
        <v>109.4</v>
      </c>
      <c r="I48" s="237">
        <v>88.33</v>
      </c>
      <c r="J48" s="237">
        <v>89.93</v>
      </c>
      <c r="K48" s="237">
        <v>91.53</v>
      </c>
      <c r="L48" s="237">
        <v>93.13</v>
      </c>
      <c r="M48" s="237">
        <v>94.73</v>
      </c>
      <c r="N48" s="237">
        <v>96.34</v>
      </c>
      <c r="O48" s="237">
        <v>97.94</v>
      </c>
      <c r="P48" s="237">
        <v>99.54</v>
      </c>
      <c r="Q48" s="237">
        <v>101.14</v>
      </c>
      <c r="R48" s="237">
        <v>102.74</v>
      </c>
      <c r="S48" s="237">
        <v>73.91</v>
      </c>
      <c r="T48" s="237">
        <v>72.31</v>
      </c>
      <c r="U48" s="237">
        <v>70.709999999999994</v>
      </c>
      <c r="V48" s="237">
        <v>69.11</v>
      </c>
      <c r="W48" s="237">
        <v>67.510000000000005</v>
      </c>
      <c r="X48" s="51">
        <v>44</v>
      </c>
      <c r="Y48" s="761">
        <v>57.74</v>
      </c>
      <c r="Z48" s="761">
        <v>58.87</v>
      </c>
      <c r="AA48" s="730">
        <v>60</v>
      </c>
      <c r="AB48" s="742">
        <v>61.13</v>
      </c>
      <c r="AC48" s="747">
        <v>62.27</v>
      </c>
      <c r="AD48" s="739">
        <f>AD47+1.44</f>
        <v>63.4</v>
      </c>
      <c r="AE48" s="742">
        <v>64.53</v>
      </c>
      <c r="AF48" s="742">
        <v>65.66</v>
      </c>
      <c r="AG48" s="783">
        <v>66.790000000000006</v>
      </c>
      <c r="AH48" s="787">
        <v>67.92</v>
      </c>
      <c r="AI48" s="237">
        <v>57.41</v>
      </c>
      <c r="AJ48" s="237">
        <v>58.84</v>
      </c>
      <c r="AK48" s="237">
        <v>59.97</v>
      </c>
      <c r="AL48" s="237">
        <v>61.1</v>
      </c>
      <c r="AM48" s="237">
        <v>62.23</v>
      </c>
      <c r="AN48" s="237">
        <v>63.36</v>
      </c>
      <c r="AO48" s="237">
        <v>64.489999999999995</v>
      </c>
      <c r="AP48" s="237">
        <v>65.63</v>
      </c>
      <c r="AQ48" s="237">
        <v>66.760000000000005</v>
      </c>
      <c r="AR48" s="237">
        <v>67.89</v>
      </c>
      <c r="AS48" s="237">
        <v>47.53</v>
      </c>
      <c r="AT48" s="237">
        <v>46.4</v>
      </c>
      <c r="AU48" s="761">
        <v>56.61</v>
      </c>
      <c r="AV48" s="237">
        <v>44.14</v>
      </c>
      <c r="AW48" s="237">
        <v>43.01</v>
      </c>
    </row>
    <row r="49" spans="1:49" ht="22.5">
      <c r="A49" s="2">
        <v>77.209999999999994</v>
      </c>
      <c r="B49" s="59">
        <v>78.849999999999994</v>
      </c>
      <c r="C49" s="3">
        <v>80.489999999999995</v>
      </c>
      <c r="D49" s="3">
        <v>82.12</v>
      </c>
      <c r="E49" s="59">
        <v>83.76</v>
      </c>
      <c r="F49" s="59">
        <v>85.4</v>
      </c>
      <c r="G49" s="59">
        <v>87.04</v>
      </c>
      <c r="H49" s="974">
        <v>111.85</v>
      </c>
      <c r="I49" s="237">
        <v>90.31</v>
      </c>
      <c r="J49" s="237">
        <v>91.95</v>
      </c>
      <c r="K49" s="237">
        <v>93.59</v>
      </c>
      <c r="L49" s="237">
        <v>95.23</v>
      </c>
      <c r="M49" s="237">
        <v>96.87</v>
      </c>
      <c r="N49" s="237">
        <v>98.5</v>
      </c>
      <c r="O49" s="237">
        <v>100.14</v>
      </c>
      <c r="P49" s="237">
        <v>101.78</v>
      </c>
      <c r="Q49" s="237">
        <v>103.42</v>
      </c>
      <c r="R49" s="237">
        <v>105.06</v>
      </c>
      <c r="S49" s="237">
        <v>75.569999999999993</v>
      </c>
      <c r="T49" s="237">
        <v>73.930000000000007</v>
      </c>
      <c r="U49" s="237">
        <v>72.3</v>
      </c>
      <c r="V49" s="237">
        <v>70.66</v>
      </c>
      <c r="W49" s="237">
        <v>69.02</v>
      </c>
      <c r="X49" s="51">
        <v>45</v>
      </c>
      <c r="Y49" s="761">
        <v>59.04</v>
      </c>
      <c r="Z49" s="761">
        <v>60.2</v>
      </c>
      <c r="AA49" s="730">
        <v>61.35</v>
      </c>
      <c r="AB49" s="742">
        <v>62.51</v>
      </c>
      <c r="AC49" s="747">
        <v>63.67</v>
      </c>
      <c r="AD49" s="739">
        <f>AD48+1.42</f>
        <v>64.819999999999993</v>
      </c>
      <c r="AE49" s="742">
        <v>65.98</v>
      </c>
      <c r="AF49" s="742">
        <v>67.14</v>
      </c>
      <c r="AG49" s="783">
        <v>68.290000000000006</v>
      </c>
      <c r="AH49" s="787">
        <v>69.45</v>
      </c>
      <c r="AI49" s="237">
        <v>59.01</v>
      </c>
      <c r="AJ49" s="237">
        <v>60.17</v>
      </c>
      <c r="AK49" s="237">
        <v>61.33</v>
      </c>
      <c r="AL49" s="237">
        <v>62.48</v>
      </c>
      <c r="AM49" s="237">
        <v>63.64</v>
      </c>
      <c r="AN49" s="237">
        <v>64.8</v>
      </c>
      <c r="AO49" s="237">
        <v>65.95</v>
      </c>
      <c r="AP49" s="237">
        <v>67.11</v>
      </c>
      <c r="AQ49" s="237">
        <v>68.260000000000005</v>
      </c>
      <c r="AR49" s="237">
        <v>69.42</v>
      </c>
      <c r="AS49" s="237">
        <v>48.6</v>
      </c>
      <c r="AT49" s="237">
        <v>47.45</v>
      </c>
      <c r="AU49" s="761">
        <v>57.88</v>
      </c>
      <c r="AV49" s="237">
        <v>45.13</v>
      </c>
      <c r="AW49" s="237">
        <v>43.98</v>
      </c>
    </row>
    <row r="50" spans="1:49" ht="22.5">
      <c r="A50" s="2">
        <v>78.91</v>
      </c>
      <c r="B50" s="59">
        <v>80.59</v>
      </c>
      <c r="C50" s="3">
        <v>82.26</v>
      </c>
      <c r="D50" s="3">
        <v>83.94</v>
      </c>
      <c r="E50" s="59">
        <v>85.61</v>
      </c>
      <c r="F50" s="59">
        <v>87.29</v>
      </c>
      <c r="G50" s="59">
        <v>88.96</v>
      </c>
      <c r="H50" s="974">
        <v>114.31</v>
      </c>
      <c r="I50" s="237">
        <v>92.31</v>
      </c>
      <c r="J50" s="237">
        <v>93.98</v>
      </c>
      <c r="K50" s="237">
        <v>95.66</v>
      </c>
      <c r="L50" s="237">
        <v>97.33</v>
      </c>
      <c r="M50" s="237">
        <v>99.01</v>
      </c>
      <c r="N50" s="237">
        <v>100.68</v>
      </c>
      <c r="O50" s="237">
        <v>102.36</v>
      </c>
      <c r="P50" s="237">
        <v>104.03</v>
      </c>
      <c r="Q50" s="237">
        <v>105.71</v>
      </c>
      <c r="R50" s="237">
        <v>107.38</v>
      </c>
      <c r="S50" s="237">
        <v>77.239999999999995</v>
      </c>
      <c r="T50" s="237">
        <v>75.569999999999993</v>
      </c>
      <c r="U50" s="237">
        <v>73.89</v>
      </c>
      <c r="V50" s="237">
        <v>72.22</v>
      </c>
      <c r="W50" s="237">
        <v>70.540000000000006</v>
      </c>
      <c r="X50" s="51">
        <v>46</v>
      </c>
      <c r="Y50" s="761">
        <v>60.34</v>
      </c>
      <c r="Z50" s="761">
        <v>61.53</v>
      </c>
      <c r="AA50" s="730">
        <v>62.71</v>
      </c>
      <c r="AB50" s="742">
        <v>63.89</v>
      </c>
      <c r="AC50" s="747">
        <v>65.069999999999993</v>
      </c>
      <c r="AD50" s="739">
        <f>AD49+1.43</f>
        <v>66.25</v>
      </c>
      <c r="AE50" s="742">
        <v>67.44</v>
      </c>
      <c r="AF50" s="742">
        <v>68.62</v>
      </c>
      <c r="AG50" s="783">
        <v>69.8</v>
      </c>
      <c r="AH50" s="787">
        <v>70.98</v>
      </c>
      <c r="AI50" s="237">
        <v>60.32</v>
      </c>
      <c r="AJ50" s="237">
        <v>61.5</v>
      </c>
      <c r="AK50" s="237">
        <v>62.68</v>
      </c>
      <c r="AL50" s="237">
        <v>63.86</v>
      </c>
      <c r="AM50" s="237">
        <v>65.05</v>
      </c>
      <c r="AN50" s="237">
        <v>66.23</v>
      </c>
      <c r="AO50" s="237">
        <v>67.41</v>
      </c>
      <c r="AP50" s="237">
        <v>68.59</v>
      </c>
      <c r="AQ50" s="237">
        <v>69.78</v>
      </c>
      <c r="AR50" s="237">
        <v>70.959999999999994</v>
      </c>
      <c r="AS50" s="237">
        <v>49.68</v>
      </c>
      <c r="AT50" s="237">
        <v>48.5</v>
      </c>
      <c r="AU50" s="761">
        <v>59.16</v>
      </c>
      <c r="AV50" s="237">
        <v>46.13</v>
      </c>
      <c r="AW50" s="237">
        <v>44.95</v>
      </c>
    </row>
    <row r="51" spans="1:49" ht="22.5">
      <c r="A51" s="2">
        <v>80.61</v>
      </c>
      <c r="B51" s="59">
        <v>82.32</v>
      </c>
      <c r="C51" s="3">
        <v>84.03</v>
      </c>
      <c r="D51" s="3">
        <v>85.74</v>
      </c>
      <c r="E51" s="59">
        <v>87.45</v>
      </c>
      <c r="F51" s="59">
        <v>89.16</v>
      </c>
      <c r="G51" s="59">
        <v>90.87</v>
      </c>
      <c r="H51" s="974">
        <v>116.76</v>
      </c>
      <c r="I51" s="237">
        <v>94.29</v>
      </c>
      <c r="J51" s="237">
        <v>96.01</v>
      </c>
      <c r="K51" s="237">
        <v>97.72</v>
      </c>
      <c r="L51" s="237">
        <v>99.43</v>
      </c>
      <c r="M51" s="237">
        <v>101.14</v>
      </c>
      <c r="N51" s="237">
        <v>102.85</v>
      </c>
      <c r="O51" s="237">
        <v>104.56</v>
      </c>
      <c r="P51" s="237">
        <v>106.27</v>
      </c>
      <c r="Q51" s="237">
        <v>107.98</v>
      </c>
      <c r="R51" s="237">
        <v>109.69</v>
      </c>
      <c r="S51" s="237">
        <v>78.900000000000006</v>
      </c>
      <c r="T51" s="237">
        <v>77.19</v>
      </c>
      <c r="U51" s="237">
        <v>75.48</v>
      </c>
      <c r="V51" s="237">
        <v>73.760000000000005</v>
      </c>
      <c r="W51" s="237">
        <v>72.05</v>
      </c>
      <c r="X51" s="51">
        <v>47</v>
      </c>
      <c r="Y51" s="761">
        <v>61.64</v>
      </c>
      <c r="Z51" s="761">
        <v>62.85</v>
      </c>
      <c r="AA51" s="730">
        <v>64.06</v>
      </c>
      <c r="AB51" s="742">
        <v>65.260000000000005</v>
      </c>
      <c r="AC51" s="747">
        <v>66.47</v>
      </c>
      <c r="AD51" s="739">
        <f>AD50+1.43</f>
        <v>67.680000000000007</v>
      </c>
      <c r="AE51" s="742">
        <v>68.89</v>
      </c>
      <c r="AF51" s="742">
        <v>70.099999999999994</v>
      </c>
      <c r="AG51" s="783">
        <v>71.3</v>
      </c>
      <c r="AH51" s="787">
        <v>72.510000000000005</v>
      </c>
      <c r="AI51" s="237">
        <v>61.62</v>
      </c>
      <c r="AJ51" s="237">
        <v>62.83</v>
      </c>
      <c r="AK51" s="237">
        <v>64.040000000000006</v>
      </c>
      <c r="AL51" s="237">
        <v>65.239999999999995</v>
      </c>
      <c r="AM51" s="237">
        <v>66.45</v>
      </c>
      <c r="AN51" s="237">
        <v>67.66</v>
      </c>
      <c r="AO51" s="237">
        <v>68.87</v>
      </c>
      <c r="AP51" s="237">
        <v>70.08</v>
      </c>
      <c r="AQ51" s="237">
        <v>71.28</v>
      </c>
      <c r="AR51" s="237">
        <v>72.489999999999995</v>
      </c>
      <c r="AS51" s="237">
        <v>50.75</v>
      </c>
      <c r="AT51" s="237">
        <v>49.54</v>
      </c>
      <c r="AU51" s="761">
        <v>60.43</v>
      </c>
      <c r="AV51" s="237">
        <v>47.13</v>
      </c>
      <c r="AW51" s="237">
        <v>45.92</v>
      </c>
    </row>
    <row r="52" spans="1:49" ht="22.5">
      <c r="A52" s="2">
        <v>82.31</v>
      </c>
      <c r="B52" s="59">
        <v>84.06</v>
      </c>
      <c r="C52" s="3">
        <v>85.81</v>
      </c>
      <c r="D52" s="3">
        <v>87.55</v>
      </c>
      <c r="E52" s="59">
        <v>89.3</v>
      </c>
      <c r="F52" s="59">
        <v>91.05</v>
      </c>
      <c r="G52" s="59">
        <v>92.79</v>
      </c>
      <c r="H52" s="974">
        <v>119.23</v>
      </c>
      <c r="I52" s="237">
        <v>96.29</v>
      </c>
      <c r="J52" s="237">
        <v>98.04</v>
      </c>
      <c r="K52" s="237">
        <v>99.78</v>
      </c>
      <c r="L52" s="237">
        <v>101.53</v>
      </c>
      <c r="M52" s="237">
        <v>103.28</v>
      </c>
      <c r="N52" s="237">
        <v>105.03</v>
      </c>
      <c r="O52" s="237">
        <v>106.77</v>
      </c>
      <c r="P52" s="237">
        <v>108.52</v>
      </c>
      <c r="Q52" s="237">
        <v>110.27</v>
      </c>
      <c r="R52" s="237">
        <v>112.01</v>
      </c>
      <c r="S52" s="237">
        <v>80.56</v>
      </c>
      <c r="T52" s="237">
        <v>78.819999999999993</v>
      </c>
      <c r="U52" s="237">
        <v>77.069999999999993</v>
      </c>
      <c r="V52" s="237">
        <v>75.319999999999993</v>
      </c>
      <c r="W52" s="237">
        <v>73.58</v>
      </c>
      <c r="X52" s="51">
        <v>48</v>
      </c>
      <c r="Y52" s="761">
        <v>62.93</v>
      </c>
      <c r="Z52" s="761">
        <v>64.16</v>
      </c>
      <c r="AA52" s="730">
        <v>65.400000000000006</v>
      </c>
      <c r="AB52" s="742">
        <v>66.63</v>
      </c>
      <c r="AC52" s="747">
        <v>67.86</v>
      </c>
      <c r="AD52" s="739">
        <f>AD51+1.42</f>
        <v>69.100000000000009</v>
      </c>
      <c r="AE52" s="742">
        <v>70.33</v>
      </c>
      <c r="AF52" s="742">
        <v>71.56</v>
      </c>
      <c r="AG52" s="783">
        <v>72.8</v>
      </c>
      <c r="AH52" s="787">
        <v>74.03</v>
      </c>
      <c r="AI52" s="237">
        <v>62.92</v>
      </c>
      <c r="AJ52" s="237">
        <v>64.150000000000006</v>
      </c>
      <c r="AK52" s="237">
        <v>65.38</v>
      </c>
      <c r="AL52" s="237">
        <v>66.62</v>
      </c>
      <c r="AM52" s="237">
        <v>67.849999999999994</v>
      </c>
      <c r="AN52" s="237">
        <v>69.09</v>
      </c>
      <c r="AO52" s="237">
        <v>70.319999999999993</v>
      </c>
      <c r="AP52" s="237">
        <v>71.55</v>
      </c>
      <c r="AQ52" s="237">
        <v>72.790000000000006</v>
      </c>
      <c r="AR52" s="237">
        <v>74.02</v>
      </c>
      <c r="AS52" s="237">
        <v>51.81</v>
      </c>
      <c r="AT52" s="237">
        <v>50.58</v>
      </c>
      <c r="AU52" s="761">
        <v>61.7</v>
      </c>
      <c r="AV52" s="237">
        <v>48.11</v>
      </c>
      <c r="AW52" s="237">
        <v>46.88</v>
      </c>
    </row>
    <row r="53" spans="1:49" ht="22.5">
      <c r="A53" s="2">
        <v>84</v>
      </c>
      <c r="B53" s="59">
        <v>85.78</v>
      </c>
      <c r="C53" s="3">
        <v>87.57</v>
      </c>
      <c r="D53" s="3">
        <v>89.35</v>
      </c>
      <c r="E53" s="59">
        <v>91.13</v>
      </c>
      <c r="F53" s="59">
        <v>92.92</v>
      </c>
      <c r="G53" s="59">
        <v>94.7</v>
      </c>
      <c r="H53" s="974">
        <v>121.67</v>
      </c>
      <c r="I53" s="237">
        <v>98.27</v>
      </c>
      <c r="J53" s="237">
        <v>100.05</v>
      </c>
      <c r="K53" s="237">
        <v>101.84</v>
      </c>
      <c r="L53" s="237">
        <v>103.62</v>
      </c>
      <c r="M53" s="237">
        <v>105.4</v>
      </c>
      <c r="N53" s="237">
        <v>107.19</v>
      </c>
      <c r="O53" s="237">
        <v>108.97</v>
      </c>
      <c r="P53" s="237">
        <v>110.75</v>
      </c>
      <c r="Q53" s="237">
        <v>112.54</v>
      </c>
      <c r="R53" s="237">
        <v>114.32</v>
      </c>
      <c r="S53" s="237">
        <v>82.22</v>
      </c>
      <c r="T53" s="237">
        <v>80.430000000000007</v>
      </c>
      <c r="U53" s="237">
        <v>78.650000000000006</v>
      </c>
      <c r="V53" s="237">
        <v>76.87</v>
      </c>
      <c r="W53" s="237">
        <v>75.08</v>
      </c>
      <c r="X53" s="51">
        <v>49</v>
      </c>
      <c r="Y53" s="761">
        <v>64.23</v>
      </c>
      <c r="Z53" s="761">
        <v>65.489999999999995</v>
      </c>
      <c r="AA53" s="730">
        <v>66.75</v>
      </c>
      <c r="AB53" s="742">
        <v>68.010000000000005</v>
      </c>
      <c r="AC53" s="747">
        <v>69.27</v>
      </c>
      <c r="AD53" s="739">
        <f>AD52+1.43</f>
        <v>70.530000000000015</v>
      </c>
      <c r="AE53" s="742">
        <v>71.790000000000006</v>
      </c>
      <c r="AF53" s="742">
        <v>73.05</v>
      </c>
      <c r="AG53" s="783">
        <v>74.31</v>
      </c>
      <c r="AH53" s="787">
        <v>75.569999999999993</v>
      </c>
      <c r="AI53" s="237">
        <v>64.22</v>
      </c>
      <c r="AJ53" s="237">
        <v>65.48</v>
      </c>
      <c r="AK53" s="237">
        <v>66.739999999999995</v>
      </c>
      <c r="AL53" s="237">
        <v>68</v>
      </c>
      <c r="AM53" s="237">
        <v>69.260000000000005</v>
      </c>
      <c r="AN53" s="237">
        <v>70.52</v>
      </c>
      <c r="AO53" s="237">
        <v>71.78</v>
      </c>
      <c r="AP53" s="237">
        <v>73.040000000000006</v>
      </c>
      <c r="AQ53" s="237">
        <v>74.3</v>
      </c>
      <c r="AR53" s="237">
        <v>75.56</v>
      </c>
      <c r="AS53" s="237">
        <v>52.89</v>
      </c>
      <c r="AT53" s="237">
        <v>51.63</v>
      </c>
      <c r="AU53" s="761">
        <v>62.97</v>
      </c>
      <c r="AV53" s="237">
        <v>49.11</v>
      </c>
      <c r="AW53" s="237">
        <v>47.85</v>
      </c>
    </row>
    <row r="54" spans="1:49" ht="22.5">
      <c r="A54" s="2">
        <v>85.7</v>
      </c>
      <c r="B54" s="59">
        <v>87.52</v>
      </c>
      <c r="C54" s="3">
        <v>89.34</v>
      </c>
      <c r="D54" s="3">
        <v>91.16</v>
      </c>
      <c r="E54" s="59">
        <v>92.98</v>
      </c>
      <c r="F54" s="59">
        <v>94.8</v>
      </c>
      <c r="G54" s="59">
        <v>96.62</v>
      </c>
      <c r="H54" s="974">
        <v>124.12</v>
      </c>
      <c r="I54" s="237">
        <v>100.26</v>
      </c>
      <c r="J54" s="237">
        <v>102.08</v>
      </c>
      <c r="K54" s="237">
        <v>103.9</v>
      </c>
      <c r="L54" s="237">
        <v>105.72</v>
      </c>
      <c r="M54" s="237">
        <v>107.54</v>
      </c>
      <c r="N54" s="237">
        <v>109.36</v>
      </c>
      <c r="O54" s="237">
        <v>111.18</v>
      </c>
      <c r="P54" s="237">
        <v>113</v>
      </c>
      <c r="Q54" s="237">
        <v>114.82</v>
      </c>
      <c r="R54" s="237">
        <v>116.64</v>
      </c>
      <c r="S54" s="237">
        <v>83.88</v>
      </c>
      <c r="T54" s="237">
        <v>82.06</v>
      </c>
      <c r="U54" s="237">
        <v>80.239999999999995</v>
      </c>
      <c r="V54" s="237">
        <v>78.42</v>
      </c>
      <c r="W54" s="237">
        <v>76.599999999999994</v>
      </c>
      <c r="X54" s="51">
        <v>50</v>
      </c>
      <c r="Y54" s="761">
        <v>65.53</v>
      </c>
      <c r="Z54" s="761">
        <v>66.819999999999993</v>
      </c>
      <c r="AA54" s="730">
        <v>68.099999999999994</v>
      </c>
      <c r="AB54" s="742">
        <v>69.39</v>
      </c>
      <c r="AC54" s="747">
        <v>70.67</v>
      </c>
      <c r="AD54" s="739">
        <f>AD53+1.43</f>
        <v>71.960000000000022</v>
      </c>
      <c r="AE54" s="742">
        <v>73.239999999999995</v>
      </c>
      <c r="AF54" s="742">
        <v>74.53</v>
      </c>
      <c r="AG54" s="783">
        <v>75.81</v>
      </c>
      <c r="AH54" s="787">
        <v>77.099999999999994</v>
      </c>
      <c r="AI54" s="237">
        <v>65.53</v>
      </c>
      <c r="AJ54" s="237">
        <v>66.81</v>
      </c>
      <c r="AK54" s="237">
        <v>68.099999999999994</v>
      </c>
      <c r="AL54" s="237">
        <v>69.38</v>
      </c>
      <c r="AM54" s="237">
        <v>70.67</v>
      </c>
      <c r="AN54" s="237">
        <v>71.95</v>
      </c>
      <c r="AO54" s="237">
        <v>73.239999999999995</v>
      </c>
      <c r="AP54" s="237">
        <v>74.52</v>
      </c>
      <c r="AQ54" s="237">
        <v>75.81</v>
      </c>
      <c r="AR54" s="237">
        <v>77.09</v>
      </c>
      <c r="AS54" s="237">
        <v>53.96</v>
      </c>
      <c r="AT54" s="237">
        <v>52.68</v>
      </c>
      <c r="AU54" s="761">
        <v>64.25</v>
      </c>
      <c r="AV54" s="237">
        <v>50.11</v>
      </c>
      <c r="AW54" s="237">
        <v>48.82</v>
      </c>
    </row>
    <row r="55" spans="1:49" ht="22.5">
      <c r="A55" s="2">
        <v>87.41</v>
      </c>
      <c r="B55" s="59">
        <v>89.26</v>
      </c>
      <c r="C55" s="3">
        <v>91.12</v>
      </c>
      <c r="D55" s="3">
        <v>92.98</v>
      </c>
      <c r="E55" s="59">
        <v>94.83</v>
      </c>
      <c r="F55" s="59">
        <v>96.69</v>
      </c>
      <c r="G55" s="59">
        <v>98.55</v>
      </c>
      <c r="H55" s="974">
        <v>126.59</v>
      </c>
      <c r="I55" s="237">
        <v>102.26</v>
      </c>
      <c r="J55" s="237">
        <v>104.12</v>
      </c>
      <c r="K55" s="237">
        <v>105.97</v>
      </c>
      <c r="L55" s="237">
        <v>107.83</v>
      </c>
      <c r="M55" s="237">
        <v>109.68</v>
      </c>
      <c r="N55" s="237">
        <v>111.54</v>
      </c>
      <c r="O55" s="237">
        <v>113.4</v>
      </c>
      <c r="P55" s="237">
        <v>115.25</v>
      </c>
      <c r="Q55" s="237">
        <v>117.11</v>
      </c>
      <c r="R55" s="237">
        <v>118.97</v>
      </c>
      <c r="S55" s="237">
        <v>85.55</v>
      </c>
      <c r="T55" s="237">
        <v>83.7</v>
      </c>
      <c r="U55" s="237">
        <v>81.84</v>
      </c>
      <c r="V55" s="237">
        <v>79.98</v>
      </c>
      <c r="W55" s="237">
        <v>78.13</v>
      </c>
      <c r="X55" s="51">
        <v>51</v>
      </c>
      <c r="Y55" s="761">
        <v>66.83</v>
      </c>
      <c r="Z55" s="761">
        <v>68.14</v>
      </c>
      <c r="AA55" s="730">
        <v>69.45</v>
      </c>
      <c r="AB55" s="742">
        <v>70.760000000000005</v>
      </c>
      <c r="AC55" s="747">
        <v>72.08</v>
      </c>
      <c r="AD55" s="739">
        <f>AD54+1.43</f>
        <v>73.390000000000029</v>
      </c>
      <c r="AE55" s="742">
        <v>74.7</v>
      </c>
      <c r="AF55" s="742">
        <v>76.010000000000005</v>
      </c>
      <c r="AG55" s="783">
        <v>77.319999999999993</v>
      </c>
      <c r="AH55" s="787">
        <v>78.63</v>
      </c>
      <c r="AI55" s="237">
        <v>66.83</v>
      </c>
      <c r="AJ55" s="237">
        <v>68.14</v>
      </c>
      <c r="AK55" s="237">
        <v>69.45</v>
      </c>
      <c r="AL55" s="237">
        <v>70.760000000000005</v>
      </c>
      <c r="AM55" s="237">
        <v>72.069999999999993</v>
      </c>
      <c r="AN55" s="237">
        <v>73.38</v>
      </c>
      <c r="AO55" s="237">
        <v>74.7</v>
      </c>
      <c r="AP55" s="237">
        <v>76.010000000000005</v>
      </c>
      <c r="AQ55" s="237">
        <v>77.319999999999993</v>
      </c>
      <c r="AR55" s="237">
        <v>78.63</v>
      </c>
      <c r="AS55" s="237">
        <v>55.03</v>
      </c>
      <c r="AT55" s="237">
        <v>53.72</v>
      </c>
      <c r="AU55" s="761">
        <v>65.52</v>
      </c>
      <c r="AV55" s="237">
        <v>51.1</v>
      </c>
      <c r="AW55" s="237">
        <v>49.79</v>
      </c>
    </row>
    <row r="56" spans="1:49" ht="22.5">
      <c r="A56" s="2">
        <v>89.1</v>
      </c>
      <c r="B56" s="59">
        <v>90.99</v>
      </c>
      <c r="C56" s="3">
        <v>92.88</v>
      </c>
      <c r="D56" s="3">
        <v>94.78</v>
      </c>
      <c r="E56" s="59">
        <v>96.67</v>
      </c>
      <c r="F56" s="59">
        <v>98.56</v>
      </c>
      <c r="G56" s="59">
        <v>100.46</v>
      </c>
      <c r="H56" s="974">
        <v>129.04</v>
      </c>
      <c r="I56" s="237">
        <v>104.24</v>
      </c>
      <c r="J56" s="237">
        <v>106.13</v>
      </c>
      <c r="K56" s="237">
        <v>108.03</v>
      </c>
      <c r="L56" s="237">
        <v>109.92</v>
      </c>
      <c r="M56" s="237">
        <v>111.81</v>
      </c>
      <c r="N56" s="237">
        <v>113.71</v>
      </c>
      <c r="O56" s="237">
        <v>115.6</v>
      </c>
      <c r="P56" s="237">
        <v>117.49</v>
      </c>
      <c r="Q56" s="237">
        <v>119.38</v>
      </c>
      <c r="R56" s="237">
        <v>121.28</v>
      </c>
      <c r="S56" s="237">
        <v>87.21</v>
      </c>
      <c r="T56" s="237">
        <v>85.31</v>
      </c>
      <c r="U56" s="237">
        <v>83.42</v>
      </c>
      <c r="V56" s="237">
        <v>81.53</v>
      </c>
      <c r="W56" s="237">
        <v>79.63</v>
      </c>
      <c r="X56" s="51">
        <v>52</v>
      </c>
      <c r="Y56" s="761">
        <v>68.12</v>
      </c>
      <c r="Z56" s="761">
        <v>69.459999999999994</v>
      </c>
      <c r="AA56" s="730">
        <v>70.8</v>
      </c>
      <c r="AB56" s="742">
        <v>72.13</v>
      </c>
      <c r="AC56" s="747">
        <v>73.47</v>
      </c>
      <c r="AD56" s="739">
        <f>AD55+1.42</f>
        <v>74.810000000000031</v>
      </c>
      <c r="AE56" s="742">
        <v>76.14</v>
      </c>
      <c r="AF56" s="742">
        <v>77.48</v>
      </c>
      <c r="AG56" s="783">
        <v>78.819999999999993</v>
      </c>
      <c r="AH56" s="787">
        <v>80.150000000000006</v>
      </c>
      <c r="AI56" s="237">
        <v>68.13</v>
      </c>
      <c r="AJ56" s="237">
        <v>69.47</v>
      </c>
      <c r="AK56" s="237">
        <v>70.8</v>
      </c>
      <c r="AL56" s="237">
        <v>72.14</v>
      </c>
      <c r="AM56" s="237">
        <v>73.48</v>
      </c>
      <c r="AN56" s="237">
        <v>74.81</v>
      </c>
      <c r="AO56" s="237">
        <v>76.150000000000006</v>
      </c>
      <c r="AP56" s="237">
        <v>77.48</v>
      </c>
      <c r="AQ56" s="237">
        <v>78.819999999999993</v>
      </c>
      <c r="AR56" s="237">
        <v>80.16</v>
      </c>
      <c r="AS56" s="237">
        <v>56.1</v>
      </c>
      <c r="AT56" s="237">
        <v>54.77</v>
      </c>
      <c r="AU56" s="761">
        <v>66.790000000000006</v>
      </c>
      <c r="AV56" s="237">
        <v>52.09</v>
      </c>
      <c r="AW56" s="237">
        <v>50.76</v>
      </c>
    </row>
    <row r="57" spans="1:49" ht="22.5">
      <c r="A57" s="2">
        <v>90.8</v>
      </c>
      <c r="B57" s="59">
        <v>92.73</v>
      </c>
      <c r="C57" s="3">
        <v>94.66</v>
      </c>
      <c r="D57" s="3">
        <v>96.59</v>
      </c>
      <c r="E57" s="59">
        <v>98.52</v>
      </c>
      <c r="F57" s="59">
        <v>100.45</v>
      </c>
      <c r="G57" s="59">
        <v>102.37</v>
      </c>
      <c r="H57" s="974">
        <v>131.5</v>
      </c>
      <c r="I57" s="237">
        <v>106.23</v>
      </c>
      <c r="J57" s="237">
        <v>108.16</v>
      </c>
      <c r="K57" s="237">
        <v>110.09</v>
      </c>
      <c r="L57" s="237">
        <v>112.02</v>
      </c>
      <c r="M57" s="237">
        <v>113.95</v>
      </c>
      <c r="N57" s="237">
        <v>115.88</v>
      </c>
      <c r="O57" s="237">
        <v>117.81</v>
      </c>
      <c r="P57" s="237">
        <v>119.74</v>
      </c>
      <c r="Q57" s="237">
        <v>121.67</v>
      </c>
      <c r="R57" s="237">
        <v>123.6</v>
      </c>
      <c r="S57" s="237">
        <v>88.87</v>
      </c>
      <c r="T57" s="237">
        <v>86.94</v>
      </c>
      <c r="U57" s="237">
        <v>85.01</v>
      </c>
      <c r="V57" s="237">
        <v>83.08</v>
      </c>
      <c r="W57" s="237">
        <v>81.150000000000006</v>
      </c>
      <c r="X57" s="51">
        <v>53</v>
      </c>
      <c r="Y57" s="761">
        <v>69.42</v>
      </c>
      <c r="Z57" s="761">
        <v>70.78</v>
      </c>
      <c r="AA57" s="730">
        <v>72.14</v>
      </c>
      <c r="AB57" s="742">
        <v>73.510000000000005</v>
      </c>
      <c r="AC57" s="747">
        <v>74.87</v>
      </c>
      <c r="AD57" s="739">
        <f>AD56+1.42</f>
        <v>76.230000000000032</v>
      </c>
      <c r="AE57" s="742">
        <v>77.59</v>
      </c>
      <c r="AF57" s="742">
        <v>78.95</v>
      </c>
      <c r="AG57" s="783">
        <v>80.319999999999993</v>
      </c>
      <c r="AH57" s="787">
        <v>81.680000000000007</v>
      </c>
      <c r="AI57" s="237">
        <v>69.430000000000007</v>
      </c>
      <c r="AJ57" s="237">
        <v>70.790000000000006</v>
      </c>
      <c r="AK57" s="237">
        <v>72.16</v>
      </c>
      <c r="AL57" s="237">
        <v>73.52</v>
      </c>
      <c r="AM57" s="237">
        <v>74.88</v>
      </c>
      <c r="AN57" s="237">
        <v>76.239999999999995</v>
      </c>
      <c r="AO57" s="237">
        <v>77.599999999999994</v>
      </c>
      <c r="AP57" s="237">
        <v>78.97</v>
      </c>
      <c r="AQ57" s="237">
        <v>80.33</v>
      </c>
      <c r="AR57" s="237">
        <v>81.69</v>
      </c>
      <c r="AS57" s="237">
        <v>57.17</v>
      </c>
      <c r="AT57" s="237">
        <v>55.81</v>
      </c>
      <c r="AU57" s="761">
        <v>68.06</v>
      </c>
      <c r="AV57" s="237">
        <v>53.09</v>
      </c>
      <c r="AW57" s="237">
        <v>51.72</v>
      </c>
    </row>
    <row r="58" spans="1:49" ht="22.5">
      <c r="A58" s="2">
        <v>92.51</v>
      </c>
      <c r="B58" s="59">
        <v>94.47</v>
      </c>
      <c r="C58" s="3">
        <v>96.44</v>
      </c>
      <c r="D58" s="3">
        <v>98.41</v>
      </c>
      <c r="E58" s="59">
        <v>100.37</v>
      </c>
      <c r="F58" s="59">
        <v>102.34</v>
      </c>
      <c r="G58" s="59">
        <v>104.3</v>
      </c>
      <c r="H58" s="974">
        <v>133.97</v>
      </c>
      <c r="I58" s="237">
        <v>108.23</v>
      </c>
      <c r="J58" s="237">
        <v>110.2</v>
      </c>
      <c r="K58" s="237">
        <v>112.16</v>
      </c>
      <c r="L58" s="237">
        <v>114.13</v>
      </c>
      <c r="M58" s="237">
        <v>116.1</v>
      </c>
      <c r="N58" s="237">
        <v>118.06</v>
      </c>
      <c r="O58" s="237">
        <v>120.03</v>
      </c>
      <c r="P58" s="237">
        <v>121.99</v>
      </c>
      <c r="Q58" s="237">
        <v>123.96</v>
      </c>
      <c r="R58" s="237">
        <v>125.92</v>
      </c>
      <c r="S58" s="237">
        <v>90.54</v>
      </c>
      <c r="T58" s="237">
        <v>88.58</v>
      </c>
      <c r="U58" s="237">
        <v>86.61</v>
      </c>
      <c r="V58" s="237">
        <v>84.65</v>
      </c>
      <c r="W58" s="237">
        <v>82.68</v>
      </c>
      <c r="X58" s="51">
        <v>54</v>
      </c>
      <c r="Y58" s="761">
        <v>70.72</v>
      </c>
      <c r="Z58" s="761">
        <v>72.11</v>
      </c>
      <c r="AA58" s="730">
        <v>73.5</v>
      </c>
      <c r="AB58" s="742">
        <v>74.88</v>
      </c>
      <c r="AC58" s="747">
        <v>76.27</v>
      </c>
      <c r="AD58" s="739">
        <f>AD57+1.43</f>
        <v>77.660000000000039</v>
      </c>
      <c r="AE58" s="742">
        <v>79.05</v>
      </c>
      <c r="AF58" s="742">
        <v>80.430000000000007</v>
      </c>
      <c r="AG58" s="783">
        <v>81.819999999999993</v>
      </c>
      <c r="AH58" s="787">
        <v>83.21</v>
      </c>
      <c r="AI58" s="237">
        <v>70.73</v>
      </c>
      <c r="AJ58" s="237">
        <v>72.12</v>
      </c>
      <c r="AK58" s="237">
        <v>73.510000000000005</v>
      </c>
      <c r="AL58" s="237">
        <v>74.900000000000006</v>
      </c>
      <c r="AM58" s="237">
        <v>76.290000000000006</v>
      </c>
      <c r="AN58" s="237">
        <v>77.67</v>
      </c>
      <c r="AO58" s="237">
        <v>79.06</v>
      </c>
      <c r="AP58" s="237">
        <v>80.45</v>
      </c>
      <c r="AQ58" s="237">
        <v>81.84</v>
      </c>
      <c r="AR58" s="237">
        <v>83.22</v>
      </c>
      <c r="AS58" s="237">
        <v>58.24</v>
      </c>
      <c r="AT58" s="237">
        <v>56.86</v>
      </c>
      <c r="AU58" s="761">
        <v>69.33</v>
      </c>
      <c r="AV58" s="237">
        <v>54.08</v>
      </c>
      <c r="AW58" s="237">
        <v>52.69</v>
      </c>
    </row>
    <row r="59" spans="1:49" ht="22.5">
      <c r="A59" s="2">
        <v>94.2</v>
      </c>
      <c r="B59" s="59">
        <v>96.2</v>
      </c>
      <c r="C59" s="3">
        <v>98.2</v>
      </c>
      <c r="D59" s="3">
        <v>100.2</v>
      </c>
      <c r="E59" s="59">
        <v>102.21</v>
      </c>
      <c r="F59" s="59">
        <v>104.21</v>
      </c>
      <c r="G59" s="59">
        <v>106.21</v>
      </c>
      <c r="H59" s="974">
        <v>136.41</v>
      </c>
      <c r="I59" s="237">
        <v>110.21</v>
      </c>
      <c r="J59" s="237">
        <v>112.22</v>
      </c>
      <c r="K59" s="237">
        <v>114.22</v>
      </c>
      <c r="L59" s="237">
        <v>116.22</v>
      </c>
      <c r="M59" s="237">
        <v>118.22</v>
      </c>
      <c r="N59" s="237">
        <v>120.22</v>
      </c>
      <c r="O59" s="237">
        <v>122.23</v>
      </c>
      <c r="P59" s="237">
        <v>124.23</v>
      </c>
      <c r="Q59" s="237">
        <v>126.23</v>
      </c>
      <c r="R59" s="237">
        <v>128.22999999999999</v>
      </c>
      <c r="S59" s="237">
        <v>92.2</v>
      </c>
      <c r="T59" s="237">
        <v>90.19</v>
      </c>
      <c r="U59" s="237">
        <v>88.19</v>
      </c>
      <c r="V59" s="237">
        <v>86.19</v>
      </c>
      <c r="W59" s="237">
        <v>84.19</v>
      </c>
      <c r="X59" s="51">
        <v>55</v>
      </c>
      <c r="Y59" s="761">
        <v>72.02</v>
      </c>
      <c r="Z59" s="761">
        <v>73.44</v>
      </c>
      <c r="AA59" s="730">
        <v>74.849999999999994</v>
      </c>
      <c r="AB59" s="742">
        <v>76.260000000000005</v>
      </c>
      <c r="AC59" s="747">
        <v>77.680000000000007</v>
      </c>
      <c r="AD59" s="739">
        <f>AD58+1.43</f>
        <v>79.090000000000046</v>
      </c>
      <c r="AE59" s="742">
        <v>80.5</v>
      </c>
      <c r="AF59" s="742">
        <v>81.92</v>
      </c>
      <c r="AG59" s="783">
        <v>83.33</v>
      </c>
      <c r="AH59" s="787">
        <v>74.739999999999995</v>
      </c>
      <c r="AI59" s="237">
        <v>72.040000000000006</v>
      </c>
      <c r="AJ59" s="237">
        <v>73.45</v>
      </c>
      <c r="AK59" s="237">
        <v>74.87</v>
      </c>
      <c r="AL59" s="237">
        <v>76.28</v>
      </c>
      <c r="AM59" s="237">
        <v>77.69</v>
      </c>
      <c r="AN59" s="237">
        <v>79.11</v>
      </c>
      <c r="AO59" s="237">
        <v>80.52</v>
      </c>
      <c r="AP59" s="237">
        <v>81.94</v>
      </c>
      <c r="AQ59" s="237">
        <v>83.35</v>
      </c>
      <c r="AR59" s="237">
        <v>84.76</v>
      </c>
      <c r="AS59" s="237">
        <v>59.32</v>
      </c>
      <c r="AT59" s="237">
        <v>57.91</v>
      </c>
      <c r="AU59" s="761">
        <v>70.61</v>
      </c>
      <c r="AV59" s="237">
        <v>55.08</v>
      </c>
      <c r="AW59" s="237">
        <v>53.67</v>
      </c>
    </row>
    <row r="60" spans="1:49" ht="22.5">
      <c r="A60" s="2">
        <v>95.89</v>
      </c>
      <c r="B60" s="59">
        <v>97.93</v>
      </c>
      <c r="C60" s="3">
        <v>99.97</v>
      </c>
      <c r="D60" s="3">
        <v>102.01</v>
      </c>
      <c r="E60" s="59">
        <v>104.05</v>
      </c>
      <c r="F60" s="59">
        <v>106.09</v>
      </c>
      <c r="G60" s="59">
        <v>108.13</v>
      </c>
      <c r="H60" s="974">
        <v>138.86000000000001</v>
      </c>
      <c r="I60" s="237">
        <v>1120.2</v>
      </c>
      <c r="J60" s="237">
        <v>114.24</v>
      </c>
      <c r="K60" s="237">
        <v>116.28</v>
      </c>
      <c r="L60" s="237">
        <v>118.32</v>
      </c>
      <c r="M60" s="237">
        <v>120.36</v>
      </c>
      <c r="N60" s="237">
        <v>122.39</v>
      </c>
      <c r="O60" s="237">
        <v>124.43</v>
      </c>
      <c r="P60" s="237">
        <v>126.47</v>
      </c>
      <c r="Q60" s="237">
        <v>128.51</v>
      </c>
      <c r="R60" s="237">
        <v>130.55000000000001</v>
      </c>
      <c r="S60" s="237">
        <v>93.86</v>
      </c>
      <c r="T60" s="237">
        <v>91.82</v>
      </c>
      <c r="U60" s="237">
        <v>89.78</v>
      </c>
      <c r="V60" s="237">
        <v>87.74</v>
      </c>
      <c r="W60" s="237">
        <v>85.7</v>
      </c>
      <c r="X60" s="51">
        <v>56</v>
      </c>
      <c r="Y60" s="761">
        <v>73.319999999999993</v>
      </c>
      <c r="Z60" s="761">
        <v>74.75</v>
      </c>
      <c r="AA60" s="730">
        <v>76.19</v>
      </c>
      <c r="AB60" s="742">
        <v>77.63</v>
      </c>
      <c r="AC60" s="747">
        <v>79.069999999999993</v>
      </c>
      <c r="AD60" s="739">
        <f>AD59+1.42</f>
        <v>80.510000000000048</v>
      </c>
      <c r="AE60" s="742">
        <v>81.95</v>
      </c>
      <c r="AF60" s="742">
        <v>83.39</v>
      </c>
      <c r="AG60" s="783">
        <v>84.83</v>
      </c>
      <c r="AH60" s="787">
        <v>86.27</v>
      </c>
      <c r="AI60" s="237">
        <v>73.34</v>
      </c>
      <c r="AJ60" s="237">
        <v>74.78</v>
      </c>
      <c r="AK60" s="237">
        <v>76.22</v>
      </c>
      <c r="AL60" s="237">
        <v>77.66</v>
      </c>
      <c r="AM60" s="237">
        <v>79.099999999999994</v>
      </c>
      <c r="AN60" s="237">
        <v>80.540000000000006</v>
      </c>
      <c r="AO60" s="237">
        <v>81.98</v>
      </c>
      <c r="AP60" s="237">
        <v>83.41</v>
      </c>
      <c r="AQ60" s="237">
        <v>84.85</v>
      </c>
      <c r="AR60" s="237">
        <v>86.29</v>
      </c>
      <c r="AS60" s="237">
        <v>60.39</v>
      </c>
      <c r="AT60" s="237">
        <v>58.95</v>
      </c>
      <c r="AU60" s="761">
        <v>71.88</v>
      </c>
      <c r="AV60" s="237">
        <v>56.07</v>
      </c>
      <c r="AW60" s="237">
        <v>54.63</v>
      </c>
    </row>
    <row r="61" spans="1:49" ht="22.5">
      <c r="A61" s="2">
        <v>97.6</v>
      </c>
      <c r="B61" s="59">
        <v>99.68</v>
      </c>
      <c r="C61" s="3">
        <v>101.75</v>
      </c>
      <c r="D61" s="3">
        <v>103.82</v>
      </c>
      <c r="E61" s="59">
        <v>105.9</v>
      </c>
      <c r="F61" s="59">
        <v>107.97</v>
      </c>
      <c r="G61" s="59">
        <v>110.05</v>
      </c>
      <c r="H61" s="974">
        <v>141.33000000000001</v>
      </c>
      <c r="I61" s="237">
        <v>114.2</v>
      </c>
      <c r="J61" s="237">
        <v>116.27</v>
      </c>
      <c r="K61" s="237">
        <v>118.35</v>
      </c>
      <c r="L61" s="237">
        <v>120.42</v>
      </c>
      <c r="M61" s="237">
        <v>122.5</v>
      </c>
      <c r="N61" s="237">
        <v>124.57</v>
      </c>
      <c r="O61" s="237">
        <v>126.65</v>
      </c>
      <c r="P61" s="237">
        <v>128.72</v>
      </c>
      <c r="Q61" s="237">
        <v>130.80000000000001</v>
      </c>
      <c r="R61" s="237">
        <v>132.87</v>
      </c>
      <c r="S61" s="237">
        <v>95.53</v>
      </c>
      <c r="T61" s="237">
        <v>93.45</v>
      </c>
      <c r="U61" s="237">
        <v>91.38</v>
      </c>
      <c r="V61" s="237">
        <v>89.3</v>
      </c>
      <c r="W61" s="237">
        <v>87.23</v>
      </c>
      <c r="X61" s="51">
        <v>57</v>
      </c>
      <c r="Y61" s="761">
        <v>74.61</v>
      </c>
      <c r="Z61" s="761">
        <v>76.08</v>
      </c>
      <c r="AA61" s="730">
        <v>77.540000000000006</v>
      </c>
      <c r="AB61" s="742">
        <v>79.010000000000005</v>
      </c>
      <c r="AC61" s="747">
        <v>80.47</v>
      </c>
      <c r="AD61" s="739">
        <f>AD60+1.43</f>
        <v>81.940000000000055</v>
      </c>
      <c r="AE61" s="742">
        <v>83.4</v>
      </c>
      <c r="AF61" s="742">
        <v>84.87</v>
      </c>
      <c r="AG61" s="783">
        <v>86.33</v>
      </c>
      <c r="AH61" s="787">
        <v>87.8</v>
      </c>
      <c r="AI61" s="237">
        <v>74.64</v>
      </c>
      <c r="AJ61" s="237">
        <v>76.11</v>
      </c>
      <c r="AK61" s="237">
        <v>77.569999999999993</v>
      </c>
      <c r="AL61" s="237">
        <v>79.040000000000006</v>
      </c>
      <c r="AM61" s="237">
        <v>80.5</v>
      </c>
      <c r="AN61" s="237">
        <v>81.97</v>
      </c>
      <c r="AO61" s="237">
        <v>83.43</v>
      </c>
      <c r="AP61" s="237">
        <v>84.9</v>
      </c>
      <c r="AQ61" s="237">
        <v>86.36</v>
      </c>
      <c r="AR61" s="237">
        <v>87.83</v>
      </c>
      <c r="AS61" s="237">
        <v>61.46</v>
      </c>
      <c r="AT61" s="237">
        <v>59.99</v>
      </c>
      <c r="AU61" s="761">
        <v>73.150000000000006</v>
      </c>
      <c r="AV61" s="237">
        <v>57.06</v>
      </c>
      <c r="AW61" s="237">
        <v>55.6</v>
      </c>
    </row>
    <row r="62" spans="1:49" ht="22.5">
      <c r="A62" s="2">
        <v>99.32</v>
      </c>
      <c r="B62" s="59">
        <v>101.43</v>
      </c>
      <c r="C62" s="3">
        <v>103.54</v>
      </c>
      <c r="D62" s="3">
        <v>105.65</v>
      </c>
      <c r="E62" s="59">
        <v>107.76</v>
      </c>
      <c r="F62" s="59">
        <v>109.87</v>
      </c>
      <c r="G62" s="59">
        <v>111.98</v>
      </c>
      <c r="H62" s="974">
        <v>143.82</v>
      </c>
      <c r="I62" s="237">
        <v>116.21</v>
      </c>
      <c r="J62" s="237">
        <v>118.32</v>
      </c>
      <c r="K62" s="237">
        <v>120.43</v>
      </c>
      <c r="L62" s="237">
        <v>122.54</v>
      </c>
      <c r="M62" s="237">
        <v>124.65</v>
      </c>
      <c r="N62" s="237">
        <v>126.76</v>
      </c>
      <c r="O62" s="237">
        <v>128.87</v>
      </c>
      <c r="P62" s="237">
        <v>130.97999999999999</v>
      </c>
      <c r="Q62" s="237">
        <v>133.1</v>
      </c>
      <c r="R62" s="237">
        <v>135.21</v>
      </c>
      <c r="S62" s="237">
        <v>97.2</v>
      </c>
      <c r="T62" s="237">
        <v>95.09</v>
      </c>
      <c r="U62" s="237">
        <v>92.98</v>
      </c>
      <c r="V62" s="237">
        <v>90.87</v>
      </c>
      <c r="W62" s="237">
        <v>88.76</v>
      </c>
      <c r="X62" s="51">
        <v>58</v>
      </c>
      <c r="Y62" s="761">
        <v>75.91</v>
      </c>
      <c r="Z62" s="761">
        <v>77.400000000000006</v>
      </c>
      <c r="AA62" s="730">
        <v>78.89</v>
      </c>
      <c r="AB62" s="742">
        <v>90.38</v>
      </c>
      <c r="AC62" s="747">
        <v>81.87</v>
      </c>
      <c r="AD62" s="739">
        <f>AD61+1.42</f>
        <v>83.360000000000056</v>
      </c>
      <c r="AE62" s="742">
        <v>84.85</v>
      </c>
      <c r="AF62" s="742">
        <v>86.34</v>
      </c>
      <c r="AG62" s="783">
        <v>87.84</v>
      </c>
      <c r="AH62" s="787">
        <v>89.33</v>
      </c>
      <c r="AI62" s="237">
        <v>75.94</v>
      </c>
      <c r="AJ62" s="237">
        <v>77.44</v>
      </c>
      <c r="AK62" s="237">
        <v>78.930000000000007</v>
      </c>
      <c r="AL62" s="237">
        <v>80.42</v>
      </c>
      <c r="AM62" s="237">
        <v>81.91</v>
      </c>
      <c r="AN62" s="237">
        <v>83.4</v>
      </c>
      <c r="AO62" s="237">
        <v>84.89</v>
      </c>
      <c r="AP62" s="237">
        <v>86.38</v>
      </c>
      <c r="AQ62" s="237">
        <v>87.87</v>
      </c>
      <c r="AR62" s="237">
        <v>89.36</v>
      </c>
      <c r="AS62" s="237">
        <v>62.53</v>
      </c>
      <c r="AT62" s="237">
        <v>61.04</v>
      </c>
      <c r="AU62" s="761">
        <v>74.42</v>
      </c>
      <c r="AV62" s="237">
        <v>58.06</v>
      </c>
      <c r="AW62" s="237">
        <v>56.57</v>
      </c>
    </row>
    <row r="63" spans="1:49" ht="22.5">
      <c r="A63" s="2">
        <v>101.01</v>
      </c>
      <c r="B63" s="59">
        <v>103.15</v>
      </c>
      <c r="C63" s="3">
        <v>105.3</v>
      </c>
      <c r="D63" s="3">
        <v>107.45</v>
      </c>
      <c r="E63" s="59">
        <v>109.6</v>
      </c>
      <c r="F63" s="59">
        <v>111.74</v>
      </c>
      <c r="G63" s="59">
        <v>113.89</v>
      </c>
      <c r="H63" s="974">
        <v>146.26</v>
      </c>
      <c r="I63" s="237">
        <v>118.19</v>
      </c>
      <c r="J63" s="237">
        <v>120.33</v>
      </c>
      <c r="K63" s="237">
        <v>122.48</v>
      </c>
      <c r="L63" s="237">
        <v>124.63</v>
      </c>
      <c r="M63" s="237">
        <v>126.78</v>
      </c>
      <c r="N63" s="237">
        <v>128.91999999999999</v>
      </c>
      <c r="O63" s="237">
        <v>131.07</v>
      </c>
      <c r="P63" s="237">
        <v>133.22</v>
      </c>
      <c r="Q63" s="237">
        <v>135.37</v>
      </c>
      <c r="R63" s="237">
        <v>137.51</v>
      </c>
      <c r="S63" s="237">
        <v>98.86</v>
      </c>
      <c r="T63" s="237">
        <v>96.71</v>
      </c>
      <c r="U63" s="237">
        <v>94.56</v>
      </c>
      <c r="V63" s="237">
        <v>92.41</v>
      </c>
      <c r="W63" s="237">
        <v>90.27</v>
      </c>
      <c r="X63" s="51">
        <v>59</v>
      </c>
      <c r="Y63" s="761">
        <v>77.209999999999994</v>
      </c>
      <c r="Z63" s="761">
        <v>78.73</v>
      </c>
      <c r="AA63" s="730">
        <v>80.25</v>
      </c>
      <c r="AB63" s="742">
        <v>81.760000000000005</v>
      </c>
      <c r="AC63" s="747">
        <v>83.28</v>
      </c>
      <c r="AD63" s="739">
        <f>AD62+1.43</f>
        <v>84.790000000000063</v>
      </c>
      <c r="AE63" s="742">
        <v>86.31</v>
      </c>
      <c r="AF63" s="742">
        <v>87.83</v>
      </c>
      <c r="AG63" s="783">
        <v>89.34</v>
      </c>
      <c r="AH63" s="787">
        <v>90.86</v>
      </c>
      <c r="AI63" s="237">
        <v>77.25</v>
      </c>
      <c r="AJ63" s="237">
        <v>78.77</v>
      </c>
      <c r="AK63" s="237">
        <v>80.28</v>
      </c>
      <c r="AL63" s="237">
        <v>81.8</v>
      </c>
      <c r="AM63" s="237">
        <v>83.32</v>
      </c>
      <c r="AN63" s="237">
        <v>84.83</v>
      </c>
      <c r="AO63" s="237">
        <v>86.35</v>
      </c>
      <c r="AP63" s="237">
        <v>87.86</v>
      </c>
      <c r="AQ63" s="237">
        <v>89.38</v>
      </c>
      <c r="AR63" s="237">
        <v>90.9</v>
      </c>
      <c r="AS63" s="237">
        <v>63.6</v>
      </c>
      <c r="AT63" s="237">
        <v>62.09</v>
      </c>
      <c r="AU63" s="761">
        <v>75.7</v>
      </c>
      <c r="AV63" s="237">
        <v>59.05</v>
      </c>
      <c r="AW63" s="237">
        <v>57.54</v>
      </c>
    </row>
    <row r="64" spans="1:49" ht="22.5">
      <c r="A64" s="2">
        <v>102.7</v>
      </c>
      <c r="B64" s="59">
        <v>104.89</v>
      </c>
      <c r="C64" s="3">
        <v>107.07</v>
      </c>
      <c r="D64" s="3">
        <v>109.25</v>
      </c>
      <c r="E64" s="59">
        <v>111.44</v>
      </c>
      <c r="F64" s="59">
        <v>113.62</v>
      </c>
      <c r="G64" s="59">
        <v>115.81</v>
      </c>
      <c r="H64" s="974">
        <v>148.71</v>
      </c>
      <c r="I64" s="237">
        <v>120.17</v>
      </c>
      <c r="J64" s="237">
        <v>122.36</v>
      </c>
      <c r="K64" s="237">
        <v>124.54</v>
      </c>
      <c r="L64" s="237">
        <v>126.73</v>
      </c>
      <c r="M64" s="237">
        <v>128.91</v>
      </c>
      <c r="N64" s="237">
        <v>131.09</v>
      </c>
      <c r="O64" s="237">
        <v>133.28</v>
      </c>
      <c r="P64" s="237">
        <v>135.46</v>
      </c>
      <c r="Q64" s="237">
        <v>137.65</v>
      </c>
      <c r="R64" s="237">
        <v>139.83000000000001</v>
      </c>
      <c r="S64" s="237">
        <v>100.52</v>
      </c>
      <c r="T64" s="237">
        <v>98.33</v>
      </c>
      <c r="U64" s="237">
        <v>96.15</v>
      </c>
      <c r="V64" s="237">
        <v>93.97</v>
      </c>
      <c r="W64" s="237">
        <v>91.78</v>
      </c>
      <c r="X64" s="51">
        <v>60</v>
      </c>
      <c r="Y64" s="761">
        <v>78.52</v>
      </c>
      <c r="Z64" s="761">
        <v>80.06</v>
      </c>
      <c r="AA64" s="730">
        <v>81.599999999999994</v>
      </c>
      <c r="AB64" s="742">
        <v>83.15</v>
      </c>
      <c r="AC64" s="747">
        <v>84.69</v>
      </c>
      <c r="AD64" s="739">
        <f>AD63+1.44</f>
        <v>86.230000000000061</v>
      </c>
      <c r="AE64" s="742">
        <v>87.77</v>
      </c>
      <c r="AF64" s="742">
        <v>89.31</v>
      </c>
      <c r="AG64" s="783">
        <v>90.86</v>
      </c>
      <c r="AH64" s="787">
        <v>92.4</v>
      </c>
      <c r="AI64" s="237">
        <v>78.56</v>
      </c>
      <c r="AJ64" s="237">
        <v>80.099999999999994</v>
      </c>
      <c r="AK64" s="237">
        <v>81.64</v>
      </c>
      <c r="AL64" s="237">
        <v>83.18</v>
      </c>
      <c r="AM64" s="237">
        <v>84.73</v>
      </c>
      <c r="AN64" s="237">
        <v>86.27</v>
      </c>
      <c r="AO64" s="237">
        <v>87.81</v>
      </c>
      <c r="AP64" s="237">
        <v>89.35</v>
      </c>
      <c r="AQ64" s="237">
        <v>90.89</v>
      </c>
      <c r="AR64" s="237">
        <v>92.44</v>
      </c>
      <c r="AS64" s="237">
        <v>64.680000000000007</v>
      </c>
      <c r="AT64" s="237">
        <v>63.14</v>
      </c>
      <c r="AU64" s="761">
        <v>76.98</v>
      </c>
      <c r="AV64" s="237">
        <v>60.05</v>
      </c>
      <c r="AW64" s="237">
        <v>58.51</v>
      </c>
    </row>
    <row r="65" spans="1:49" ht="22.5">
      <c r="A65" s="2">
        <v>104.41</v>
      </c>
      <c r="B65" s="59">
        <v>106.63</v>
      </c>
      <c r="C65" s="3">
        <v>108.85</v>
      </c>
      <c r="D65" s="3">
        <v>111.07</v>
      </c>
      <c r="E65" s="59">
        <v>113.29</v>
      </c>
      <c r="F65" s="59">
        <v>115.51</v>
      </c>
      <c r="G65" s="59">
        <v>117.73</v>
      </c>
      <c r="H65" s="974">
        <v>151.18</v>
      </c>
      <c r="I65" s="237">
        <v>122.17</v>
      </c>
      <c r="J65" s="237">
        <v>124.39</v>
      </c>
      <c r="K65" s="237">
        <v>126.61</v>
      </c>
      <c r="L65" s="237">
        <v>128.83000000000001</v>
      </c>
      <c r="M65" s="237">
        <v>131.05000000000001</v>
      </c>
      <c r="N65" s="237">
        <v>133.27000000000001</v>
      </c>
      <c r="O65" s="237">
        <v>135.49</v>
      </c>
      <c r="P65" s="237">
        <v>137.71</v>
      </c>
      <c r="Q65" s="237">
        <v>139.93</v>
      </c>
      <c r="R65" s="237">
        <v>142.15</v>
      </c>
      <c r="S65" s="237">
        <v>102.19</v>
      </c>
      <c r="T65" s="237">
        <v>99.97</v>
      </c>
      <c r="U65" s="237">
        <v>97.75</v>
      </c>
      <c r="V65" s="237">
        <v>95.53</v>
      </c>
      <c r="W65" s="237">
        <v>93.31</v>
      </c>
      <c r="X65" s="51">
        <v>61</v>
      </c>
      <c r="Y65" s="761">
        <v>79.81</v>
      </c>
      <c r="Z65" s="761">
        <v>81.38</v>
      </c>
      <c r="AA65" s="730">
        <v>82.95</v>
      </c>
      <c r="AB65" s="742">
        <v>84.52</v>
      </c>
      <c r="AC65" s="747">
        <v>86.08</v>
      </c>
      <c r="AD65" s="739">
        <f>AD64+1.42</f>
        <v>87.650000000000063</v>
      </c>
      <c r="AE65" s="742">
        <v>89.22</v>
      </c>
      <c r="AF65" s="742">
        <v>90.79</v>
      </c>
      <c r="AG65" s="783">
        <v>92.35</v>
      </c>
      <c r="AH65" s="787">
        <v>93.92</v>
      </c>
      <c r="AI65" s="237">
        <v>79.86</v>
      </c>
      <c r="AJ65" s="237">
        <v>81.430000000000007</v>
      </c>
      <c r="AK65" s="237">
        <v>82.99</v>
      </c>
      <c r="AL65" s="237">
        <v>84.56</v>
      </c>
      <c r="AM65" s="237">
        <v>86.13</v>
      </c>
      <c r="AN65" s="237">
        <v>87.7</v>
      </c>
      <c r="AO65" s="237">
        <v>89.26</v>
      </c>
      <c r="AP65" s="237">
        <v>90.83</v>
      </c>
      <c r="AQ65" s="237">
        <v>92.4</v>
      </c>
      <c r="AR65" s="237">
        <v>93.97</v>
      </c>
      <c r="AS65" s="237">
        <v>65.75</v>
      </c>
      <c r="AT65" s="237">
        <v>64.180000000000007</v>
      </c>
      <c r="AU65" s="761">
        <v>78.25</v>
      </c>
      <c r="AV65" s="237">
        <v>61.05</v>
      </c>
      <c r="AW65" s="237">
        <v>59.48</v>
      </c>
    </row>
    <row r="66" spans="1:49" ht="22.5">
      <c r="A66" s="2">
        <v>106.12</v>
      </c>
      <c r="B66" s="59">
        <v>108.38</v>
      </c>
      <c r="C66" s="3">
        <v>110.64</v>
      </c>
      <c r="D66" s="3">
        <v>112.89</v>
      </c>
      <c r="E66" s="59">
        <v>115.15</v>
      </c>
      <c r="F66" s="59">
        <v>117.41</v>
      </c>
      <c r="G66" s="59">
        <v>119.66</v>
      </c>
      <c r="H66" s="974">
        <v>153.66</v>
      </c>
      <c r="I66" s="237">
        <v>124.18</v>
      </c>
      <c r="J66" s="237">
        <v>126.43</v>
      </c>
      <c r="K66" s="237">
        <v>128.69</v>
      </c>
      <c r="L66" s="237">
        <v>130.94999999999999</v>
      </c>
      <c r="M66" s="237">
        <v>133.19999999999999</v>
      </c>
      <c r="N66" s="237">
        <v>135.46</v>
      </c>
      <c r="O66" s="237">
        <v>137.72</v>
      </c>
      <c r="P66" s="237">
        <v>139.97</v>
      </c>
      <c r="Q66" s="237">
        <v>142.22999999999999</v>
      </c>
      <c r="R66" s="237">
        <v>144.49</v>
      </c>
      <c r="S66" s="237">
        <v>103.87</v>
      </c>
      <c r="T66" s="237">
        <v>101.61</v>
      </c>
      <c r="U66" s="237">
        <v>99.35</v>
      </c>
      <c r="V66" s="237">
        <v>97.09</v>
      </c>
      <c r="W66" s="237">
        <v>94.84</v>
      </c>
      <c r="X66" s="51">
        <v>62</v>
      </c>
      <c r="Y66" s="761">
        <v>81.11</v>
      </c>
      <c r="Z66" s="761">
        <v>82.7</v>
      </c>
      <c r="AA66" s="730">
        <v>84.3</v>
      </c>
      <c r="AB66" s="742">
        <v>85.89</v>
      </c>
      <c r="AC66" s="747">
        <v>87.48</v>
      </c>
      <c r="AD66" s="739">
        <f>AD65+1.43</f>
        <v>89.080000000000069</v>
      </c>
      <c r="AE66" s="742">
        <v>90.67</v>
      </c>
      <c r="AF66" s="742">
        <v>92.26</v>
      </c>
      <c r="AG66" s="783">
        <v>93.86</v>
      </c>
      <c r="AH66" s="787">
        <v>95.45</v>
      </c>
      <c r="AI66" s="237">
        <v>81.16</v>
      </c>
      <c r="AJ66" s="237">
        <v>82.75</v>
      </c>
      <c r="AK66" s="237">
        <v>84.35</v>
      </c>
      <c r="AL66" s="237">
        <v>85.94</v>
      </c>
      <c r="AM66" s="237">
        <v>87.53</v>
      </c>
      <c r="AN66" s="237">
        <v>89.13</v>
      </c>
      <c r="AO66" s="237">
        <v>90.72</v>
      </c>
      <c r="AP66" s="237">
        <v>92.31</v>
      </c>
      <c r="AQ66" s="237">
        <v>93.91</v>
      </c>
      <c r="AR66" s="237">
        <v>95.5</v>
      </c>
      <c r="AS66" s="237">
        <v>66.819999999999993</v>
      </c>
      <c r="AT66" s="237">
        <v>65.23</v>
      </c>
      <c r="AU66" s="761">
        <v>79.52</v>
      </c>
      <c r="AV66" s="237">
        <v>62.04</v>
      </c>
      <c r="AW66" s="237">
        <v>60.44</v>
      </c>
    </row>
    <row r="67" spans="1:49" ht="22.5">
      <c r="A67" s="2">
        <v>107.8</v>
      </c>
      <c r="B67" s="59">
        <v>110.1</v>
      </c>
      <c r="C67" s="3">
        <v>112.39</v>
      </c>
      <c r="D67" s="3">
        <v>114.68</v>
      </c>
      <c r="E67" s="59">
        <v>116.98</v>
      </c>
      <c r="F67" s="59">
        <v>119.27</v>
      </c>
      <c r="G67" s="59">
        <v>121.56</v>
      </c>
      <c r="H67" s="974">
        <v>156.09</v>
      </c>
      <c r="I67" s="237">
        <v>126.15</v>
      </c>
      <c r="J67" s="237">
        <v>128.44</v>
      </c>
      <c r="K67" s="237">
        <v>130.74</v>
      </c>
      <c r="L67" s="237">
        <v>133.03</v>
      </c>
      <c r="M67" s="237">
        <v>135.32</v>
      </c>
      <c r="N67" s="237">
        <v>137.62</v>
      </c>
      <c r="O67" s="237">
        <v>139.91</v>
      </c>
      <c r="P67" s="237">
        <v>142.19999999999999</v>
      </c>
      <c r="Q67" s="237">
        <v>144.5</v>
      </c>
      <c r="R67" s="237">
        <v>146.79</v>
      </c>
      <c r="S67" s="237">
        <v>105.51</v>
      </c>
      <c r="T67" s="237">
        <v>103.22</v>
      </c>
      <c r="U67" s="237">
        <v>100.92</v>
      </c>
      <c r="V67" s="237">
        <v>98.63</v>
      </c>
      <c r="W67" s="237">
        <v>96.34</v>
      </c>
      <c r="X67" s="51">
        <v>63</v>
      </c>
      <c r="Y67" s="761">
        <v>82.41</v>
      </c>
      <c r="Z67" s="761">
        <v>84.03</v>
      </c>
      <c r="AA67" s="730">
        <v>85.65</v>
      </c>
      <c r="AB67" s="742">
        <v>87.27</v>
      </c>
      <c r="AC67" s="747">
        <v>88.88</v>
      </c>
      <c r="AD67" s="739">
        <f>AD66+1.42</f>
        <v>90.500000000000071</v>
      </c>
      <c r="AE67" s="742">
        <v>92.12</v>
      </c>
      <c r="AF67" s="742">
        <v>93.74</v>
      </c>
      <c r="AG67" s="783">
        <v>95.36</v>
      </c>
      <c r="AH67" s="787">
        <v>96.98</v>
      </c>
      <c r="AI67" s="237">
        <v>82.46</v>
      </c>
      <c r="AJ67" s="237">
        <v>84.08</v>
      </c>
      <c r="AK67" s="237">
        <v>85.7</v>
      </c>
      <c r="AL67" s="237">
        <v>87.32</v>
      </c>
      <c r="AM67" s="237">
        <v>88.94</v>
      </c>
      <c r="AN67" s="237">
        <v>90.56</v>
      </c>
      <c r="AO67" s="237">
        <v>92.18</v>
      </c>
      <c r="AP67" s="237">
        <v>93.8</v>
      </c>
      <c r="AQ67" s="237">
        <v>95.42</v>
      </c>
      <c r="AR67" s="237">
        <v>97.03</v>
      </c>
      <c r="AS67" s="237">
        <v>67.89</v>
      </c>
      <c r="AT67" s="237">
        <v>66.27</v>
      </c>
      <c r="AU67" s="761">
        <v>80.790000000000006</v>
      </c>
      <c r="AV67" s="237">
        <v>63.03</v>
      </c>
      <c r="AW67" s="237">
        <v>61.41</v>
      </c>
    </row>
    <row r="68" spans="1:49" ht="22.5">
      <c r="A68" s="2">
        <v>109.49</v>
      </c>
      <c r="B68" s="59">
        <v>111.82</v>
      </c>
      <c r="C68" s="3">
        <v>114.15</v>
      </c>
      <c r="D68" s="3">
        <v>116.48</v>
      </c>
      <c r="E68" s="59">
        <v>118.81</v>
      </c>
      <c r="F68" s="59">
        <v>121.14</v>
      </c>
      <c r="G68" s="59">
        <v>123.47</v>
      </c>
      <c r="H68" s="974">
        <v>158.53</v>
      </c>
      <c r="I68" s="237">
        <v>128.13</v>
      </c>
      <c r="J68" s="237">
        <v>130.46</v>
      </c>
      <c r="K68" s="237">
        <v>132.79</v>
      </c>
      <c r="L68" s="237">
        <v>135.12</v>
      </c>
      <c r="M68" s="237">
        <v>137.44999999999999</v>
      </c>
      <c r="N68" s="237">
        <v>139.78</v>
      </c>
      <c r="O68" s="237">
        <v>142.11000000000001</v>
      </c>
      <c r="P68" s="237">
        <v>144.44</v>
      </c>
      <c r="Q68" s="237">
        <v>146.77000000000001</v>
      </c>
      <c r="R68" s="237">
        <v>149.1</v>
      </c>
      <c r="S68" s="237">
        <v>107.16</v>
      </c>
      <c r="T68" s="237">
        <v>104.83</v>
      </c>
      <c r="U68" s="237">
        <v>102.51</v>
      </c>
      <c r="V68" s="237">
        <v>100.18</v>
      </c>
      <c r="W68" s="237">
        <v>97.85</v>
      </c>
      <c r="X68" s="51">
        <v>64</v>
      </c>
      <c r="Y68" s="761">
        <v>83.71</v>
      </c>
      <c r="Z68" s="761">
        <v>85.36</v>
      </c>
      <c r="AA68" s="730">
        <v>87</v>
      </c>
      <c r="AB68" s="742">
        <v>88.65</v>
      </c>
      <c r="AC68" s="747">
        <v>90.29</v>
      </c>
      <c r="AD68" s="739">
        <f>AD67+1.44</f>
        <v>91.940000000000069</v>
      </c>
      <c r="AE68" s="742">
        <v>93.58</v>
      </c>
      <c r="AF68" s="742">
        <v>95.22</v>
      </c>
      <c r="AG68" s="783">
        <v>96.87</v>
      </c>
      <c r="AH68" s="787">
        <v>98.51</v>
      </c>
      <c r="AI68" s="237">
        <v>83.77</v>
      </c>
      <c r="AJ68" s="237">
        <v>85.41</v>
      </c>
      <c r="AK68" s="237">
        <v>87.06</v>
      </c>
      <c r="AL68" s="237">
        <v>88.7</v>
      </c>
      <c r="AM68" s="237">
        <v>90.35</v>
      </c>
      <c r="AN68" s="237">
        <v>91.99</v>
      </c>
      <c r="AO68" s="237">
        <v>93.64</v>
      </c>
      <c r="AP68" s="237">
        <v>95.28</v>
      </c>
      <c r="AQ68" s="237">
        <v>96.93</v>
      </c>
      <c r="AR68" s="237">
        <v>98.57</v>
      </c>
      <c r="AS68" s="237">
        <v>68.97</v>
      </c>
      <c r="AT68" s="237">
        <v>67.319999999999993</v>
      </c>
      <c r="AU68" s="761">
        <v>82.07</v>
      </c>
      <c r="AV68" s="237">
        <v>64.03</v>
      </c>
      <c r="AW68" s="237">
        <v>62.39</v>
      </c>
    </row>
    <row r="69" spans="1:49" ht="22.5">
      <c r="A69" s="2">
        <v>111.19</v>
      </c>
      <c r="B69" s="59">
        <v>113.56</v>
      </c>
      <c r="C69" s="3">
        <v>115.92</v>
      </c>
      <c r="D69" s="3">
        <v>118.29</v>
      </c>
      <c r="E69" s="59">
        <v>120.65</v>
      </c>
      <c r="F69" s="59">
        <v>123.02</v>
      </c>
      <c r="G69" s="59">
        <v>125.39</v>
      </c>
      <c r="H69" s="974">
        <v>160.97999999999999</v>
      </c>
      <c r="I69" s="237">
        <v>130.12</v>
      </c>
      <c r="J69" s="237">
        <v>132.47999999999999</v>
      </c>
      <c r="K69" s="237">
        <v>134.85</v>
      </c>
      <c r="L69" s="237">
        <v>137.22</v>
      </c>
      <c r="M69" s="237">
        <v>139.58000000000001</v>
      </c>
      <c r="N69" s="237">
        <v>141.94999999999999</v>
      </c>
      <c r="O69" s="237">
        <v>144.31</v>
      </c>
      <c r="P69" s="237">
        <v>146.68</v>
      </c>
      <c r="Q69" s="237">
        <v>149.05000000000001</v>
      </c>
      <c r="R69" s="237">
        <v>151.41</v>
      </c>
      <c r="S69" s="237">
        <v>108.82</v>
      </c>
      <c r="T69" s="237">
        <v>106.46</v>
      </c>
      <c r="U69" s="237">
        <v>104.09</v>
      </c>
      <c r="V69" s="237">
        <v>101.73</v>
      </c>
      <c r="W69" s="237">
        <v>99.36</v>
      </c>
      <c r="X69" s="51">
        <v>65</v>
      </c>
      <c r="Y69" s="761">
        <v>85</v>
      </c>
      <c r="Z69" s="761">
        <v>86.67</v>
      </c>
      <c r="AA69" s="730">
        <v>88.34</v>
      </c>
      <c r="AB69" s="742">
        <v>90.01</v>
      </c>
      <c r="AC69" s="747">
        <v>91.68</v>
      </c>
      <c r="AD69" s="739">
        <f>AD68+1.41</f>
        <v>93.350000000000065</v>
      </c>
      <c r="AE69" s="742">
        <v>95.02</v>
      </c>
      <c r="AF69" s="742">
        <v>96.69</v>
      </c>
      <c r="AG69" s="783">
        <v>98.36</v>
      </c>
      <c r="AH69" s="787">
        <v>100.03</v>
      </c>
      <c r="AI69" s="237">
        <v>85.06</v>
      </c>
      <c r="AJ69" s="237">
        <v>86.73</v>
      </c>
      <c r="AK69" s="237">
        <v>88.4</v>
      </c>
      <c r="AL69" s="237">
        <v>90.07</v>
      </c>
      <c r="AM69" s="237">
        <v>91.75</v>
      </c>
      <c r="AN69" s="237">
        <v>93.42</v>
      </c>
      <c r="AO69" s="237">
        <v>95.09</v>
      </c>
      <c r="AP69" s="237">
        <v>96.76</v>
      </c>
      <c r="AQ69" s="237">
        <v>98.43</v>
      </c>
      <c r="AR69" s="237">
        <v>100.1</v>
      </c>
      <c r="AS69" s="237">
        <v>70.03</v>
      </c>
      <c r="AT69" s="237">
        <v>68.36</v>
      </c>
      <c r="AU69" s="761">
        <v>83.33</v>
      </c>
      <c r="AV69" s="237">
        <v>65.02</v>
      </c>
      <c r="AW69" s="237">
        <v>63.35</v>
      </c>
    </row>
    <row r="70" spans="1:49" ht="22.5">
      <c r="A70" s="2">
        <v>112.9</v>
      </c>
      <c r="B70" s="59">
        <v>115.3</v>
      </c>
      <c r="C70" s="3">
        <v>117.7</v>
      </c>
      <c r="D70" s="3">
        <v>120.1</v>
      </c>
      <c r="E70" s="59">
        <v>122.51</v>
      </c>
      <c r="F70" s="59">
        <v>124.91</v>
      </c>
      <c r="G70" s="59">
        <v>127.31</v>
      </c>
      <c r="H70" s="974">
        <v>163.44999999999999</v>
      </c>
      <c r="I70" s="237">
        <v>132.11000000000001</v>
      </c>
      <c r="J70" s="237">
        <v>134.52000000000001</v>
      </c>
      <c r="K70" s="237">
        <v>136.91999999999999</v>
      </c>
      <c r="L70" s="237">
        <v>139.32</v>
      </c>
      <c r="M70" s="237">
        <v>141.72</v>
      </c>
      <c r="N70" s="237">
        <v>144.13</v>
      </c>
      <c r="O70" s="237">
        <v>146.53</v>
      </c>
      <c r="P70" s="237">
        <v>148.93</v>
      </c>
      <c r="Q70" s="237">
        <v>151.33000000000001</v>
      </c>
      <c r="R70" s="237">
        <v>153.74</v>
      </c>
      <c r="S70" s="237">
        <v>110.49</v>
      </c>
      <c r="T70" s="237">
        <v>108.09</v>
      </c>
      <c r="U70" s="237">
        <v>105.69</v>
      </c>
      <c r="V70" s="237">
        <v>103.29</v>
      </c>
      <c r="W70" s="237">
        <v>100.88</v>
      </c>
      <c r="X70" s="51">
        <v>66</v>
      </c>
      <c r="Y70" s="761">
        <v>86.31</v>
      </c>
      <c r="Z70" s="761">
        <v>88</v>
      </c>
      <c r="AA70" s="730">
        <v>89.7</v>
      </c>
      <c r="AB70" s="742">
        <v>91.4</v>
      </c>
      <c r="AC70" s="747">
        <v>93.09</v>
      </c>
      <c r="AD70" s="739">
        <f>AD69+1.44</f>
        <v>94.790000000000063</v>
      </c>
      <c r="AE70" s="742">
        <v>96.48</v>
      </c>
      <c r="AF70" s="742">
        <v>98.18</v>
      </c>
      <c r="AG70" s="783">
        <v>99.88</v>
      </c>
      <c r="AH70" s="787">
        <v>101.57</v>
      </c>
      <c r="AI70" s="237">
        <v>86.37</v>
      </c>
      <c r="AJ70" s="237">
        <v>88.07</v>
      </c>
      <c r="AK70" s="237">
        <v>89.77</v>
      </c>
      <c r="AL70" s="237">
        <v>91.46</v>
      </c>
      <c r="AM70" s="237">
        <v>93.16</v>
      </c>
      <c r="AN70" s="237">
        <v>94.85</v>
      </c>
      <c r="AO70" s="237">
        <v>96.55</v>
      </c>
      <c r="AP70" s="237">
        <v>98.25</v>
      </c>
      <c r="AQ70" s="237">
        <v>99.94</v>
      </c>
      <c r="AR70" s="237">
        <v>101.64</v>
      </c>
      <c r="AS70" s="237">
        <v>71.11</v>
      </c>
      <c r="AT70" s="237">
        <v>69.41</v>
      </c>
      <c r="AU70" s="761">
        <v>84.61</v>
      </c>
      <c r="AV70" s="237">
        <v>66.02</v>
      </c>
      <c r="AW70" s="237">
        <v>64.319999999999993</v>
      </c>
    </row>
    <row r="71" spans="1:49" ht="22.5">
      <c r="A71" s="2">
        <v>114.61</v>
      </c>
      <c r="B71" s="59">
        <v>117.05</v>
      </c>
      <c r="C71" s="3">
        <v>119.49</v>
      </c>
      <c r="D71" s="3">
        <v>121.92</v>
      </c>
      <c r="E71" s="59">
        <v>124.36</v>
      </c>
      <c r="F71" s="59">
        <v>126.8</v>
      </c>
      <c r="G71" s="59">
        <v>129.24</v>
      </c>
      <c r="H71" s="974">
        <v>165.93</v>
      </c>
      <c r="I71" s="237">
        <v>134.12</v>
      </c>
      <c r="J71" s="237">
        <v>136.56</v>
      </c>
      <c r="K71" s="237">
        <v>139</v>
      </c>
      <c r="L71" s="237">
        <v>141.43</v>
      </c>
      <c r="M71" s="237">
        <v>143.87</v>
      </c>
      <c r="N71" s="237">
        <v>146.31</v>
      </c>
      <c r="O71" s="237">
        <v>148.75</v>
      </c>
      <c r="P71" s="237">
        <v>151.19</v>
      </c>
      <c r="Q71" s="237">
        <v>153.63</v>
      </c>
      <c r="R71" s="237">
        <v>156.07</v>
      </c>
      <c r="S71" s="237">
        <v>112.17</v>
      </c>
      <c r="T71" s="237">
        <v>109.73</v>
      </c>
      <c r="U71" s="237">
        <v>107.29</v>
      </c>
      <c r="V71" s="237">
        <v>104.85</v>
      </c>
      <c r="W71" s="237">
        <v>102.41</v>
      </c>
      <c r="X71" s="51">
        <v>67</v>
      </c>
      <c r="Y71" s="761">
        <v>87.6</v>
      </c>
      <c r="Z71" s="761">
        <v>89.32</v>
      </c>
      <c r="AA71" s="730">
        <v>91.04</v>
      </c>
      <c r="AB71" s="742">
        <v>92.76</v>
      </c>
      <c r="AC71" s="747">
        <v>94.49</v>
      </c>
      <c r="AD71" s="739">
        <f>AD70+1.42</f>
        <v>96.210000000000065</v>
      </c>
      <c r="AE71" s="742">
        <v>97.93</v>
      </c>
      <c r="AF71" s="742">
        <v>99.65</v>
      </c>
      <c r="AG71" s="783">
        <v>101.37</v>
      </c>
      <c r="AH71" s="787">
        <v>103.1</v>
      </c>
      <c r="AI71" s="237">
        <v>87.67</v>
      </c>
      <c r="AJ71" s="237">
        <v>89.39</v>
      </c>
      <c r="AK71" s="237">
        <v>91.12</v>
      </c>
      <c r="AL71" s="237">
        <v>92.84</v>
      </c>
      <c r="AM71" s="237">
        <v>94.56</v>
      </c>
      <c r="AN71" s="237">
        <v>96.28</v>
      </c>
      <c r="AO71" s="237">
        <v>98</v>
      </c>
      <c r="AP71" s="237">
        <v>99.73</v>
      </c>
      <c r="AQ71" s="237">
        <v>101.45</v>
      </c>
      <c r="AR71" s="237">
        <v>103.17</v>
      </c>
      <c r="AS71" s="237">
        <v>72.17</v>
      </c>
      <c r="AT71" s="237">
        <v>70.45</v>
      </c>
      <c r="AU71" s="761">
        <v>85.88</v>
      </c>
      <c r="AV71" s="237">
        <v>67.010000000000005</v>
      </c>
      <c r="AW71" s="237">
        <v>35.29</v>
      </c>
    </row>
    <row r="72" spans="1:49" ht="22.5">
      <c r="A72" s="2">
        <v>116.28</v>
      </c>
      <c r="B72" s="59">
        <v>118.76</v>
      </c>
      <c r="C72" s="3">
        <v>121.23</v>
      </c>
      <c r="D72" s="3">
        <v>123.71</v>
      </c>
      <c r="E72" s="59">
        <v>126.18</v>
      </c>
      <c r="F72" s="59">
        <v>128.66</v>
      </c>
      <c r="G72" s="59">
        <v>131.13</v>
      </c>
      <c r="H72" s="974">
        <v>168.34</v>
      </c>
      <c r="I72" s="237">
        <v>136.08000000000001</v>
      </c>
      <c r="J72" s="237">
        <v>138.56</v>
      </c>
      <c r="K72" s="237">
        <v>141.03</v>
      </c>
      <c r="L72" s="237">
        <v>143.51</v>
      </c>
      <c r="M72" s="237">
        <v>145.97999999999999</v>
      </c>
      <c r="N72" s="237">
        <v>148.46</v>
      </c>
      <c r="O72" s="237">
        <v>150.93</v>
      </c>
      <c r="P72" s="237">
        <v>153.41</v>
      </c>
      <c r="Q72" s="237">
        <v>155.88999999999999</v>
      </c>
      <c r="R72" s="237">
        <v>158.36000000000001</v>
      </c>
      <c r="S72" s="237">
        <v>113.81</v>
      </c>
      <c r="T72" s="237">
        <v>111.33</v>
      </c>
      <c r="U72" s="237">
        <v>108.86</v>
      </c>
      <c r="V72" s="237">
        <v>106.38</v>
      </c>
      <c r="W72" s="237">
        <v>103.91</v>
      </c>
      <c r="X72" s="51">
        <v>68</v>
      </c>
      <c r="Y72" s="761">
        <v>88.89</v>
      </c>
      <c r="Z72" s="761">
        <v>90.64</v>
      </c>
      <c r="AA72" s="730">
        <v>92.39</v>
      </c>
      <c r="AB72" s="742">
        <v>94.14</v>
      </c>
      <c r="AC72" s="747">
        <v>95.88</v>
      </c>
      <c r="AD72" s="739">
        <f>AD71+1.42</f>
        <v>97.630000000000067</v>
      </c>
      <c r="AE72" s="742">
        <v>99.38</v>
      </c>
      <c r="AF72" s="742">
        <v>101.13</v>
      </c>
      <c r="AG72" s="783">
        <v>102.87</v>
      </c>
      <c r="AH72" s="787">
        <v>104.62</v>
      </c>
      <c r="AI72" s="237">
        <v>88.97</v>
      </c>
      <c r="AJ72" s="237">
        <v>90.72</v>
      </c>
      <c r="AK72" s="237">
        <v>92.47</v>
      </c>
      <c r="AL72" s="237">
        <v>94.22</v>
      </c>
      <c r="AM72" s="237">
        <v>95.96</v>
      </c>
      <c r="AN72" s="237">
        <v>97.71</v>
      </c>
      <c r="AO72" s="237">
        <v>99.46</v>
      </c>
      <c r="AP72" s="237">
        <v>101.21</v>
      </c>
      <c r="AQ72" s="237">
        <v>102.95</v>
      </c>
      <c r="AR72" s="237">
        <v>104.7</v>
      </c>
      <c r="AS72" s="237">
        <v>73.239999999999995</v>
      </c>
      <c r="AT72" s="237">
        <v>71.5</v>
      </c>
      <c r="AU72" s="761">
        <v>87.15</v>
      </c>
      <c r="AV72" s="237">
        <v>68</v>
      </c>
      <c r="AW72" s="237">
        <v>66.25</v>
      </c>
    </row>
    <row r="73" spans="1:49" ht="22.5">
      <c r="A73" s="2">
        <v>118.01</v>
      </c>
      <c r="B73" s="59">
        <v>120.52</v>
      </c>
      <c r="C73" s="3">
        <v>123.03</v>
      </c>
      <c r="D73" s="3">
        <v>125.54</v>
      </c>
      <c r="E73" s="59">
        <v>128.06</v>
      </c>
      <c r="F73" s="59">
        <v>130.57</v>
      </c>
      <c r="G73" s="59">
        <v>133.08000000000001</v>
      </c>
      <c r="H73" s="974">
        <v>170.85</v>
      </c>
      <c r="I73" s="237">
        <v>138.1</v>
      </c>
      <c r="J73" s="237">
        <v>140.61000000000001</v>
      </c>
      <c r="K73" s="237">
        <v>143.13</v>
      </c>
      <c r="L73" s="237">
        <v>145.63999999999999</v>
      </c>
      <c r="M73" s="237">
        <v>148.15</v>
      </c>
      <c r="N73" s="237">
        <v>150.66</v>
      </c>
      <c r="O73" s="237">
        <v>153.16999999999999</v>
      </c>
      <c r="P73" s="237">
        <v>155.68</v>
      </c>
      <c r="Q73" s="237">
        <v>158.19999999999999</v>
      </c>
      <c r="R73" s="237">
        <v>160.71</v>
      </c>
      <c r="S73" s="237">
        <v>115.5</v>
      </c>
      <c r="T73" s="237">
        <v>112.99</v>
      </c>
      <c r="U73" s="237">
        <v>110.48</v>
      </c>
      <c r="V73" s="237">
        <v>107.96</v>
      </c>
      <c r="W73" s="237">
        <v>105.45</v>
      </c>
      <c r="X73" s="51">
        <v>69</v>
      </c>
      <c r="Y73" s="761">
        <v>90.19</v>
      </c>
      <c r="Z73" s="761">
        <v>91.96</v>
      </c>
      <c r="AA73" s="730">
        <v>93.74</v>
      </c>
      <c r="AB73" s="742">
        <v>95.51</v>
      </c>
      <c r="AC73" s="747">
        <v>97.28</v>
      </c>
      <c r="AD73" s="739">
        <f>AD72+1.43</f>
        <v>99.060000000000073</v>
      </c>
      <c r="AE73" s="742">
        <v>100.83</v>
      </c>
      <c r="AF73" s="742">
        <v>102.6</v>
      </c>
      <c r="AG73" s="783">
        <v>104.38</v>
      </c>
      <c r="AH73" s="787">
        <v>106.15</v>
      </c>
      <c r="AI73" s="237">
        <v>90.27</v>
      </c>
      <c r="AJ73" s="237">
        <v>92.05</v>
      </c>
      <c r="AK73" s="237">
        <v>93.82</v>
      </c>
      <c r="AL73" s="237">
        <v>95.59</v>
      </c>
      <c r="AM73" s="237">
        <v>97.37</v>
      </c>
      <c r="AN73" s="237">
        <v>99.14</v>
      </c>
      <c r="AO73" s="237">
        <v>100.91</v>
      </c>
      <c r="AP73" s="237">
        <v>102.69</v>
      </c>
      <c r="AQ73" s="237">
        <v>104.46</v>
      </c>
      <c r="AR73" s="237">
        <v>106.23</v>
      </c>
      <c r="AS73" s="237">
        <v>74.319999999999993</v>
      </c>
      <c r="AT73" s="237">
        <v>72.540000000000006</v>
      </c>
      <c r="AU73" s="761">
        <v>88.42</v>
      </c>
      <c r="AV73" s="237">
        <v>69</v>
      </c>
      <c r="AW73" s="237">
        <v>67.22</v>
      </c>
    </row>
    <row r="74" spans="1:49" ht="22.5">
      <c r="A74" s="2">
        <v>119.7</v>
      </c>
      <c r="B74" s="59">
        <v>122.25</v>
      </c>
      <c r="C74" s="3">
        <v>124.79</v>
      </c>
      <c r="D74" s="3">
        <v>127.34</v>
      </c>
      <c r="E74" s="59">
        <v>129.88999999999999</v>
      </c>
      <c r="F74" s="59">
        <v>132.44</v>
      </c>
      <c r="G74" s="59">
        <v>134.99</v>
      </c>
      <c r="H74" s="974">
        <v>173.29</v>
      </c>
      <c r="I74" s="237">
        <v>140.08000000000001</v>
      </c>
      <c r="J74" s="237">
        <v>142.63</v>
      </c>
      <c r="K74" s="237">
        <v>145.18</v>
      </c>
      <c r="L74" s="237">
        <v>147.72999999999999</v>
      </c>
      <c r="M74" s="237">
        <v>150.27000000000001</v>
      </c>
      <c r="N74" s="237">
        <v>152.82</v>
      </c>
      <c r="O74" s="237">
        <v>155.37</v>
      </c>
      <c r="P74" s="237">
        <v>157.91999999999999</v>
      </c>
      <c r="Q74" s="237">
        <v>160.47</v>
      </c>
      <c r="R74" s="237">
        <v>163.01</v>
      </c>
      <c r="S74" s="237">
        <v>117.15</v>
      </c>
      <c r="T74" s="237">
        <v>114.6</v>
      </c>
      <c r="U74" s="237">
        <v>112.05</v>
      </c>
      <c r="V74" s="237">
        <v>109.51</v>
      </c>
      <c r="W74" s="237">
        <v>106.96</v>
      </c>
      <c r="X74" s="51">
        <v>70</v>
      </c>
      <c r="Y74" s="761">
        <v>91.49</v>
      </c>
      <c r="Z74" s="761">
        <v>93.29</v>
      </c>
      <c r="AA74" s="730">
        <v>95.09</v>
      </c>
      <c r="AB74" s="742">
        <v>96.89</v>
      </c>
      <c r="AC74" s="747">
        <v>98.69</v>
      </c>
      <c r="AD74" s="739">
        <f>AD73+1.43</f>
        <v>100.49000000000008</v>
      </c>
      <c r="AE74" s="742">
        <v>102.09</v>
      </c>
      <c r="AF74" s="742">
        <v>104.08</v>
      </c>
      <c r="AG74" s="783">
        <v>105.88</v>
      </c>
      <c r="AH74" s="787">
        <v>107.86</v>
      </c>
      <c r="AI74" s="237">
        <v>91.58</v>
      </c>
      <c r="AJ74" s="237">
        <v>93.38</v>
      </c>
      <c r="AK74" s="237">
        <v>95.18</v>
      </c>
      <c r="AL74" s="237">
        <v>96.98</v>
      </c>
      <c r="AM74" s="237">
        <v>98.78</v>
      </c>
      <c r="AN74" s="237">
        <v>100.57</v>
      </c>
      <c r="AO74" s="237">
        <v>102.37</v>
      </c>
      <c r="AP74" s="237">
        <v>104.17</v>
      </c>
      <c r="AQ74" s="237">
        <v>105.97</v>
      </c>
      <c r="AR74" s="237">
        <v>107.77</v>
      </c>
      <c r="AS74" s="237">
        <v>75.39</v>
      </c>
      <c r="AT74" s="237">
        <v>73.59</v>
      </c>
      <c r="AU74" s="761">
        <v>89.69</v>
      </c>
      <c r="AV74" s="237">
        <v>69.989999999999995</v>
      </c>
      <c r="AW74" s="237">
        <v>68.19</v>
      </c>
    </row>
    <row r="75" spans="1:49" ht="22.5">
      <c r="A75" s="2">
        <v>121.39</v>
      </c>
      <c r="B75" s="59">
        <v>123.98</v>
      </c>
      <c r="C75" s="3">
        <v>126.56</v>
      </c>
      <c r="D75" s="3">
        <v>129.15</v>
      </c>
      <c r="E75" s="59">
        <v>131.72999999999999</v>
      </c>
      <c r="F75" s="59">
        <v>134.31</v>
      </c>
      <c r="G75" s="59">
        <v>136.9</v>
      </c>
      <c r="H75" s="974">
        <v>175.74</v>
      </c>
      <c r="I75" s="237">
        <v>142.07</v>
      </c>
      <c r="J75" s="237">
        <v>144.65</v>
      </c>
      <c r="K75" s="237">
        <v>147.24</v>
      </c>
      <c r="L75" s="237">
        <v>149.82</v>
      </c>
      <c r="M75" s="237">
        <v>152.4</v>
      </c>
      <c r="N75" s="237">
        <v>154.99</v>
      </c>
      <c r="O75" s="237">
        <v>157.57</v>
      </c>
      <c r="P75" s="237">
        <v>160.16</v>
      </c>
      <c r="Q75" s="237">
        <v>162.74</v>
      </c>
      <c r="R75" s="237">
        <v>165.33</v>
      </c>
      <c r="S75" s="237">
        <v>118.81</v>
      </c>
      <c r="T75" s="237">
        <v>116.22</v>
      </c>
      <c r="U75" s="237">
        <v>113.64</v>
      </c>
      <c r="V75" s="237">
        <v>111.05</v>
      </c>
      <c r="W75" s="237">
        <v>108.47</v>
      </c>
      <c r="X75" s="51">
        <v>71</v>
      </c>
      <c r="Y75" s="761">
        <v>92.8</v>
      </c>
      <c r="Z75" s="761">
        <v>94.62</v>
      </c>
      <c r="AA75" s="730">
        <v>96.44</v>
      </c>
      <c r="AB75" s="742">
        <v>98.27</v>
      </c>
      <c r="AC75" s="747">
        <v>100.09</v>
      </c>
      <c r="AD75" s="739">
        <f>AD74+1.43</f>
        <v>101.92000000000009</v>
      </c>
      <c r="AE75" s="742">
        <v>103.74</v>
      </c>
      <c r="AF75" s="742">
        <v>105.57</v>
      </c>
      <c r="AG75" s="783">
        <v>107.39</v>
      </c>
      <c r="AH75" s="787">
        <v>109.22</v>
      </c>
      <c r="AI75" s="237">
        <v>92.89</v>
      </c>
      <c r="AJ75" s="237">
        <v>94.71</v>
      </c>
      <c r="AK75" s="237">
        <v>96.54</v>
      </c>
      <c r="AL75" s="237">
        <v>98.36</v>
      </c>
      <c r="AM75" s="237">
        <v>100.18</v>
      </c>
      <c r="AN75" s="237">
        <v>102.01</v>
      </c>
      <c r="AO75" s="237">
        <v>103.83</v>
      </c>
      <c r="AP75" s="237">
        <v>105.66</v>
      </c>
      <c r="AQ75" s="237">
        <v>107.48</v>
      </c>
      <c r="AR75" s="237">
        <v>109.31</v>
      </c>
      <c r="AS75" s="237">
        <v>76.459999999999994</v>
      </c>
      <c r="AT75" s="237">
        <v>74.94</v>
      </c>
      <c r="AU75" s="761">
        <v>90.97</v>
      </c>
      <c r="AV75" s="237">
        <v>70.989999999999995</v>
      </c>
      <c r="AW75" s="237">
        <v>69.16</v>
      </c>
    </row>
    <row r="76" spans="1:49" ht="22.5">
      <c r="A76" s="2">
        <v>123.09</v>
      </c>
      <c r="B76" s="59">
        <v>125.71</v>
      </c>
      <c r="C76" s="3">
        <v>128.33000000000001</v>
      </c>
      <c r="D76" s="3">
        <v>130.96</v>
      </c>
      <c r="E76" s="59">
        <v>133.58000000000001</v>
      </c>
      <c r="F76" s="59">
        <v>136.19999999999999</v>
      </c>
      <c r="G76" s="59">
        <v>138.82</v>
      </c>
      <c r="H76" s="974">
        <v>178.2</v>
      </c>
      <c r="I76" s="237">
        <v>144.06</v>
      </c>
      <c r="J76" s="237">
        <v>146.68</v>
      </c>
      <c r="K76" s="237">
        <v>149.30000000000001</v>
      </c>
      <c r="L76" s="237">
        <v>151.91999999999999</v>
      </c>
      <c r="M76" s="237">
        <v>154.54</v>
      </c>
      <c r="N76" s="237">
        <v>157.16</v>
      </c>
      <c r="O76" s="237">
        <v>159.78</v>
      </c>
      <c r="P76" s="237">
        <v>162.4</v>
      </c>
      <c r="Q76" s="237">
        <v>165.03</v>
      </c>
      <c r="R76" s="237">
        <v>167.65</v>
      </c>
      <c r="S76" s="237">
        <v>120.47</v>
      </c>
      <c r="T76" s="237">
        <v>117.85</v>
      </c>
      <c r="U76" s="237">
        <v>115.23</v>
      </c>
      <c r="V76" s="237">
        <v>112.61</v>
      </c>
      <c r="W76" s="237">
        <v>109.99</v>
      </c>
      <c r="X76" s="51">
        <v>72</v>
      </c>
      <c r="Y76" s="761">
        <v>94.1</v>
      </c>
      <c r="Z76" s="761">
        <v>95.95</v>
      </c>
      <c r="AA76" s="730">
        <v>97.8</v>
      </c>
      <c r="AB76" s="742">
        <v>99.65</v>
      </c>
      <c r="AC76" s="747">
        <v>101.5</v>
      </c>
      <c r="AD76" s="739">
        <f>AD75+1.43</f>
        <v>103.35000000000009</v>
      </c>
      <c r="AE76" s="742">
        <v>105.21</v>
      </c>
      <c r="AF76" s="742">
        <v>107.06</v>
      </c>
      <c r="AG76" s="783">
        <v>108.91</v>
      </c>
      <c r="AH76" s="787">
        <v>110.76</v>
      </c>
      <c r="AI76" s="237">
        <v>94.19</v>
      </c>
      <c r="AJ76" s="237">
        <v>96.04</v>
      </c>
      <c r="AK76" s="237">
        <v>97.89</v>
      </c>
      <c r="AL76" s="237">
        <v>99.75</v>
      </c>
      <c r="AM76" s="237">
        <v>101.6</v>
      </c>
      <c r="AN76" s="237">
        <v>103.485</v>
      </c>
      <c r="AO76" s="237">
        <v>105.3</v>
      </c>
      <c r="AP76" s="237">
        <v>107.15</v>
      </c>
      <c r="AQ76" s="237">
        <v>109</v>
      </c>
      <c r="AR76" s="237">
        <v>110.85</v>
      </c>
      <c r="AS76" s="237">
        <v>77.540000000000006</v>
      </c>
      <c r="AT76" s="237">
        <v>75.69</v>
      </c>
      <c r="AU76" s="761">
        <v>92.25</v>
      </c>
      <c r="AV76" s="237">
        <v>71.989999999999995</v>
      </c>
      <c r="AW76" s="237">
        <v>70.14</v>
      </c>
    </row>
    <row r="77" spans="1:49" ht="22.5">
      <c r="A77" s="2">
        <v>124.8</v>
      </c>
      <c r="B77" s="59">
        <v>127.46</v>
      </c>
      <c r="C77" s="3">
        <v>130.12</v>
      </c>
      <c r="D77" s="3">
        <v>132.77000000000001</v>
      </c>
      <c r="E77" s="59">
        <v>135.43</v>
      </c>
      <c r="F77" s="59">
        <v>138.09</v>
      </c>
      <c r="G77" s="59">
        <v>140.74</v>
      </c>
      <c r="H77" s="974">
        <v>180.67</v>
      </c>
      <c r="I77" s="237">
        <v>146.06</v>
      </c>
      <c r="J77" s="237">
        <v>148.72</v>
      </c>
      <c r="K77" s="237">
        <v>151.37</v>
      </c>
      <c r="L77" s="237">
        <v>154.03</v>
      </c>
      <c r="M77" s="237">
        <v>156.69</v>
      </c>
      <c r="N77" s="237">
        <v>159.34</v>
      </c>
      <c r="O77" s="237">
        <v>162</v>
      </c>
      <c r="P77" s="237">
        <v>164.66</v>
      </c>
      <c r="Q77" s="237">
        <v>167.32</v>
      </c>
      <c r="R77" s="237">
        <v>169.97</v>
      </c>
      <c r="S77" s="237">
        <v>122.14</v>
      </c>
      <c r="T77" s="237">
        <v>119.49</v>
      </c>
      <c r="U77" s="237">
        <v>116.83</v>
      </c>
      <c r="V77" s="237">
        <v>114.17</v>
      </c>
      <c r="W77" s="237">
        <v>111.52</v>
      </c>
      <c r="X77" s="51">
        <v>73</v>
      </c>
      <c r="Y77" s="761">
        <v>95.39</v>
      </c>
      <c r="Z77" s="761">
        <v>97.26</v>
      </c>
      <c r="AA77" s="730">
        <v>99.14</v>
      </c>
      <c r="AB77" s="742">
        <v>101.02</v>
      </c>
      <c r="AC77" s="747">
        <v>102.89</v>
      </c>
      <c r="AD77" s="739">
        <f>AD76+1.42</f>
        <v>104.7700000000001</v>
      </c>
      <c r="AE77" s="742">
        <v>106.64</v>
      </c>
      <c r="AF77" s="742">
        <v>108.52</v>
      </c>
      <c r="AG77" s="783">
        <v>110.4</v>
      </c>
      <c r="AH77" s="787">
        <v>112.27</v>
      </c>
      <c r="AI77" s="237">
        <v>95.49</v>
      </c>
      <c r="AJ77" s="237">
        <v>97.36</v>
      </c>
      <c r="AK77" s="237">
        <v>99.24</v>
      </c>
      <c r="AL77" s="237">
        <v>101.12</v>
      </c>
      <c r="AM77" s="237">
        <v>102.99</v>
      </c>
      <c r="AN77" s="237">
        <v>104.87</v>
      </c>
      <c r="AO77" s="237">
        <v>106.75</v>
      </c>
      <c r="AP77" s="237">
        <v>108.62</v>
      </c>
      <c r="AQ77" s="237">
        <v>110.5</v>
      </c>
      <c r="AR77" s="237">
        <v>112.37</v>
      </c>
      <c r="AS77" s="237">
        <v>78.599999999999994</v>
      </c>
      <c r="AT77" s="237">
        <v>76.73</v>
      </c>
      <c r="AU77" s="761">
        <v>93.51</v>
      </c>
      <c r="AV77" s="237">
        <v>72.98</v>
      </c>
      <c r="AW77" s="237">
        <v>71.099999999999994</v>
      </c>
    </row>
    <row r="78" spans="1:49" ht="22.5">
      <c r="A78" s="2">
        <v>126.52</v>
      </c>
      <c r="B78" s="59">
        <v>129.21</v>
      </c>
      <c r="C78" s="3">
        <v>131.9</v>
      </c>
      <c r="D78" s="3">
        <v>134.6</v>
      </c>
      <c r="E78" s="59">
        <v>137.29</v>
      </c>
      <c r="F78" s="59">
        <v>139.97999999999999</v>
      </c>
      <c r="G78" s="59">
        <v>142.68</v>
      </c>
      <c r="H78" s="974">
        <v>183.15</v>
      </c>
      <c r="I78" s="237">
        <v>148.07</v>
      </c>
      <c r="J78" s="237">
        <v>150.76</v>
      </c>
      <c r="K78" s="237">
        <v>153.44999999999999</v>
      </c>
      <c r="L78" s="237">
        <v>156.15</v>
      </c>
      <c r="M78" s="237">
        <v>158.84</v>
      </c>
      <c r="N78" s="237">
        <v>161.53</v>
      </c>
      <c r="O78" s="237">
        <v>164.23</v>
      </c>
      <c r="P78" s="237">
        <v>166.92</v>
      </c>
      <c r="Q78" s="237">
        <v>169.61</v>
      </c>
      <c r="R78" s="237">
        <v>172.31</v>
      </c>
      <c r="S78" s="237">
        <v>123.82</v>
      </c>
      <c r="T78" s="237">
        <v>121.13</v>
      </c>
      <c r="U78" s="237">
        <v>118.44</v>
      </c>
      <c r="V78" s="237">
        <v>115.74</v>
      </c>
      <c r="W78" s="237">
        <v>113.05</v>
      </c>
      <c r="X78" s="51">
        <v>74</v>
      </c>
      <c r="Y78" s="761">
        <v>96.7</v>
      </c>
      <c r="Z78" s="761">
        <v>98.6</v>
      </c>
      <c r="AA78" s="730">
        <v>100.51</v>
      </c>
      <c r="AB78" s="742">
        <v>102.41</v>
      </c>
      <c r="AC78" s="747">
        <v>104.31</v>
      </c>
      <c r="AD78" s="739">
        <f>AD77+1.44</f>
        <v>106.21000000000009</v>
      </c>
      <c r="AE78" s="742">
        <v>108.11</v>
      </c>
      <c r="AF78" s="742">
        <v>110.01</v>
      </c>
      <c r="AG78" s="783">
        <v>111.92</v>
      </c>
      <c r="AH78" s="787">
        <v>113.82</v>
      </c>
      <c r="AI78" s="237">
        <v>96.8</v>
      </c>
      <c r="AJ78" s="237">
        <v>98.7</v>
      </c>
      <c r="AK78" s="237">
        <v>100.6</v>
      </c>
      <c r="AL78" s="237">
        <v>102.51</v>
      </c>
      <c r="AM78" s="237">
        <v>104.41</v>
      </c>
      <c r="AN78" s="237">
        <v>106.31</v>
      </c>
      <c r="AO78" s="237">
        <v>108.21</v>
      </c>
      <c r="AP78" s="237">
        <v>110.11</v>
      </c>
      <c r="AQ78" s="237">
        <v>112.02</v>
      </c>
      <c r="AR78" s="237">
        <v>113.92</v>
      </c>
      <c r="AS78" s="237">
        <v>79.69</v>
      </c>
      <c r="AT78" s="237">
        <v>77.78</v>
      </c>
      <c r="AU78" s="761">
        <v>94.8</v>
      </c>
      <c r="AV78" s="237">
        <v>73.98</v>
      </c>
      <c r="AW78" s="237">
        <v>72.08</v>
      </c>
    </row>
    <row r="79" spans="1:49" ht="22.5">
      <c r="A79" s="2">
        <v>128.18</v>
      </c>
      <c r="B79" s="59">
        <v>130.91</v>
      </c>
      <c r="C79" s="3">
        <v>133.63999999999999</v>
      </c>
      <c r="D79" s="3">
        <v>136.37</v>
      </c>
      <c r="E79" s="59">
        <v>139.1</v>
      </c>
      <c r="F79" s="59">
        <v>141.83000000000001</v>
      </c>
      <c r="G79" s="59">
        <v>144.56</v>
      </c>
      <c r="H79" s="974">
        <v>185.56</v>
      </c>
      <c r="I79" s="237">
        <v>150.02000000000001</v>
      </c>
      <c r="J79" s="237">
        <v>152.75</v>
      </c>
      <c r="K79" s="237">
        <v>155.47999999999999</v>
      </c>
      <c r="L79" s="237">
        <v>158.21</v>
      </c>
      <c r="M79" s="237">
        <v>160.94</v>
      </c>
      <c r="N79" s="237">
        <v>163.66999999999999</v>
      </c>
      <c r="O79" s="237">
        <v>166.4</v>
      </c>
      <c r="P79" s="237">
        <v>169.13</v>
      </c>
      <c r="Q79" s="237">
        <v>171.86</v>
      </c>
      <c r="R79" s="237">
        <v>174.59</v>
      </c>
      <c r="S79" s="237">
        <v>125.45</v>
      </c>
      <c r="T79" s="237">
        <v>122.72</v>
      </c>
      <c r="U79" s="237">
        <v>119.99</v>
      </c>
      <c r="V79" s="237">
        <v>117.26</v>
      </c>
      <c r="W79" s="237">
        <v>114.53</v>
      </c>
      <c r="X79" s="51">
        <v>75</v>
      </c>
      <c r="Y79" s="761">
        <v>97.99</v>
      </c>
      <c r="Z79" s="761">
        <v>99.92</v>
      </c>
      <c r="AA79" s="730">
        <v>101.85</v>
      </c>
      <c r="AB79" s="742">
        <v>103.77</v>
      </c>
      <c r="AC79" s="747">
        <v>105.7</v>
      </c>
      <c r="AD79" s="739">
        <f>AD78+1.42</f>
        <v>107.63000000000009</v>
      </c>
      <c r="AE79" s="742">
        <v>109.56</v>
      </c>
      <c r="AF79" s="742">
        <v>111.48</v>
      </c>
      <c r="AG79" s="783">
        <v>113.41</v>
      </c>
      <c r="AH79" s="787">
        <v>115.34</v>
      </c>
      <c r="AI79" s="237">
        <v>98.1</v>
      </c>
      <c r="AJ79" s="237">
        <v>100.03</v>
      </c>
      <c r="AK79" s="237">
        <v>101.95</v>
      </c>
      <c r="AL79" s="237">
        <v>103.88</v>
      </c>
      <c r="AM79" s="237">
        <v>105.81</v>
      </c>
      <c r="AN79" s="237">
        <v>107.74</v>
      </c>
      <c r="AO79" s="237">
        <v>109.66</v>
      </c>
      <c r="AP79" s="237">
        <v>111.59</v>
      </c>
      <c r="AQ79" s="237">
        <v>113.52</v>
      </c>
      <c r="AR79" s="237">
        <v>115.45</v>
      </c>
      <c r="AS79" s="237">
        <v>80.75</v>
      </c>
      <c r="AT79" s="237">
        <v>78.819999999999993</v>
      </c>
      <c r="AU79" s="761">
        <v>96.06</v>
      </c>
      <c r="AV79" s="237">
        <v>74.97</v>
      </c>
      <c r="AW79" s="237">
        <v>73.040000000000006</v>
      </c>
    </row>
    <row r="80" spans="1:49" ht="22.5">
      <c r="A80" s="2">
        <v>129.91</v>
      </c>
      <c r="B80" s="59">
        <v>132.68</v>
      </c>
      <c r="C80" s="3">
        <v>135.44999999999999</v>
      </c>
      <c r="D80" s="3">
        <v>138.21</v>
      </c>
      <c r="E80" s="59">
        <v>140.97999999999999</v>
      </c>
      <c r="F80" s="59">
        <v>143.74</v>
      </c>
      <c r="G80" s="59">
        <v>146.51</v>
      </c>
      <c r="H80" s="974">
        <v>188.07</v>
      </c>
      <c r="I80" s="237">
        <v>152.04</v>
      </c>
      <c r="J80" s="237">
        <v>154.81</v>
      </c>
      <c r="K80" s="237">
        <v>157.58000000000001</v>
      </c>
      <c r="L80" s="237">
        <v>160.34</v>
      </c>
      <c r="M80" s="237">
        <v>163.11000000000001</v>
      </c>
      <c r="N80" s="237">
        <v>165.88</v>
      </c>
      <c r="O80" s="237">
        <v>168.64</v>
      </c>
      <c r="P80" s="237">
        <v>171.41</v>
      </c>
      <c r="Q80" s="237">
        <v>174.18</v>
      </c>
      <c r="R80" s="237">
        <v>176.94</v>
      </c>
      <c r="S80" s="237">
        <v>127.15</v>
      </c>
      <c r="T80" s="237">
        <v>124.38</v>
      </c>
      <c r="U80" s="237">
        <v>121.61</v>
      </c>
      <c r="V80" s="237">
        <v>118.85</v>
      </c>
      <c r="W80" s="237">
        <v>116.08</v>
      </c>
      <c r="X80" s="51">
        <v>76</v>
      </c>
      <c r="Y80" s="761">
        <v>99.29</v>
      </c>
      <c r="Z80" s="761">
        <v>101.24</v>
      </c>
      <c r="AA80" s="730">
        <v>103.19</v>
      </c>
      <c r="AB80" s="742">
        <v>105.15</v>
      </c>
      <c r="AC80" s="747">
        <v>107.1</v>
      </c>
      <c r="AD80" s="739">
        <f>AD79+1.42</f>
        <v>109.0500000000001</v>
      </c>
      <c r="AE80" s="742">
        <v>111</v>
      </c>
      <c r="AF80" s="742">
        <v>112.96</v>
      </c>
      <c r="AG80" s="783">
        <v>114.91</v>
      </c>
      <c r="AH80" s="787">
        <v>116.86</v>
      </c>
      <c r="AI80" s="237">
        <v>99.4</v>
      </c>
      <c r="AJ80" s="237">
        <v>101.35</v>
      </c>
      <c r="AK80" s="237">
        <v>103.31</v>
      </c>
      <c r="AL80" s="237">
        <v>105.26</v>
      </c>
      <c r="AM80" s="237">
        <v>107.21</v>
      </c>
      <c r="AN80" s="237">
        <v>109.17</v>
      </c>
      <c r="AO80" s="237">
        <v>111.12</v>
      </c>
      <c r="AP80" s="237">
        <v>113.07</v>
      </c>
      <c r="AQ80" s="237">
        <v>115.02</v>
      </c>
      <c r="AR80" s="237">
        <v>116.98</v>
      </c>
      <c r="AS80" s="237">
        <v>81.819999999999993</v>
      </c>
      <c r="AT80" s="237">
        <v>79.87</v>
      </c>
      <c r="AU80" s="761">
        <v>97.33</v>
      </c>
      <c r="AV80" s="237">
        <v>75.959999999999994</v>
      </c>
      <c r="AW80" s="237">
        <v>74.010000000000005</v>
      </c>
    </row>
    <row r="81" spans="1:49" ht="22.5">
      <c r="A81" s="2">
        <v>131.59</v>
      </c>
      <c r="B81" s="59">
        <v>134.38999999999999</v>
      </c>
      <c r="C81" s="3">
        <v>137.19999999999999</v>
      </c>
      <c r="D81" s="3">
        <v>140</v>
      </c>
      <c r="E81" s="59">
        <v>142.80000000000001</v>
      </c>
      <c r="F81" s="59">
        <v>145.61000000000001</v>
      </c>
      <c r="G81" s="59">
        <v>148.41</v>
      </c>
      <c r="H81" s="974">
        <v>190.49</v>
      </c>
      <c r="I81" s="237">
        <v>154.01</v>
      </c>
      <c r="J81" s="237">
        <v>156.82</v>
      </c>
      <c r="K81" s="237">
        <v>159.62</v>
      </c>
      <c r="L81" s="237">
        <v>162.41999999999999</v>
      </c>
      <c r="M81" s="237">
        <v>165.22</v>
      </c>
      <c r="N81" s="237">
        <v>168.03</v>
      </c>
      <c r="O81" s="237">
        <v>170.83</v>
      </c>
      <c r="P81" s="237">
        <v>173.63</v>
      </c>
      <c r="Q81" s="237">
        <v>176.44</v>
      </c>
      <c r="R81" s="237">
        <v>179.24</v>
      </c>
      <c r="S81" s="237">
        <v>128.79</v>
      </c>
      <c r="T81" s="237">
        <v>125.99</v>
      </c>
      <c r="U81" s="237">
        <v>123.18</v>
      </c>
      <c r="V81" s="237">
        <v>120.38</v>
      </c>
      <c r="W81" s="237">
        <v>117.58</v>
      </c>
      <c r="X81" s="51">
        <v>77</v>
      </c>
      <c r="Y81" s="761">
        <v>100.58</v>
      </c>
      <c r="Z81" s="761">
        <v>102.56</v>
      </c>
      <c r="AA81" s="730">
        <v>104.54</v>
      </c>
      <c r="AB81" s="742">
        <v>106.52</v>
      </c>
      <c r="AC81" s="747">
        <v>108.5</v>
      </c>
      <c r="AD81" s="739">
        <f>AD80+1.43</f>
        <v>110.4800000000001</v>
      </c>
      <c r="AE81" s="742">
        <v>112.45</v>
      </c>
      <c r="AF81" s="742">
        <v>114.43</v>
      </c>
      <c r="AG81" s="783">
        <v>116.41</v>
      </c>
      <c r="AH81" s="787">
        <v>118.39</v>
      </c>
      <c r="AI81" s="237">
        <v>100.7</v>
      </c>
      <c r="AJ81" s="237">
        <v>102.68</v>
      </c>
      <c r="AK81" s="237">
        <v>104.66</v>
      </c>
      <c r="AL81" s="237">
        <v>106.64</v>
      </c>
      <c r="AM81" s="237">
        <v>108.62</v>
      </c>
      <c r="AN81" s="237">
        <v>110.59</v>
      </c>
      <c r="AO81" s="237">
        <v>112.57</v>
      </c>
      <c r="AP81" s="237">
        <v>114.55</v>
      </c>
      <c r="AQ81" s="237">
        <v>116.53</v>
      </c>
      <c r="AR81" s="237">
        <v>118.51</v>
      </c>
      <c r="AS81" s="237">
        <v>82.89</v>
      </c>
      <c r="AT81" s="237">
        <v>80.91</v>
      </c>
      <c r="AU81" s="761">
        <v>98.6</v>
      </c>
      <c r="AV81" s="237">
        <v>76.95</v>
      </c>
      <c r="AW81" s="237">
        <v>74.97</v>
      </c>
    </row>
    <row r="82" spans="1:49" ht="22.5">
      <c r="A82" s="2">
        <v>133.28</v>
      </c>
      <c r="B82" s="59">
        <v>136.11000000000001</v>
      </c>
      <c r="C82" s="3">
        <v>138.94999999999999</v>
      </c>
      <c r="D82" s="3">
        <v>141.79</v>
      </c>
      <c r="E82" s="59">
        <v>144.63</v>
      </c>
      <c r="F82" s="59">
        <v>147.47</v>
      </c>
      <c r="G82" s="59">
        <v>150.31</v>
      </c>
      <c r="H82" s="974">
        <v>192.92</v>
      </c>
      <c r="I82" s="237">
        <v>155.99</v>
      </c>
      <c r="J82" s="237">
        <v>158.83000000000001</v>
      </c>
      <c r="K82" s="237">
        <v>161.66999999999999</v>
      </c>
      <c r="L82" s="237">
        <v>164.51</v>
      </c>
      <c r="M82" s="237">
        <v>167.35</v>
      </c>
      <c r="N82" s="237">
        <v>170.18</v>
      </c>
      <c r="O82" s="237">
        <v>173.02</v>
      </c>
      <c r="P82" s="237">
        <v>175.86</v>
      </c>
      <c r="Q82" s="237">
        <v>178.7</v>
      </c>
      <c r="R82" s="237">
        <v>181.54</v>
      </c>
      <c r="S82" s="237">
        <v>130.44</v>
      </c>
      <c r="T82" s="237">
        <v>127.6</v>
      </c>
      <c r="U82" s="237">
        <v>124.76</v>
      </c>
      <c r="V82" s="237">
        <v>121.92</v>
      </c>
      <c r="W82" s="237">
        <v>119.08</v>
      </c>
      <c r="X82" s="51">
        <v>78</v>
      </c>
      <c r="Y82" s="761">
        <v>101.88</v>
      </c>
      <c r="Z82" s="761">
        <v>103.88</v>
      </c>
      <c r="AA82" s="730">
        <v>105.89</v>
      </c>
      <c r="AB82" s="742">
        <v>107.89</v>
      </c>
      <c r="AC82" s="747">
        <v>109.9</v>
      </c>
      <c r="AD82" s="739">
        <f>AD81+1.42</f>
        <v>111.90000000000011</v>
      </c>
      <c r="AE82" s="742">
        <v>113.91</v>
      </c>
      <c r="AF82" s="742">
        <v>115.91</v>
      </c>
      <c r="AG82" s="783">
        <v>117.92</v>
      </c>
      <c r="AH82" s="787">
        <v>119.92</v>
      </c>
      <c r="AI82" s="237">
        <v>102</v>
      </c>
      <c r="AJ82" s="237">
        <v>104.01</v>
      </c>
      <c r="AK82" s="237">
        <v>106.01</v>
      </c>
      <c r="AL82" s="237">
        <v>108.02</v>
      </c>
      <c r="AM82" s="237">
        <v>110.02</v>
      </c>
      <c r="AN82" s="237">
        <v>112.03</v>
      </c>
      <c r="AO82" s="237">
        <v>114.03</v>
      </c>
      <c r="AP82" s="237">
        <v>116.04</v>
      </c>
      <c r="AQ82" s="237">
        <v>118.04</v>
      </c>
      <c r="AR82" s="237">
        <v>120.04</v>
      </c>
      <c r="AS82" s="237">
        <v>83.96</v>
      </c>
      <c r="AT82" s="237">
        <v>81.96</v>
      </c>
      <c r="AU82" s="761">
        <v>99.88</v>
      </c>
      <c r="AV82" s="237">
        <v>77.95</v>
      </c>
      <c r="AW82" s="237">
        <v>75.94</v>
      </c>
    </row>
    <row r="83" spans="1:49" ht="22.5">
      <c r="A83" s="2">
        <v>135.03</v>
      </c>
      <c r="B83" s="59">
        <v>137.9</v>
      </c>
      <c r="C83" s="3">
        <v>140.78</v>
      </c>
      <c r="D83" s="3">
        <v>143.65</v>
      </c>
      <c r="E83" s="59">
        <v>146.53</v>
      </c>
      <c r="F83" s="59">
        <v>149.41</v>
      </c>
      <c r="G83" s="59">
        <v>152.28</v>
      </c>
      <c r="H83" s="974">
        <v>195.47</v>
      </c>
      <c r="I83" s="237">
        <v>158.03</v>
      </c>
      <c r="J83" s="237">
        <v>160.91</v>
      </c>
      <c r="K83" s="237">
        <v>163.78</v>
      </c>
      <c r="L83" s="237">
        <v>166.66</v>
      </c>
      <c r="M83" s="237">
        <v>169.53</v>
      </c>
      <c r="N83" s="237">
        <v>172.41</v>
      </c>
      <c r="O83" s="237">
        <v>175.29</v>
      </c>
      <c r="P83" s="237">
        <v>178.16</v>
      </c>
      <c r="Q83" s="237">
        <v>181.04</v>
      </c>
      <c r="R83" s="237">
        <v>183.91</v>
      </c>
      <c r="S83" s="237">
        <v>132.15</v>
      </c>
      <c r="T83" s="237">
        <v>129.28</v>
      </c>
      <c r="U83" s="237">
        <v>126.4</v>
      </c>
      <c r="V83" s="237">
        <v>123.53</v>
      </c>
      <c r="W83" s="237">
        <v>120.65</v>
      </c>
      <c r="X83" s="51">
        <v>79</v>
      </c>
      <c r="Y83" s="761">
        <v>103.18</v>
      </c>
      <c r="Z83" s="761">
        <v>105.21</v>
      </c>
      <c r="AA83" s="730">
        <v>107.24</v>
      </c>
      <c r="AB83" s="742">
        <v>109.27</v>
      </c>
      <c r="AC83" s="747">
        <v>111.3</v>
      </c>
      <c r="AD83" s="739">
        <f>AD82+1.43</f>
        <v>113.33000000000011</v>
      </c>
      <c r="AE83" s="742">
        <v>115.36</v>
      </c>
      <c r="AF83" s="742">
        <v>117.39</v>
      </c>
      <c r="AG83" s="783">
        <v>119.42</v>
      </c>
      <c r="AH83" s="787">
        <v>121.45</v>
      </c>
      <c r="AI83" s="237">
        <v>103.31</v>
      </c>
      <c r="AJ83" s="237">
        <v>105.34</v>
      </c>
      <c r="AK83" s="237">
        <v>107.37</v>
      </c>
      <c r="AL83" s="237">
        <v>109.4</v>
      </c>
      <c r="AM83" s="237">
        <v>111.43</v>
      </c>
      <c r="AN83" s="237">
        <v>113.46</v>
      </c>
      <c r="AO83" s="237">
        <v>115.49</v>
      </c>
      <c r="AP83" s="237">
        <v>117.52</v>
      </c>
      <c r="AQ83" s="237">
        <v>119.55</v>
      </c>
      <c r="AR83" s="237">
        <v>121.58</v>
      </c>
      <c r="AS83" s="237">
        <v>85.04</v>
      </c>
      <c r="AT83" s="237">
        <v>83</v>
      </c>
      <c r="AU83" s="761">
        <v>101.15</v>
      </c>
      <c r="AV83" s="237">
        <v>78.94</v>
      </c>
      <c r="AW83" s="237">
        <v>76.91</v>
      </c>
    </row>
    <row r="84" spans="1:49" ht="22.5">
      <c r="A84" s="2">
        <v>136.72</v>
      </c>
      <c r="B84" s="59">
        <v>139.63999999999999</v>
      </c>
      <c r="C84" s="3">
        <v>142.55000000000001</v>
      </c>
      <c r="D84" s="3">
        <v>145.46</v>
      </c>
      <c r="E84" s="59">
        <v>148.37</v>
      </c>
      <c r="F84" s="59">
        <v>151.28</v>
      </c>
      <c r="G84" s="59">
        <v>154.19999999999999</v>
      </c>
      <c r="H84" s="974">
        <v>197.92</v>
      </c>
      <c r="I84" s="237">
        <v>160.02000000000001</v>
      </c>
      <c r="J84" s="237">
        <v>162.93</v>
      </c>
      <c r="K84" s="237">
        <v>165.84</v>
      </c>
      <c r="L84" s="237">
        <v>168.76</v>
      </c>
      <c r="M84" s="237">
        <v>171.67</v>
      </c>
      <c r="N84" s="237">
        <v>174.58</v>
      </c>
      <c r="O84" s="237">
        <v>177.49</v>
      </c>
      <c r="P84" s="237">
        <v>180.4</v>
      </c>
      <c r="Q84" s="237">
        <v>183.32</v>
      </c>
      <c r="R84" s="237">
        <v>186.23</v>
      </c>
      <c r="S84" s="237">
        <v>133.81</v>
      </c>
      <c r="T84" s="237">
        <v>130.9</v>
      </c>
      <c r="U84" s="237">
        <v>127.99</v>
      </c>
      <c r="V84" s="237">
        <v>125.08</v>
      </c>
      <c r="W84" s="237">
        <v>122.16</v>
      </c>
      <c r="X84" s="51">
        <v>80</v>
      </c>
      <c r="Y84" s="761">
        <v>104.49</v>
      </c>
      <c r="Z84" s="761">
        <v>106.54</v>
      </c>
      <c r="AA84" s="730">
        <v>108.6</v>
      </c>
      <c r="AB84" s="742">
        <v>110.65</v>
      </c>
      <c r="AC84" s="747">
        <v>112.71</v>
      </c>
      <c r="AD84" s="739">
        <f>AD83+1.44</f>
        <v>114.77000000000011</v>
      </c>
      <c r="AE84" s="742">
        <v>116.82</v>
      </c>
      <c r="AF84" s="742">
        <v>118.88</v>
      </c>
      <c r="AG84" s="783">
        <v>120.93</v>
      </c>
      <c r="AH84" s="787">
        <v>122.99</v>
      </c>
      <c r="AI84" s="237">
        <v>104.61</v>
      </c>
      <c r="AJ84" s="237">
        <v>106.67</v>
      </c>
      <c r="AK84" s="237">
        <v>108.73</v>
      </c>
      <c r="AL84" s="237">
        <v>110.78</v>
      </c>
      <c r="AM84" s="237">
        <v>112.84</v>
      </c>
      <c r="AN84" s="237">
        <v>114.89</v>
      </c>
      <c r="AO84" s="237">
        <v>116.95</v>
      </c>
      <c r="AP84" s="237">
        <v>119.01</v>
      </c>
      <c r="AQ84" s="237">
        <v>121.06</v>
      </c>
      <c r="AR84" s="237">
        <v>123.12</v>
      </c>
      <c r="AS84" s="237">
        <v>86.11</v>
      </c>
      <c r="AT84" s="237">
        <v>84.05</v>
      </c>
      <c r="AU84" s="761">
        <v>102.43</v>
      </c>
      <c r="AV84" s="237">
        <v>79.94</v>
      </c>
      <c r="AW84" s="237">
        <v>77.89</v>
      </c>
    </row>
    <row r="85" spans="1:49" ht="22.5">
      <c r="A85" s="2">
        <v>138.43</v>
      </c>
      <c r="B85" s="59">
        <v>141.38</v>
      </c>
      <c r="C85" s="3">
        <v>144.32</v>
      </c>
      <c r="D85" s="3">
        <v>147.27000000000001</v>
      </c>
      <c r="E85" s="59">
        <v>150.22</v>
      </c>
      <c r="F85" s="59">
        <v>153.16999999999999</v>
      </c>
      <c r="G85" s="59">
        <v>156.12</v>
      </c>
      <c r="H85" s="974">
        <v>200.38</v>
      </c>
      <c r="I85" s="237">
        <v>162.02000000000001</v>
      </c>
      <c r="J85" s="237">
        <v>164.96</v>
      </c>
      <c r="K85" s="237">
        <v>167.91</v>
      </c>
      <c r="L85" s="237">
        <v>170.86</v>
      </c>
      <c r="M85" s="237">
        <v>173.81</v>
      </c>
      <c r="N85" s="237">
        <v>176.76</v>
      </c>
      <c r="O85" s="237">
        <v>179.71</v>
      </c>
      <c r="P85" s="237">
        <v>182.65</v>
      </c>
      <c r="Q85" s="237">
        <v>185.6</v>
      </c>
      <c r="R85" s="237">
        <v>188.55</v>
      </c>
      <c r="S85" s="237">
        <v>135.47999999999999</v>
      </c>
      <c r="T85" s="237">
        <v>132.53</v>
      </c>
      <c r="U85" s="237">
        <v>129.58000000000001</v>
      </c>
      <c r="V85" s="237">
        <v>126.63</v>
      </c>
      <c r="W85" s="237">
        <v>123.69</v>
      </c>
      <c r="X85" s="51">
        <v>81</v>
      </c>
      <c r="Y85" s="761">
        <v>105.79</v>
      </c>
      <c r="Z85" s="761">
        <v>107.87</v>
      </c>
      <c r="AA85" s="730">
        <v>109.96</v>
      </c>
      <c r="AB85" s="742">
        <v>112.04</v>
      </c>
      <c r="AC85" s="747">
        <v>114.12</v>
      </c>
      <c r="AD85" s="739">
        <f>AD84+1.43</f>
        <v>116.20000000000012</v>
      </c>
      <c r="AE85" s="742">
        <v>118.28</v>
      </c>
      <c r="AF85" s="742">
        <v>120.36</v>
      </c>
      <c r="AG85" s="783">
        <v>122.45</v>
      </c>
      <c r="AH85" s="787">
        <v>124.53</v>
      </c>
      <c r="AI85" s="237">
        <v>105.92</v>
      </c>
      <c r="AJ85" s="237">
        <v>108</v>
      </c>
      <c r="AK85" s="237">
        <v>110.09</v>
      </c>
      <c r="AL85" s="237">
        <v>112.17</v>
      </c>
      <c r="AM85" s="237">
        <v>114.25</v>
      </c>
      <c r="AN85" s="237">
        <v>116.33</v>
      </c>
      <c r="AO85" s="237">
        <v>118.41</v>
      </c>
      <c r="AP85" s="237">
        <v>120.49</v>
      </c>
      <c r="AQ85" s="237">
        <v>122.58</v>
      </c>
      <c r="AR85" s="237">
        <v>124.66</v>
      </c>
      <c r="AS85" s="237">
        <v>87.19</v>
      </c>
      <c r="AT85" s="237">
        <v>85.11</v>
      </c>
      <c r="AU85" s="761">
        <v>103.71</v>
      </c>
      <c r="AV85" s="237">
        <v>80.94</v>
      </c>
      <c r="AW85" s="237">
        <v>78.86</v>
      </c>
    </row>
    <row r="86" spans="1:49" ht="22.5">
      <c r="A86" s="2">
        <v>140.07</v>
      </c>
      <c r="B86" s="59">
        <v>143.06</v>
      </c>
      <c r="C86" s="3">
        <v>146.04</v>
      </c>
      <c r="D86" s="3">
        <v>149.02000000000001</v>
      </c>
      <c r="E86" s="59">
        <v>152.01</v>
      </c>
      <c r="F86" s="59">
        <v>154.99</v>
      </c>
      <c r="G86" s="59">
        <v>157.97999999999999</v>
      </c>
      <c r="H86" s="974">
        <v>202.74</v>
      </c>
      <c r="I86" s="237">
        <v>163.95</v>
      </c>
      <c r="J86" s="237">
        <v>166.93</v>
      </c>
      <c r="K86" s="237">
        <v>169.92</v>
      </c>
      <c r="L86" s="237">
        <v>172.9</v>
      </c>
      <c r="M86" s="237">
        <v>175.89</v>
      </c>
      <c r="N86" s="237">
        <v>178.87</v>
      </c>
      <c r="O86" s="237">
        <v>181.86</v>
      </c>
      <c r="P86" s="237">
        <v>184.84</v>
      </c>
      <c r="Q86" s="237">
        <v>187.83</v>
      </c>
      <c r="R86" s="237">
        <v>190.81</v>
      </c>
      <c r="S86" s="237">
        <v>137.09</v>
      </c>
      <c r="T86" s="237">
        <v>134.1</v>
      </c>
      <c r="U86" s="237">
        <v>131.12</v>
      </c>
      <c r="V86" s="237">
        <v>128.13</v>
      </c>
      <c r="W86" s="237">
        <v>125.15</v>
      </c>
      <c r="X86" s="51">
        <v>82</v>
      </c>
      <c r="Y86" s="761">
        <v>107.07</v>
      </c>
      <c r="Z86" s="761">
        <v>109.18</v>
      </c>
      <c r="AA86" s="730">
        <v>111.29</v>
      </c>
      <c r="AB86" s="742">
        <v>113.39</v>
      </c>
      <c r="AC86" s="747">
        <v>115.5</v>
      </c>
      <c r="AD86" s="739">
        <f>AD85+1.41</f>
        <v>117.61000000000011</v>
      </c>
      <c r="AE86" s="742">
        <v>119.72</v>
      </c>
      <c r="AF86" s="742">
        <v>121.82</v>
      </c>
      <c r="AG86" s="783">
        <v>123.93</v>
      </c>
      <c r="AH86" s="787">
        <v>126.04</v>
      </c>
      <c r="AI86" s="237">
        <v>107.21</v>
      </c>
      <c r="AJ86" s="237">
        <v>109.32</v>
      </c>
      <c r="AK86" s="237">
        <v>111.43</v>
      </c>
      <c r="AL86" s="237">
        <v>113.54</v>
      </c>
      <c r="AM86" s="237">
        <v>115.64</v>
      </c>
      <c r="AN86" s="237">
        <v>117.75</v>
      </c>
      <c r="AO86" s="237">
        <v>119.86</v>
      </c>
      <c r="AP86" s="237">
        <v>121.97</v>
      </c>
      <c r="AQ86" s="237">
        <v>124.07</v>
      </c>
      <c r="AR86" s="237">
        <v>126.18</v>
      </c>
      <c r="AS86" s="237">
        <v>88.25</v>
      </c>
      <c r="AT86" s="237">
        <v>86.14</v>
      </c>
      <c r="AU86" s="761">
        <v>104.96</v>
      </c>
      <c r="AV86" s="237">
        <v>81.92</v>
      </c>
      <c r="AW86" s="237">
        <v>79.819999999999993</v>
      </c>
    </row>
    <row r="87" spans="1:49" ht="22.5">
      <c r="A87" s="2">
        <v>141.79</v>
      </c>
      <c r="B87" s="59">
        <v>144.81</v>
      </c>
      <c r="C87" s="3">
        <v>147.83000000000001</v>
      </c>
      <c r="D87" s="3">
        <v>150.85</v>
      </c>
      <c r="E87" s="59">
        <v>153.87</v>
      </c>
      <c r="F87" s="59">
        <v>156.88999999999999</v>
      </c>
      <c r="G87" s="59">
        <v>159.91</v>
      </c>
      <c r="H87" s="974">
        <v>205.23</v>
      </c>
      <c r="I87" s="237">
        <v>165.95</v>
      </c>
      <c r="J87" s="237">
        <v>168.98</v>
      </c>
      <c r="K87" s="237">
        <v>172</v>
      </c>
      <c r="L87" s="237">
        <v>175.02</v>
      </c>
      <c r="M87" s="237">
        <v>178.04</v>
      </c>
      <c r="N87" s="237">
        <v>181.06</v>
      </c>
      <c r="O87" s="237">
        <v>184.08</v>
      </c>
      <c r="P87" s="237">
        <v>187.1</v>
      </c>
      <c r="Q87" s="237">
        <v>190.12</v>
      </c>
      <c r="R87" s="237">
        <v>193.15</v>
      </c>
      <c r="S87" s="237">
        <v>138.76</v>
      </c>
      <c r="T87" s="237">
        <v>135.74</v>
      </c>
      <c r="U87" s="237">
        <v>132.72</v>
      </c>
      <c r="V87" s="237">
        <v>129.69999999999999</v>
      </c>
      <c r="W87" s="237">
        <v>126.68</v>
      </c>
      <c r="X87" s="51">
        <v>83</v>
      </c>
      <c r="Y87" s="761">
        <v>108.38</v>
      </c>
      <c r="Z87" s="761">
        <v>110.52</v>
      </c>
      <c r="AA87" s="730">
        <v>112.65</v>
      </c>
      <c r="AB87" s="742">
        <v>114.78</v>
      </c>
      <c r="AC87" s="747">
        <v>116.92</v>
      </c>
      <c r="AD87" s="739">
        <f>AD86+1.44</f>
        <v>119.05000000000011</v>
      </c>
      <c r="AE87" s="742">
        <v>121.18</v>
      </c>
      <c r="AF87" s="742">
        <v>123.32</v>
      </c>
      <c r="AG87" s="783">
        <v>125.45</v>
      </c>
      <c r="AH87" s="787">
        <v>127.58</v>
      </c>
      <c r="AI87" s="237">
        <v>108.53</v>
      </c>
      <c r="AJ87" s="237">
        <v>110.66</v>
      </c>
      <c r="AK87" s="237">
        <v>112.79</v>
      </c>
      <c r="AL87" s="237">
        <v>114.92</v>
      </c>
      <c r="AM87" s="237">
        <v>117.06</v>
      </c>
      <c r="AN87" s="237">
        <v>119.19</v>
      </c>
      <c r="AO87" s="237">
        <v>121.32</v>
      </c>
      <c r="AP87" s="237">
        <v>123.46</v>
      </c>
      <c r="AQ87" s="237">
        <v>125.59</v>
      </c>
      <c r="AR87" s="237">
        <v>127.72</v>
      </c>
      <c r="AS87" s="237">
        <v>89.33</v>
      </c>
      <c r="AT87" s="237">
        <v>87.19</v>
      </c>
      <c r="AU87" s="761">
        <v>106.25</v>
      </c>
      <c r="AV87" s="237">
        <v>82.93</v>
      </c>
      <c r="AW87" s="237">
        <v>80.8</v>
      </c>
    </row>
    <row r="88" spans="1:49" ht="22.5">
      <c r="A88" s="2">
        <v>143.51</v>
      </c>
      <c r="B88" s="59">
        <v>146.56</v>
      </c>
      <c r="C88" s="3">
        <v>149.62</v>
      </c>
      <c r="D88" s="3">
        <v>152.68</v>
      </c>
      <c r="E88" s="59">
        <v>155.74</v>
      </c>
      <c r="F88" s="59">
        <v>158.79</v>
      </c>
      <c r="G88" s="59">
        <v>161.85</v>
      </c>
      <c r="H88" s="974">
        <v>207.72</v>
      </c>
      <c r="I88" s="237">
        <v>167.97</v>
      </c>
      <c r="J88" s="237">
        <v>171.03</v>
      </c>
      <c r="K88" s="237">
        <v>174.08</v>
      </c>
      <c r="L88" s="237">
        <v>177.14</v>
      </c>
      <c r="M88" s="237">
        <v>180.2</v>
      </c>
      <c r="N88" s="237">
        <v>183.26</v>
      </c>
      <c r="O88" s="237">
        <v>186.31</v>
      </c>
      <c r="P88" s="237">
        <v>189.37</v>
      </c>
      <c r="Q88" s="237">
        <v>192.43</v>
      </c>
      <c r="R88" s="237">
        <v>195.49</v>
      </c>
      <c r="S88" s="237">
        <v>140.44999999999999</v>
      </c>
      <c r="T88" s="237">
        <v>137.38999999999999</v>
      </c>
      <c r="U88" s="237">
        <v>134.33000000000001</v>
      </c>
      <c r="V88" s="237">
        <v>131.28</v>
      </c>
      <c r="W88" s="237">
        <v>128.22</v>
      </c>
      <c r="X88" s="51">
        <v>84</v>
      </c>
      <c r="Y88" s="761">
        <v>109.67</v>
      </c>
      <c r="Z88" s="761">
        <v>111.83</v>
      </c>
      <c r="AA88" s="730">
        <v>113.98</v>
      </c>
      <c r="AB88" s="742">
        <v>116.14</v>
      </c>
      <c r="AC88" s="747">
        <v>118.3</v>
      </c>
      <c r="AD88" s="739">
        <f>AD87+1.41</f>
        <v>120.46000000000011</v>
      </c>
      <c r="AE88" s="742">
        <v>122.62</v>
      </c>
      <c r="AF88" s="742">
        <v>124.78</v>
      </c>
      <c r="AG88" s="783">
        <v>126.94</v>
      </c>
      <c r="AH88" s="787">
        <v>129.1</v>
      </c>
      <c r="AI88" s="237">
        <v>109.82</v>
      </c>
      <c r="AJ88" s="237">
        <v>111.98</v>
      </c>
      <c r="AK88" s="237">
        <v>114.14</v>
      </c>
      <c r="AL88" s="237">
        <v>116.3</v>
      </c>
      <c r="AM88" s="237">
        <v>118.45</v>
      </c>
      <c r="AN88" s="237">
        <v>120.61</v>
      </c>
      <c r="AO88" s="237">
        <v>122.77</v>
      </c>
      <c r="AP88" s="237">
        <v>124.93</v>
      </c>
      <c r="AQ88" s="237">
        <v>127.09</v>
      </c>
      <c r="AR88" s="237">
        <v>129.25</v>
      </c>
      <c r="AS88" s="237">
        <v>90.39</v>
      </c>
      <c r="AT88" s="237">
        <v>88.23</v>
      </c>
      <c r="AU88" s="761">
        <v>107.51</v>
      </c>
      <c r="AV88" s="237">
        <v>83.91</v>
      </c>
      <c r="AW88" s="237">
        <v>81.75</v>
      </c>
    </row>
    <row r="89" spans="1:49" ht="22.5">
      <c r="A89" s="2">
        <v>145.24</v>
      </c>
      <c r="B89" s="59">
        <v>148.33000000000001</v>
      </c>
      <c r="C89" s="3">
        <v>151.41999999999999</v>
      </c>
      <c r="D89" s="3">
        <v>154.52000000000001</v>
      </c>
      <c r="E89" s="59">
        <v>157.61000000000001</v>
      </c>
      <c r="F89" s="59">
        <v>160.71</v>
      </c>
      <c r="G89" s="59">
        <v>163.80000000000001</v>
      </c>
      <c r="H89" s="974">
        <v>210.23</v>
      </c>
      <c r="I89" s="237">
        <v>169.99</v>
      </c>
      <c r="J89" s="237">
        <v>173.08</v>
      </c>
      <c r="K89" s="237">
        <v>176.18</v>
      </c>
      <c r="L89" s="237">
        <v>179.27</v>
      </c>
      <c r="M89" s="237">
        <v>182.36</v>
      </c>
      <c r="N89" s="237">
        <v>185.46</v>
      </c>
      <c r="O89" s="237">
        <v>188.55</v>
      </c>
      <c r="P89" s="237">
        <v>191.65</v>
      </c>
      <c r="Q89" s="237">
        <v>194.74</v>
      </c>
      <c r="R89" s="237">
        <v>197.83</v>
      </c>
      <c r="S89" s="237">
        <v>142.13999999999999</v>
      </c>
      <c r="T89" s="237">
        <v>139.05000000000001</v>
      </c>
      <c r="U89" s="237">
        <v>135.94999999999999</v>
      </c>
      <c r="V89" s="237">
        <v>132.86000000000001</v>
      </c>
      <c r="W89" s="237">
        <v>129.77000000000001</v>
      </c>
      <c r="X89" s="51">
        <v>85</v>
      </c>
      <c r="Y89" s="761">
        <v>110.99</v>
      </c>
      <c r="Z89" s="761">
        <v>113.17</v>
      </c>
      <c r="AA89" s="730">
        <v>115.35</v>
      </c>
      <c r="AB89" s="742">
        <v>117.54</v>
      </c>
      <c r="AC89" s="747">
        <v>119.72</v>
      </c>
      <c r="AD89" s="739">
        <f>AD88+1.45</f>
        <v>121.91000000000011</v>
      </c>
      <c r="AE89" s="742">
        <v>124.09</v>
      </c>
      <c r="AF89" s="742">
        <v>126.28</v>
      </c>
      <c r="AG89" s="783">
        <v>128.46</v>
      </c>
      <c r="AH89" s="787">
        <v>130.5</v>
      </c>
      <c r="AI89" s="237">
        <v>111.13</v>
      </c>
      <c r="AJ89" s="237">
        <v>113.32</v>
      </c>
      <c r="AK89" s="237">
        <v>115.5</v>
      </c>
      <c r="AL89" s="237">
        <v>117.69</v>
      </c>
      <c r="AM89" s="237">
        <v>119.87</v>
      </c>
      <c r="AN89" s="237">
        <v>122.06</v>
      </c>
      <c r="AO89" s="237">
        <v>124.24</v>
      </c>
      <c r="AP89" s="237">
        <v>126.43</v>
      </c>
      <c r="AQ89" s="237">
        <v>128.61000000000001</v>
      </c>
      <c r="AR89" s="237">
        <v>130.79</v>
      </c>
      <c r="AS89" s="237">
        <v>91.47</v>
      </c>
      <c r="AT89" s="237">
        <v>89.29</v>
      </c>
      <c r="AU89" s="761">
        <v>108.8</v>
      </c>
      <c r="AV89" s="237">
        <v>84.92</v>
      </c>
      <c r="AW89" s="237">
        <v>82.74</v>
      </c>
    </row>
    <row r="90" spans="1:49" ht="22.5">
      <c r="A90" s="2">
        <v>146.9</v>
      </c>
      <c r="B90" s="59">
        <v>150.03</v>
      </c>
      <c r="C90" s="3">
        <v>153.16</v>
      </c>
      <c r="D90" s="3">
        <v>156.29</v>
      </c>
      <c r="E90" s="59">
        <v>159.41999999999999</v>
      </c>
      <c r="F90" s="59">
        <v>162.55000000000001</v>
      </c>
      <c r="G90" s="59">
        <v>165.68</v>
      </c>
      <c r="H90" s="974">
        <v>212.62</v>
      </c>
      <c r="I90" s="237">
        <v>171.94</v>
      </c>
      <c r="J90" s="237">
        <v>175.07</v>
      </c>
      <c r="K90" s="237">
        <v>178.2</v>
      </c>
      <c r="L90" s="237">
        <v>181.33</v>
      </c>
      <c r="M90" s="237">
        <v>184.46</v>
      </c>
      <c r="N90" s="237">
        <v>187.59</v>
      </c>
      <c r="O90" s="237">
        <v>190.72</v>
      </c>
      <c r="P90" s="237">
        <v>193.85</v>
      </c>
      <c r="Q90" s="237">
        <v>196.98</v>
      </c>
      <c r="R90" s="237">
        <v>200.11</v>
      </c>
      <c r="S90" s="237">
        <v>143.77000000000001</v>
      </c>
      <c r="T90" s="237">
        <v>140.63999999999999</v>
      </c>
      <c r="U90" s="237">
        <v>137.51</v>
      </c>
      <c r="V90" s="237">
        <v>134.38</v>
      </c>
      <c r="W90" s="237">
        <v>131.25</v>
      </c>
      <c r="X90" s="51">
        <v>86</v>
      </c>
      <c r="Y90" s="761">
        <v>112.27</v>
      </c>
      <c r="Z90" s="761">
        <v>114.48</v>
      </c>
      <c r="AA90" s="730">
        <v>116.69</v>
      </c>
      <c r="AB90" s="742">
        <v>118.9</v>
      </c>
      <c r="AC90" s="747">
        <v>121.11</v>
      </c>
      <c r="AD90" s="739">
        <f>AD89+1.41</f>
        <v>123.32000000000011</v>
      </c>
      <c r="AE90" s="742">
        <v>125.53</v>
      </c>
      <c r="AF90" s="742">
        <v>127.74</v>
      </c>
      <c r="AG90" s="783">
        <v>129.94999999999999</v>
      </c>
      <c r="AH90" s="787">
        <v>132.16999999999999</v>
      </c>
      <c r="AI90" s="237">
        <v>112.43</v>
      </c>
      <c r="AJ90" s="237">
        <v>114.64</v>
      </c>
      <c r="AK90" s="237">
        <v>116.85</v>
      </c>
      <c r="AL90" s="237">
        <v>119.06</v>
      </c>
      <c r="AM90" s="237">
        <v>121.27</v>
      </c>
      <c r="AN90" s="237">
        <v>123.48</v>
      </c>
      <c r="AO90" s="237">
        <v>125.69</v>
      </c>
      <c r="AP90" s="237">
        <v>127.9</v>
      </c>
      <c r="AQ90" s="237">
        <v>130.11000000000001</v>
      </c>
      <c r="AR90" s="237">
        <v>132.32</v>
      </c>
      <c r="AS90" s="237">
        <v>92.54</v>
      </c>
      <c r="AT90" s="237">
        <v>90.33</v>
      </c>
      <c r="AU90" s="761">
        <v>110.06</v>
      </c>
      <c r="AV90" s="237">
        <v>85.91</v>
      </c>
      <c r="AW90" s="237">
        <v>83.7</v>
      </c>
    </row>
    <row r="91" spans="1:49" ht="22.5">
      <c r="A91" s="2">
        <v>148.56</v>
      </c>
      <c r="B91" s="59">
        <v>151.72999999999999</v>
      </c>
      <c r="C91" s="3">
        <v>154.9</v>
      </c>
      <c r="D91" s="3">
        <v>158.06</v>
      </c>
      <c r="E91" s="59">
        <v>161.22999999999999</v>
      </c>
      <c r="F91" s="59">
        <v>164.4</v>
      </c>
      <c r="G91" s="59">
        <v>167.56</v>
      </c>
      <c r="H91" s="974">
        <v>215.03</v>
      </c>
      <c r="I91" s="237">
        <v>173.9</v>
      </c>
      <c r="J91" s="237">
        <v>177.07</v>
      </c>
      <c r="K91" s="237">
        <v>180.23</v>
      </c>
      <c r="L91" s="237">
        <v>183.4</v>
      </c>
      <c r="M91" s="237">
        <v>186.57</v>
      </c>
      <c r="N91" s="237">
        <v>189.73</v>
      </c>
      <c r="O91" s="237">
        <v>192.9</v>
      </c>
      <c r="P91" s="237">
        <v>196.07</v>
      </c>
      <c r="Q91" s="237">
        <v>199.23</v>
      </c>
      <c r="R91" s="237">
        <v>202.4</v>
      </c>
      <c r="S91" s="237">
        <v>145.4</v>
      </c>
      <c r="T91" s="237">
        <v>142.22999999999999</v>
      </c>
      <c r="U91" s="237">
        <v>139.06</v>
      </c>
      <c r="V91" s="237">
        <v>135.9</v>
      </c>
      <c r="W91" s="237">
        <v>132.72999999999999</v>
      </c>
      <c r="X91" s="51">
        <v>87</v>
      </c>
      <c r="Y91" s="761">
        <v>113.56</v>
      </c>
      <c r="Z91" s="761">
        <v>115.8</v>
      </c>
      <c r="AA91" s="730">
        <v>118.03</v>
      </c>
      <c r="AB91" s="742">
        <v>120.27</v>
      </c>
      <c r="AC91" s="747">
        <v>122.51</v>
      </c>
      <c r="AD91" s="739">
        <f>AD90+1.42</f>
        <v>124.74000000000011</v>
      </c>
      <c r="AE91" s="742">
        <v>126.98</v>
      </c>
      <c r="AF91" s="742">
        <v>129.21</v>
      </c>
      <c r="AG91" s="783">
        <v>131.44999999999999</v>
      </c>
      <c r="AH91" s="787">
        <v>133.69</v>
      </c>
      <c r="AI91" s="237">
        <v>113.73</v>
      </c>
      <c r="AJ91" s="237">
        <v>115.96</v>
      </c>
      <c r="AK91" s="237">
        <v>118.2</v>
      </c>
      <c r="AL91" s="237">
        <v>120.44</v>
      </c>
      <c r="AM91" s="237">
        <v>122.67</v>
      </c>
      <c r="AN91" s="237">
        <v>124.91</v>
      </c>
      <c r="AO91" s="237">
        <v>127.14</v>
      </c>
      <c r="AP91" s="237">
        <v>129.38</v>
      </c>
      <c r="AQ91" s="237">
        <v>131.61000000000001</v>
      </c>
      <c r="AR91" s="237">
        <v>133.85</v>
      </c>
      <c r="AS91" s="237">
        <v>93.6</v>
      </c>
      <c r="AT91" s="237">
        <v>91.37</v>
      </c>
      <c r="AU91" s="761">
        <v>111.33</v>
      </c>
      <c r="AV91" s="237">
        <v>86.9</v>
      </c>
      <c r="AW91" s="237">
        <v>84.66</v>
      </c>
    </row>
    <row r="92" spans="1:49" ht="22.5">
      <c r="A92" s="2">
        <v>150.31</v>
      </c>
      <c r="B92" s="59">
        <v>153.52000000000001</v>
      </c>
      <c r="C92" s="3">
        <v>156.72</v>
      </c>
      <c r="D92" s="3">
        <v>159.91999999999999</v>
      </c>
      <c r="E92" s="59">
        <v>163.13</v>
      </c>
      <c r="F92" s="59">
        <v>166.33</v>
      </c>
      <c r="G92" s="59">
        <v>169.53</v>
      </c>
      <c r="H92" s="974">
        <v>217.57</v>
      </c>
      <c r="I92" s="237">
        <v>175.94</v>
      </c>
      <c r="J92" s="237">
        <v>179.14</v>
      </c>
      <c r="K92" s="237">
        <v>182.34</v>
      </c>
      <c r="L92" s="237">
        <v>185.55</v>
      </c>
      <c r="M92" s="237">
        <v>188.75</v>
      </c>
      <c r="N92" s="237">
        <v>191.95</v>
      </c>
      <c r="O92" s="237">
        <v>195.16</v>
      </c>
      <c r="P92" s="237">
        <v>198.36</v>
      </c>
      <c r="Q92" s="237">
        <v>201.56</v>
      </c>
      <c r="R92" s="237">
        <v>204.77</v>
      </c>
      <c r="S92" s="237">
        <v>147.11000000000001</v>
      </c>
      <c r="T92" s="237">
        <v>143.91</v>
      </c>
      <c r="U92" s="237">
        <v>140.69999999999999</v>
      </c>
      <c r="V92" s="237">
        <v>137.5</v>
      </c>
      <c r="W92" s="237">
        <v>134.30000000000001</v>
      </c>
      <c r="X92" s="51">
        <v>88</v>
      </c>
      <c r="Y92" s="761">
        <v>114.85</v>
      </c>
      <c r="Z92" s="761">
        <v>117.12</v>
      </c>
      <c r="AA92" s="730">
        <v>119.38</v>
      </c>
      <c r="AB92" s="742">
        <v>121.64</v>
      </c>
      <c r="AC92" s="747">
        <v>123.9</v>
      </c>
      <c r="AD92" s="739">
        <f>AD91+1.42</f>
        <v>126.16000000000011</v>
      </c>
      <c r="AE92" s="742">
        <v>128.41999999999999</v>
      </c>
      <c r="AF92" s="742">
        <v>130.69</v>
      </c>
      <c r="AG92" s="783">
        <v>132.94999999999999</v>
      </c>
      <c r="AH92" s="787">
        <v>135.21</v>
      </c>
      <c r="AI92" s="237">
        <v>115.03</v>
      </c>
      <c r="AJ92" s="237">
        <v>117.29</v>
      </c>
      <c r="AK92" s="237">
        <v>119.55</v>
      </c>
      <c r="AL92" s="237">
        <v>121.81</v>
      </c>
      <c r="AM92" s="237">
        <v>124.07</v>
      </c>
      <c r="AN92" s="237">
        <v>126.33</v>
      </c>
      <c r="AO92" s="237">
        <v>128.6</v>
      </c>
      <c r="AP92" s="237">
        <v>130.86000000000001</v>
      </c>
      <c r="AQ92" s="237">
        <v>133.12</v>
      </c>
      <c r="AR92" s="237">
        <v>135.38</v>
      </c>
      <c r="AS92" s="237">
        <v>94.67</v>
      </c>
      <c r="AT92" s="237">
        <v>92.41</v>
      </c>
      <c r="AU92" s="761">
        <v>112.59</v>
      </c>
      <c r="AV92" s="237">
        <v>87.89</v>
      </c>
      <c r="AW92" s="237">
        <v>85.63</v>
      </c>
    </row>
    <row r="93" spans="1:49" ht="22.5">
      <c r="A93" s="2">
        <v>151.99</v>
      </c>
      <c r="B93" s="59">
        <v>155.22999999999999</v>
      </c>
      <c r="C93" s="3">
        <v>158.47</v>
      </c>
      <c r="D93" s="3">
        <v>161.71</v>
      </c>
      <c r="E93" s="59">
        <v>164.95</v>
      </c>
      <c r="F93" s="59">
        <v>168.19</v>
      </c>
      <c r="G93" s="59">
        <v>171.43</v>
      </c>
      <c r="H93" s="974">
        <v>219.98</v>
      </c>
      <c r="I93" s="237">
        <v>177.91</v>
      </c>
      <c r="J93" s="237">
        <v>181.15</v>
      </c>
      <c r="K93" s="237">
        <v>184.39</v>
      </c>
      <c r="L93" s="237">
        <v>187.62</v>
      </c>
      <c r="M93" s="237">
        <v>190.86</v>
      </c>
      <c r="N93" s="237">
        <v>194.1</v>
      </c>
      <c r="O93" s="237">
        <v>197.34</v>
      </c>
      <c r="P93" s="237">
        <v>200.58</v>
      </c>
      <c r="Q93" s="237">
        <v>203.82</v>
      </c>
      <c r="R93" s="237">
        <v>207.06</v>
      </c>
      <c r="S93" s="237">
        <v>148.75</v>
      </c>
      <c r="T93" s="237">
        <v>145.51</v>
      </c>
      <c r="U93" s="237">
        <v>142.27000000000001</v>
      </c>
      <c r="V93" s="237">
        <v>139.03</v>
      </c>
      <c r="W93" s="237">
        <v>135.79</v>
      </c>
      <c r="X93" s="51">
        <v>89</v>
      </c>
      <c r="Y93" s="761">
        <v>116.15</v>
      </c>
      <c r="Z93" s="761">
        <v>118.44</v>
      </c>
      <c r="AA93" s="730">
        <v>120.72</v>
      </c>
      <c r="AB93" s="742">
        <v>123.01</v>
      </c>
      <c r="AC93" s="747">
        <v>125.3</v>
      </c>
      <c r="AD93" s="739">
        <f>AD92+1.43</f>
        <v>127.59000000000012</v>
      </c>
      <c r="AE93" s="742">
        <v>129.87</v>
      </c>
      <c r="AF93" s="742">
        <v>132.16</v>
      </c>
      <c r="AG93" s="783">
        <v>134.44999999999999</v>
      </c>
      <c r="AH93" s="787">
        <v>136.72999999999999</v>
      </c>
      <c r="AI93" s="237">
        <v>116.33</v>
      </c>
      <c r="AJ93" s="237">
        <v>118.61</v>
      </c>
      <c r="AK93" s="237">
        <v>120.9</v>
      </c>
      <c r="AL93" s="237">
        <v>123.19</v>
      </c>
      <c r="AM93" s="237">
        <v>125.48</v>
      </c>
      <c r="AN93" s="237">
        <v>127.76</v>
      </c>
      <c r="AO93" s="237">
        <v>130.05000000000001</v>
      </c>
      <c r="AP93" s="237">
        <v>132.34</v>
      </c>
      <c r="AQ93" s="237">
        <v>134.63</v>
      </c>
      <c r="AR93" s="237">
        <v>136.91</v>
      </c>
      <c r="AS93" s="237">
        <v>95.74</v>
      </c>
      <c r="AT93" s="237">
        <v>93.45</v>
      </c>
      <c r="AU93" s="761">
        <v>113.86</v>
      </c>
      <c r="AV93" s="237">
        <v>88.88</v>
      </c>
      <c r="AW93" s="237">
        <v>86.59</v>
      </c>
    </row>
    <row r="94" spans="1:49" ht="22.5">
      <c r="A94" s="2">
        <v>153.66999999999999</v>
      </c>
      <c r="B94" s="59">
        <v>156.94999999999999</v>
      </c>
      <c r="C94" s="3">
        <v>160.22</v>
      </c>
      <c r="D94" s="3">
        <v>163.5</v>
      </c>
      <c r="E94" s="59">
        <v>166.77</v>
      </c>
      <c r="F94" s="59">
        <v>170.05</v>
      </c>
      <c r="G94" s="59">
        <v>173.33</v>
      </c>
      <c r="H94" s="974">
        <v>222.41</v>
      </c>
      <c r="I94" s="237">
        <v>179.88</v>
      </c>
      <c r="J94" s="237">
        <v>183.15</v>
      </c>
      <c r="K94" s="237">
        <v>186.43</v>
      </c>
      <c r="L94" s="237">
        <v>189.71</v>
      </c>
      <c r="M94" s="237">
        <v>192.98</v>
      </c>
      <c r="N94" s="237">
        <v>196.26</v>
      </c>
      <c r="O94" s="237">
        <v>199.53</v>
      </c>
      <c r="P94" s="237">
        <v>202.81</v>
      </c>
      <c r="Q94" s="237">
        <v>206.09</v>
      </c>
      <c r="R94" s="237">
        <v>209.36</v>
      </c>
      <c r="S94" s="237">
        <v>150.38999999999999</v>
      </c>
      <c r="T94" s="237">
        <v>147.12</v>
      </c>
      <c r="U94" s="237">
        <v>143.84</v>
      </c>
      <c r="V94" s="237">
        <v>140.57</v>
      </c>
      <c r="W94" s="237">
        <v>137.29</v>
      </c>
      <c r="X94" s="51">
        <v>90</v>
      </c>
      <c r="Y94" s="761">
        <v>117.48</v>
      </c>
      <c r="Z94" s="761">
        <v>119.8</v>
      </c>
      <c r="AA94" s="730">
        <v>122.11</v>
      </c>
      <c r="AB94" s="742">
        <v>124.42</v>
      </c>
      <c r="AC94" s="747">
        <v>126.73</v>
      </c>
      <c r="AD94" s="739">
        <f>AD93+1.46</f>
        <v>129.05000000000013</v>
      </c>
      <c r="AE94" s="742">
        <v>131.36000000000001</v>
      </c>
      <c r="AF94" s="742">
        <v>133.66999999999999</v>
      </c>
      <c r="AG94" s="783">
        <v>135.99</v>
      </c>
      <c r="AH94" s="787">
        <v>138.30000000000001</v>
      </c>
      <c r="AI94" s="237">
        <v>117.65</v>
      </c>
      <c r="AJ94" s="237">
        <v>119.96</v>
      </c>
      <c r="AK94" s="237">
        <v>122.28</v>
      </c>
      <c r="AL94" s="237">
        <v>124.59</v>
      </c>
      <c r="AM94" s="237">
        <v>126.9</v>
      </c>
      <c r="AN94" s="237">
        <v>129.22</v>
      </c>
      <c r="AO94" s="237">
        <v>131.53</v>
      </c>
      <c r="AP94" s="237">
        <v>133.84</v>
      </c>
      <c r="AQ94" s="237">
        <v>136.16</v>
      </c>
      <c r="AR94" s="237">
        <v>138.47</v>
      </c>
      <c r="AS94" s="237">
        <v>96.83</v>
      </c>
      <c r="AT94" s="237">
        <v>94.52</v>
      </c>
      <c r="AU94" s="761">
        <v>115.17</v>
      </c>
      <c r="AV94" s="237">
        <v>89.9</v>
      </c>
      <c r="AW94" s="237">
        <v>87.58</v>
      </c>
    </row>
    <row r="95" spans="1:49" ht="22.5">
      <c r="A95" s="2">
        <v>155.44</v>
      </c>
      <c r="B95" s="59">
        <v>158.75</v>
      </c>
      <c r="C95" s="3">
        <v>162.06</v>
      </c>
      <c r="D95" s="3">
        <v>165.38</v>
      </c>
      <c r="E95" s="59">
        <v>168.69</v>
      </c>
      <c r="F95" s="59">
        <v>172</v>
      </c>
      <c r="G95" s="59">
        <v>175.31</v>
      </c>
      <c r="H95" s="974">
        <v>224.99</v>
      </c>
      <c r="I95" s="237">
        <v>181.94</v>
      </c>
      <c r="J95" s="237">
        <v>185.25</v>
      </c>
      <c r="K95" s="237">
        <v>188.56</v>
      </c>
      <c r="L95" s="237">
        <v>191.88</v>
      </c>
      <c r="M95" s="237">
        <v>195.19</v>
      </c>
      <c r="N95" s="237">
        <v>198.5</v>
      </c>
      <c r="O95" s="237">
        <v>201.81</v>
      </c>
      <c r="P95" s="237">
        <v>205.13</v>
      </c>
      <c r="Q95" s="237">
        <v>208.44</v>
      </c>
      <c r="R95" s="237">
        <v>211.75</v>
      </c>
      <c r="S95" s="237">
        <v>152.13</v>
      </c>
      <c r="T95" s="237">
        <v>148.82</v>
      </c>
      <c r="U95" s="237">
        <v>145.5</v>
      </c>
      <c r="V95" s="237">
        <v>142.19</v>
      </c>
      <c r="W95" s="237">
        <v>138.88</v>
      </c>
      <c r="X95" s="51">
        <v>91</v>
      </c>
      <c r="Y95" s="761">
        <v>118.78</v>
      </c>
      <c r="Z95" s="761">
        <v>121.12</v>
      </c>
      <c r="AA95" s="730">
        <v>123.46</v>
      </c>
      <c r="AB95" s="742">
        <v>125.8</v>
      </c>
      <c r="AC95" s="747">
        <v>128.13999999999999</v>
      </c>
      <c r="AD95" s="739">
        <f>AD94+1.43</f>
        <v>130.48000000000013</v>
      </c>
      <c r="AE95" s="742">
        <v>132.81</v>
      </c>
      <c r="AF95" s="742">
        <v>135.15</v>
      </c>
      <c r="AG95" s="783">
        <v>137.49</v>
      </c>
      <c r="AH95" s="787">
        <v>139.83000000000001</v>
      </c>
      <c r="AI95" s="237">
        <v>118.96</v>
      </c>
      <c r="AJ95" s="237">
        <v>121.29</v>
      </c>
      <c r="AK95" s="237">
        <v>123.63</v>
      </c>
      <c r="AL95" s="237">
        <v>125.97</v>
      </c>
      <c r="AM95" s="237">
        <v>128.31</v>
      </c>
      <c r="AN95" s="237">
        <v>130.65</v>
      </c>
      <c r="AO95" s="237">
        <v>132.99</v>
      </c>
      <c r="AP95" s="237">
        <v>135.33000000000001</v>
      </c>
      <c r="AQ95" s="237">
        <v>137.66</v>
      </c>
      <c r="AR95" s="237">
        <v>140</v>
      </c>
      <c r="AS95" s="237">
        <v>97.91</v>
      </c>
      <c r="AT95" s="237">
        <v>95.57</v>
      </c>
      <c r="AU95" s="761">
        <v>116.44</v>
      </c>
      <c r="AV95" s="237">
        <v>90.89</v>
      </c>
      <c r="AW95" s="237">
        <v>88.55</v>
      </c>
    </row>
    <row r="96" spans="1:49" ht="22.5">
      <c r="A96" s="2">
        <v>157.13</v>
      </c>
      <c r="B96" s="59">
        <v>160.47999999999999</v>
      </c>
      <c r="C96" s="3">
        <v>163.83000000000001</v>
      </c>
      <c r="D96" s="3">
        <v>167.18</v>
      </c>
      <c r="E96" s="59">
        <v>170.53</v>
      </c>
      <c r="F96" s="59">
        <v>173.88</v>
      </c>
      <c r="G96" s="59">
        <v>177.23</v>
      </c>
      <c r="H96" s="974">
        <v>227.44</v>
      </c>
      <c r="I96" s="237">
        <v>183.92</v>
      </c>
      <c r="J96" s="237">
        <v>187.27</v>
      </c>
      <c r="K96" s="237">
        <v>190.62</v>
      </c>
      <c r="L96" s="237">
        <v>193.97</v>
      </c>
      <c r="M96" s="237">
        <v>197.32</v>
      </c>
      <c r="N96" s="237">
        <v>200.67</v>
      </c>
      <c r="O96" s="237">
        <v>204.02</v>
      </c>
      <c r="P96" s="237">
        <v>207.37</v>
      </c>
      <c r="Q96" s="237">
        <v>210.71</v>
      </c>
      <c r="R96" s="237">
        <v>214.06</v>
      </c>
      <c r="S96" s="237">
        <v>153.78</v>
      </c>
      <c r="T96" s="237">
        <v>150.44</v>
      </c>
      <c r="U96" s="237">
        <v>147.09</v>
      </c>
      <c r="V96" s="237">
        <v>143.74</v>
      </c>
      <c r="W96" s="237">
        <v>140.38999999999999</v>
      </c>
      <c r="X96" s="51">
        <v>92</v>
      </c>
      <c r="Y96" s="761">
        <v>120.04</v>
      </c>
      <c r="Z96" s="761">
        <v>122.41</v>
      </c>
      <c r="AA96" s="730">
        <v>124.77</v>
      </c>
      <c r="AB96" s="742">
        <v>127.14</v>
      </c>
      <c r="AC96" s="747">
        <v>129.5</v>
      </c>
      <c r="AD96" s="739">
        <f>AD95+1.39</f>
        <v>131.87000000000012</v>
      </c>
      <c r="AE96" s="742">
        <v>134.22999999999999</v>
      </c>
      <c r="AF96" s="742">
        <v>136.6</v>
      </c>
      <c r="AG96" s="783">
        <v>138.96</v>
      </c>
      <c r="AH96" s="787">
        <v>141.32</v>
      </c>
      <c r="AI96" s="237">
        <v>120.24</v>
      </c>
      <c r="AJ96" s="237">
        <v>122.6</v>
      </c>
      <c r="AK96" s="237">
        <v>124.96</v>
      </c>
      <c r="AL96" s="237">
        <v>127.33</v>
      </c>
      <c r="AM96" s="237">
        <v>129.69</v>
      </c>
      <c r="AN96" s="237">
        <v>132.06</v>
      </c>
      <c r="AO96" s="237">
        <v>134.41999999999999</v>
      </c>
      <c r="AP96" s="237">
        <v>136.79</v>
      </c>
      <c r="AQ96" s="237">
        <v>139.15</v>
      </c>
      <c r="AR96" s="237">
        <v>141.52000000000001</v>
      </c>
      <c r="AS96" s="237">
        <v>98.96</v>
      </c>
      <c r="AT96" s="237">
        <v>96.59</v>
      </c>
      <c r="AU96" s="761">
        <v>117.68</v>
      </c>
      <c r="AV96" s="237">
        <v>91.86</v>
      </c>
      <c r="AW96" s="237">
        <v>89.5</v>
      </c>
    </row>
    <row r="97" spans="1:49" ht="22.5">
      <c r="A97" s="2">
        <v>158.83000000000001</v>
      </c>
      <c r="B97" s="59">
        <v>162.22</v>
      </c>
      <c r="C97" s="3">
        <v>165.6</v>
      </c>
      <c r="D97" s="3">
        <v>168.99</v>
      </c>
      <c r="E97" s="59">
        <v>172.37</v>
      </c>
      <c r="F97" s="59">
        <v>175.76</v>
      </c>
      <c r="G97" s="59">
        <v>179.14</v>
      </c>
      <c r="H97" s="974">
        <v>229.89</v>
      </c>
      <c r="I97" s="237">
        <v>185.91</v>
      </c>
      <c r="J97" s="237">
        <v>189.3</v>
      </c>
      <c r="K97" s="237">
        <v>192.68</v>
      </c>
      <c r="L97" s="237">
        <v>196.07</v>
      </c>
      <c r="M97" s="237">
        <v>199.45</v>
      </c>
      <c r="N97" s="237">
        <v>202.84</v>
      </c>
      <c r="O97" s="237">
        <v>206.23</v>
      </c>
      <c r="P97" s="237">
        <v>209.61</v>
      </c>
      <c r="Q97" s="237">
        <v>213</v>
      </c>
      <c r="R97" s="237">
        <v>216.38</v>
      </c>
      <c r="S97" s="237">
        <v>155.44999999999999</v>
      </c>
      <c r="T97" s="237">
        <v>152.06</v>
      </c>
      <c r="U97" s="237">
        <v>148.68</v>
      </c>
      <c r="V97" s="237">
        <v>145.29</v>
      </c>
      <c r="W97" s="237">
        <v>141.91</v>
      </c>
      <c r="X97" s="51">
        <v>93</v>
      </c>
      <c r="Y97" s="761">
        <v>121.35</v>
      </c>
      <c r="Z97" s="761">
        <v>123.74</v>
      </c>
      <c r="AA97" s="730">
        <v>126.13</v>
      </c>
      <c r="AB97" s="742">
        <v>128.52000000000001</v>
      </c>
      <c r="AC97" s="747">
        <v>130.91</v>
      </c>
      <c r="AD97" s="739">
        <f>AD96+1.43</f>
        <v>133.30000000000013</v>
      </c>
      <c r="AE97" s="742">
        <v>135.69</v>
      </c>
      <c r="AF97" s="742">
        <v>138.08000000000001</v>
      </c>
      <c r="AG97" s="783">
        <v>140.47</v>
      </c>
      <c r="AH97" s="787">
        <v>142.86000000000001</v>
      </c>
      <c r="AI97" s="237">
        <v>121.54</v>
      </c>
      <c r="AJ97" s="237">
        <v>123.93</v>
      </c>
      <c r="AK97" s="237">
        <v>126.32</v>
      </c>
      <c r="AL97" s="237">
        <v>128.71</v>
      </c>
      <c r="AM97" s="237">
        <v>131.1</v>
      </c>
      <c r="AN97" s="237">
        <v>133.49</v>
      </c>
      <c r="AO97" s="237">
        <v>135.88</v>
      </c>
      <c r="AP97" s="237">
        <v>138.27000000000001</v>
      </c>
      <c r="AQ97" s="237">
        <v>140.66</v>
      </c>
      <c r="AR97" s="237">
        <v>143.05000000000001</v>
      </c>
      <c r="AS97" s="237">
        <v>100.03</v>
      </c>
      <c r="AT97" s="237">
        <v>97.64</v>
      </c>
      <c r="AU97" s="761">
        <v>118.96</v>
      </c>
      <c r="AV97" s="237">
        <v>92.86</v>
      </c>
      <c r="AW97" s="237">
        <v>90.47</v>
      </c>
    </row>
    <row r="98" spans="1:49" ht="22.5">
      <c r="A98" s="2">
        <v>160.54</v>
      </c>
      <c r="B98" s="59">
        <v>163.96</v>
      </c>
      <c r="C98" s="3">
        <v>167.38</v>
      </c>
      <c r="D98" s="3">
        <v>170.8</v>
      </c>
      <c r="E98" s="59">
        <v>174.22</v>
      </c>
      <c r="F98" s="59">
        <v>177.64</v>
      </c>
      <c r="G98" s="59">
        <v>181.07</v>
      </c>
      <c r="H98" s="974">
        <v>232.36</v>
      </c>
      <c r="I98" s="237">
        <v>187.91</v>
      </c>
      <c r="J98" s="237">
        <v>191.33</v>
      </c>
      <c r="K98" s="237">
        <v>194.75</v>
      </c>
      <c r="L98" s="237">
        <v>198.17</v>
      </c>
      <c r="M98" s="237">
        <v>201.6</v>
      </c>
      <c r="N98" s="237">
        <v>205.02</v>
      </c>
      <c r="O98" s="237">
        <v>208.44</v>
      </c>
      <c r="P98" s="237">
        <v>211.86</v>
      </c>
      <c r="Q98" s="237">
        <v>215.28</v>
      </c>
      <c r="R98" s="237">
        <v>218.7</v>
      </c>
      <c r="S98" s="237">
        <v>157.11000000000001</v>
      </c>
      <c r="T98" s="237">
        <v>153.69</v>
      </c>
      <c r="U98" s="237">
        <v>150.27000000000001</v>
      </c>
      <c r="V98" s="237">
        <v>146.85</v>
      </c>
      <c r="W98" s="237">
        <v>143.43</v>
      </c>
      <c r="X98" s="51">
        <v>94</v>
      </c>
      <c r="Y98" s="761">
        <v>122.65</v>
      </c>
      <c r="Z98" s="761">
        <v>125.07</v>
      </c>
      <c r="AA98" s="730">
        <v>127.49</v>
      </c>
      <c r="AB98" s="742">
        <v>129.9</v>
      </c>
      <c r="AC98" s="747">
        <v>132.32</v>
      </c>
      <c r="AD98" s="739">
        <f>AD97+1.43</f>
        <v>134.73000000000013</v>
      </c>
      <c r="AE98" s="742">
        <v>137.15</v>
      </c>
      <c r="AF98" s="742">
        <v>139.56</v>
      </c>
      <c r="AG98" s="783">
        <v>141.97999999999999</v>
      </c>
      <c r="AH98" s="787">
        <v>144.4</v>
      </c>
      <c r="AI98" s="237">
        <v>122.85</v>
      </c>
      <c r="AJ98" s="237">
        <v>125.27</v>
      </c>
      <c r="AK98" s="237">
        <v>127.68</v>
      </c>
      <c r="AL98" s="237">
        <v>130.1</v>
      </c>
      <c r="AM98" s="237">
        <v>132.51</v>
      </c>
      <c r="AN98" s="237">
        <v>134.93</v>
      </c>
      <c r="AO98" s="237">
        <v>137.34</v>
      </c>
      <c r="AP98" s="237">
        <v>139.76</v>
      </c>
      <c r="AQ98" s="237">
        <v>142.18</v>
      </c>
      <c r="AR98" s="237">
        <v>144.59</v>
      </c>
      <c r="AS98" s="237">
        <v>101.11</v>
      </c>
      <c r="AT98" s="237">
        <v>98.69</v>
      </c>
      <c r="AU98" s="761">
        <v>120.24</v>
      </c>
      <c r="AV98" s="237">
        <v>93.86</v>
      </c>
      <c r="AW98" s="237">
        <v>91.44</v>
      </c>
    </row>
    <row r="99" spans="1:49" ht="22.5">
      <c r="A99" s="2">
        <v>162.16</v>
      </c>
      <c r="B99" s="59">
        <v>165.61</v>
      </c>
      <c r="C99" s="3">
        <v>169.07</v>
      </c>
      <c r="D99" s="3">
        <v>172.53</v>
      </c>
      <c r="E99" s="59">
        <v>175.99</v>
      </c>
      <c r="F99" s="59">
        <v>179.45</v>
      </c>
      <c r="G99" s="59">
        <v>182.9</v>
      </c>
      <c r="H99" s="974">
        <v>234.68</v>
      </c>
      <c r="I99" s="237">
        <v>189.82</v>
      </c>
      <c r="J99" s="237">
        <v>193.28</v>
      </c>
      <c r="K99" s="237">
        <v>196.74</v>
      </c>
      <c r="L99" s="237">
        <v>200.19</v>
      </c>
      <c r="M99" s="237">
        <v>203.65</v>
      </c>
      <c r="N99" s="237">
        <v>207.11</v>
      </c>
      <c r="O99" s="237">
        <v>210.57</v>
      </c>
      <c r="P99" s="237">
        <v>214.03</v>
      </c>
      <c r="Q99" s="237">
        <v>217.48</v>
      </c>
      <c r="R99" s="237">
        <v>220.94</v>
      </c>
      <c r="S99" s="237">
        <v>158.69999999999999</v>
      </c>
      <c r="T99" s="237">
        <v>155.24</v>
      </c>
      <c r="U99" s="237">
        <v>151.78</v>
      </c>
      <c r="V99" s="237">
        <v>148.32</v>
      </c>
      <c r="W99" s="237">
        <v>144.87</v>
      </c>
      <c r="X99" s="51">
        <v>95</v>
      </c>
      <c r="Y99" s="761">
        <v>123.96</v>
      </c>
      <c r="Z99" s="761">
        <v>126.4</v>
      </c>
      <c r="AA99" s="730">
        <v>128.85</v>
      </c>
      <c r="AB99" s="742">
        <v>131.29</v>
      </c>
      <c r="AC99" s="747">
        <v>133.72999999999999</v>
      </c>
      <c r="AD99" s="739">
        <f>AD98+1.44</f>
        <v>136.17000000000013</v>
      </c>
      <c r="AE99" s="742">
        <v>138.61000000000001</v>
      </c>
      <c r="AF99" s="742">
        <v>141.05000000000001</v>
      </c>
      <c r="AG99" s="783">
        <v>143.5</v>
      </c>
      <c r="AH99" s="787">
        <v>145.94</v>
      </c>
      <c r="AI99" s="237">
        <v>124.16</v>
      </c>
      <c r="AJ99" s="237">
        <v>126.6</v>
      </c>
      <c r="AK99" s="237">
        <v>129.04</v>
      </c>
      <c r="AL99" s="237">
        <v>131.47999999999999</v>
      </c>
      <c r="AM99" s="237">
        <v>133.93</v>
      </c>
      <c r="AN99" s="237">
        <v>136.37</v>
      </c>
      <c r="AO99" s="237">
        <v>138.81</v>
      </c>
      <c r="AP99" s="237">
        <v>141.25</v>
      </c>
      <c r="AQ99" s="237">
        <v>143.69</v>
      </c>
      <c r="AR99" s="237">
        <v>146.13</v>
      </c>
      <c r="AS99" s="237">
        <v>102.19</v>
      </c>
      <c r="AT99" s="237">
        <v>99.74</v>
      </c>
      <c r="AU99" s="761">
        <v>121.52</v>
      </c>
      <c r="AV99" s="237">
        <v>94.86</v>
      </c>
      <c r="AW99" s="237">
        <v>92.42</v>
      </c>
    </row>
    <row r="100" spans="1:49" ht="22.5">
      <c r="A100" s="2">
        <v>163.87</v>
      </c>
      <c r="B100" s="59">
        <v>167.36</v>
      </c>
      <c r="C100" s="3">
        <v>170.86</v>
      </c>
      <c r="D100" s="3">
        <v>174.35</v>
      </c>
      <c r="E100" s="59">
        <v>177.85</v>
      </c>
      <c r="F100" s="59">
        <v>181.34</v>
      </c>
      <c r="G100" s="59">
        <v>184.84</v>
      </c>
      <c r="H100" s="974">
        <v>237.16</v>
      </c>
      <c r="I100" s="237">
        <v>191.83</v>
      </c>
      <c r="J100" s="237">
        <v>195.32</v>
      </c>
      <c r="K100" s="237">
        <v>198.81</v>
      </c>
      <c r="L100" s="237">
        <v>202.31</v>
      </c>
      <c r="M100" s="237">
        <v>205.8</v>
      </c>
      <c r="N100" s="237">
        <v>209.3</v>
      </c>
      <c r="O100" s="237">
        <v>212.79</v>
      </c>
      <c r="P100" s="237">
        <v>216.29</v>
      </c>
      <c r="Q100" s="237">
        <v>219.78</v>
      </c>
      <c r="R100" s="237">
        <v>223.27</v>
      </c>
      <c r="S100" s="237">
        <v>160.38</v>
      </c>
      <c r="T100" s="237">
        <v>156.88</v>
      </c>
      <c r="U100" s="237">
        <v>153.38999999999999</v>
      </c>
      <c r="V100" s="237">
        <v>149.88999999999999</v>
      </c>
      <c r="W100" s="237">
        <v>146.4</v>
      </c>
      <c r="X100" s="51">
        <v>96</v>
      </c>
      <c r="Y100" s="761">
        <v>125.27</v>
      </c>
      <c r="Z100" s="761">
        <v>127.74</v>
      </c>
      <c r="AA100" s="730">
        <v>130.21</v>
      </c>
      <c r="AB100" s="742">
        <v>132.68</v>
      </c>
      <c r="AC100" s="747">
        <v>135.13999999999999</v>
      </c>
      <c r="AD100" s="739">
        <f>AD99+1.44</f>
        <v>137.61000000000013</v>
      </c>
      <c r="AE100" s="742">
        <v>140.08000000000001</v>
      </c>
      <c r="AF100" s="742">
        <v>142.55000000000001</v>
      </c>
      <c r="AG100" s="783">
        <v>145.01</v>
      </c>
      <c r="AH100" s="787">
        <v>147.47999999999999</v>
      </c>
      <c r="AI100" s="237">
        <v>125.47</v>
      </c>
      <c r="AJ100" s="237">
        <v>127.94</v>
      </c>
      <c r="AK100" s="237">
        <v>130.4</v>
      </c>
      <c r="AL100" s="237">
        <v>132.87</v>
      </c>
      <c r="AM100" s="237">
        <v>135.34</v>
      </c>
      <c r="AN100" s="237">
        <v>137.81</v>
      </c>
      <c r="AO100" s="237">
        <v>140.27000000000001</v>
      </c>
      <c r="AP100" s="237">
        <v>142.74</v>
      </c>
      <c r="AQ100" s="237">
        <v>145.21</v>
      </c>
      <c r="AR100" s="237">
        <v>147.66999999999999</v>
      </c>
      <c r="AS100" s="237">
        <v>103.27</v>
      </c>
      <c r="AT100" s="237">
        <v>100.8</v>
      </c>
      <c r="AU100" s="761">
        <v>122.81</v>
      </c>
      <c r="AV100" s="237">
        <v>95.86</v>
      </c>
      <c r="AW100" s="237">
        <v>93.4</v>
      </c>
    </row>
    <row r="101" spans="1:49" ht="22.5">
      <c r="A101" s="2">
        <v>165.59</v>
      </c>
      <c r="B101" s="59">
        <v>169.12</v>
      </c>
      <c r="C101" s="3">
        <v>172.65</v>
      </c>
      <c r="D101" s="3">
        <v>176.18</v>
      </c>
      <c r="E101" s="59">
        <v>179.71</v>
      </c>
      <c r="F101" s="59">
        <v>183.24</v>
      </c>
      <c r="G101" s="59">
        <v>186.77</v>
      </c>
      <c r="H101" s="974">
        <v>239.65</v>
      </c>
      <c r="I101" s="237">
        <v>193.84</v>
      </c>
      <c r="J101" s="237">
        <v>197.37</v>
      </c>
      <c r="K101" s="237">
        <v>200.9</v>
      </c>
      <c r="L101" s="237">
        <v>204.43</v>
      </c>
      <c r="M101" s="237">
        <v>207.96</v>
      </c>
      <c r="N101" s="237">
        <v>211.49</v>
      </c>
      <c r="O101" s="237">
        <v>215.02</v>
      </c>
      <c r="P101" s="237">
        <v>218.55</v>
      </c>
      <c r="Q101" s="237">
        <v>222.08</v>
      </c>
      <c r="R101" s="237">
        <v>225.61</v>
      </c>
      <c r="S101" s="237">
        <v>162.06</v>
      </c>
      <c r="T101" s="237">
        <v>158.53</v>
      </c>
      <c r="U101" s="237">
        <v>155</v>
      </c>
      <c r="V101" s="237">
        <v>151.47</v>
      </c>
      <c r="W101" s="237">
        <v>147.94</v>
      </c>
      <c r="X101" s="51">
        <v>97</v>
      </c>
      <c r="Y101" s="761">
        <v>126.55</v>
      </c>
      <c r="Z101" s="761">
        <v>129.04</v>
      </c>
      <c r="AA101" s="730">
        <v>131.53</v>
      </c>
      <c r="AB101" s="742">
        <v>134.02000000000001</v>
      </c>
      <c r="AC101" s="747">
        <v>136.52000000000001</v>
      </c>
      <c r="AD101" s="739">
        <f>AD100+1.4</f>
        <v>139.01000000000013</v>
      </c>
      <c r="AE101" s="742">
        <v>141.5</v>
      </c>
      <c r="AF101" s="742">
        <v>144</v>
      </c>
      <c r="AG101" s="783">
        <v>146.49</v>
      </c>
      <c r="AH101" s="787">
        <v>148.97999999999999</v>
      </c>
      <c r="AI101" s="237">
        <v>126.07</v>
      </c>
      <c r="AJ101" s="237">
        <v>129.25</v>
      </c>
      <c r="AK101" s="237">
        <v>131.74</v>
      </c>
      <c r="AL101" s="237">
        <v>134.22999999999999</v>
      </c>
      <c r="AM101" s="237">
        <v>136.72999999999999</v>
      </c>
      <c r="AN101" s="237">
        <v>139.22</v>
      </c>
      <c r="AO101" s="237">
        <v>141.71</v>
      </c>
      <c r="AP101" s="237">
        <v>144.21</v>
      </c>
      <c r="AQ101" s="237">
        <v>146.69999999999999</v>
      </c>
      <c r="AR101" s="237">
        <v>149.19</v>
      </c>
      <c r="AS101" s="237">
        <v>104.32</v>
      </c>
      <c r="AT101" s="237">
        <v>101.83</v>
      </c>
      <c r="AU101" s="761">
        <v>124.05</v>
      </c>
      <c r="AV101" s="237">
        <v>96.84</v>
      </c>
      <c r="AW101" s="237">
        <v>94.35</v>
      </c>
    </row>
    <row r="102" spans="1:49" ht="22.5">
      <c r="A102" s="2">
        <v>167.31</v>
      </c>
      <c r="B102" s="59">
        <v>170.88</v>
      </c>
      <c r="C102" s="3">
        <v>174.45</v>
      </c>
      <c r="D102" s="3">
        <v>178.02</v>
      </c>
      <c r="E102" s="59">
        <v>181.58</v>
      </c>
      <c r="F102" s="59">
        <v>185.15</v>
      </c>
      <c r="G102" s="59">
        <v>188.72</v>
      </c>
      <c r="H102" s="974">
        <v>242.16</v>
      </c>
      <c r="I102" s="237">
        <v>195.85</v>
      </c>
      <c r="J102" s="237">
        <v>199.42</v>
      </c>
      <c r="K102" s="237">
        <v>202.99</v>
      </c>
      <c r="L102" s="237">
        <v>206.55</v>
      </c>
      <c r="M102" s="237">
        <v>210.12</v>
      </c>
      <c r="N102" s="237">
        <v>213.69</v>
      </c>
      <c r="O102" s="237">
        <v>217.26</v>
      </c>
      <c r="P102" s="237">
        <v>220.82</v>
      </c>
      <c r="Q102" s="237">
        <v>224.39</v>
      </c>
      <c r="R102" s="237">
        <v>227.96</v>
      </c>
      <c r="S102" s="237">
        <v>163.75</v>
      </c>
      <c r="T102" s="237">
        <v>160.18</v>
      </c>
      <c r="U102" s="237">
        <v>156.61000000000001</v>
      </c>
      <c r="V102" s="237">
        <v>153.05000000000001</v>
      </c>
      <c r="W102" s="237">
        <v>149.47999999999999</v>
      </c>
      <c r="X102" s="51">
        <v>98</v>
      </c>
      <c r="Y102" s="761">
        <v>127.86</v>
      </c>
      <c r="Z102" s="761">
        <v>130.38</v>
      </c>
      <c r="AA102" s="730">
        <v>132.9</v>
      </c>
      <c r="AB102" s="742">
        <v>135.41999999999999</v>
      </c>
      <c r="AC102" s="747">
        <v>137.94</v>
      </c>
      <c r="AD102" s="739">
        <f>AD101+1.44</f>
        <v>140.45000000000013</v>
      </c>
      <c r="AE102" s="742">
        <v>142.97</v>
      </c>
      <c r="AF102" s="742">
        <v>145.49</v>
      </c>
      <c r="AG102" s="783">
        <v>148.01</v>
      </c>
      <c r="AH102" s="787">
        <v>150.53</v>
      </c>
      <c r="AI102" s="237">
        <v>128.07</v>
      </c>
      <c r="AJ102" s="237">
        <v>130.59</v>
      </c>
      <c r="AK102" s="237">
        <v>133.11000000000001</v>
      </c>
      <c r="AL102" s="237">
        <v>135.63</v>
      </c>
      <c r="AM102" s="237">
        <v>138.13999999999999</v>
      </c>
      <c r="AN102" s="237">
        <v>140.66</v>
      </c>
      <c r="AO102" s="237">
        <v>143.18</v>
      </c>
      <c r="AP102" s="237">
        <v>145.69999999999999</v>
      </c>
      <c r="AQ102" s="237">
        <v>148.22</v>
      </c>
      <c r="AR102" s="237">
        <v>150.74</v>
      </c>
      <c r="AS102" s="237">
        <v>105.4</v>
      </c>
      <c r="AT102" s="237">
        <v>102.88</v>
      </c>
      <c r="AU102" s="761">
        <v>125.34</v>
      </c>
      <c r="AV102" s="237">
        <v>97.85</v>
      </c>
      <c r="AW102" s="237">
        <v>95.33</v>
      </c>
    </row>
    <row r="103" spans="1:49" ht="22.5">
      <c r="A103" s="2">
        <v>169.05</v>
      </c>
      <c r="B103" s="59">
        <v>172.65</v>
      </c>
      <c r="C103" s="3">
        <v>176.25</v>
      </c>
      <c r="D103" s="3">
        <v>179.86</v>
      </c>
      <c r="E103" s="59">
        <v>183.46</v>
      </c>
      <c r="F103" s="59">
        <v>187.06</v>
      </c>
      <c r="G103" s="59">
        <v>190.67</v>
      </c>
      <c r="H103" s="974">
        <v>244.67</v>
      </c>
      <c r="I103" s="237">
        <v>197.88</v>
      </c>
      <c r="J103" s="237">
        <v>201.48</v>
      </c>
      <c r="K103" s="237">
        <v>205.08</v>
      </c>
      <c r="L103" s="237">
        <v>208.69</v>
      </c>
      <c r="M103" s="237">
        <v>212.29</v>
      </c>
      <c r="N103" s="237">
        <v>215.89</v>
      </c>
      <c r="O103" s="237">
        <v>219.5</v>
      </c>
      <c r="P103" s="237">
        <v>223.1</v>
      </c>
      <c r="Q103" s="237">
        <v>226.7</v>
      </c>
      <c r="R103" s="237">
        <v>230.31</v>
      </c>
      <c r="S103" s="237">
        <v>165.44</v>
      </c>
      <c r="T103" s="237">
        <v>164.84</v>
      </c>
      <c r="U103" s="237">
        <v>158.24</v>
      </c>
      <c r="V103" s="237">
        <v>154.63</v>
      </c>
      <c r="W103" s="237">
        <v>151.03</v>
      </c>
      <c r="X103" s="51">
        <v>99</v>
      </c>
      <c r="Y103" s="761">
        <v>129.13999999999999</v>
      </c>
      <c r="Z103" s="761">
        <v>131.68</v>
      </c>
      <c r="AA103" s="730">
        <v>134.22</v>
      </c>
      <c r="AB103" s="742">
        <v>136.77000000000001</v>
      </c>
      <c r="AC103" s="747">
        <v>139.31</v>
      </c>
      <c r="AD103" s="739">
        <f>AD102+1.41</f>
        <v>141.86000000000013</v>
      </c>
      <c r="AE103" s="742">
        <v>144.4</v>
      </c>
      <c r="AF103" s="742">
        <v>146.94999999999999</v>
      </c>
      <c r="AG103" s="783">
        <v>149.49</v>
      </c>
      <c r="AH103" s="787">
        <v>152.03</v>
      </c>
      <c r="AI103" s="237">
        <v>129.36000000000001</v>
      </c>
      <c r="AJ103" s="237">
        <v>131.9</v>
      </c>
      <c r="AK103" s="237">
        <v>134.44999999999999</v>
      </c>
      <c r="AL103" s="237">
        <v>136.99</v>
      </c>
      <c r="AM103" s="237">
        <v>139.53</v>
      </c>
      <c r="AN103" s="237">
        <v>142.08000000000001</v>
      </c>
      <c r="AO103" s="237">
        <v>144.62</v>
      </c>
      <c r="AP103" s="237">
        <v>147.16999999999999</v>
      </c>
      <c r="AQ103" s="237">
        <v>149.71</v>
      </c>
      <c r="AR103" s="237">
        <v>152.26</v>
      </c>
      <c r="AS103" s="237">
        <v>106.46</v>
      </c>
      <c r="AT103" s="237">
        <v>103.91</v>
      </c>
      <c r="AU103" s="761">
        <v>126.59</v>
      </c>
      <c r="AV103" s="237">
        <v>98.83</v>
      </c>
      <c r="AW103" s="237">
        <v>96.28</v>
      </c>
    </row>
    <row r="104" spans="1:49" ht="22.5">
      <c r="A104" s="2">
        <v>170.69</v>
      </c>
      <c r="B104" s="59">
        <v>174.33</v>
      </c>
      <c r="C104" s="3">
        <v>177.97</v>
      </c>
      <c r="D104" s="3">
        <v>181.61</v>
      </c>
      <c r="E104" s="59">
        <v>185.25</v>
      </c>
      <c r="F104" s="59">
        <v>188.89</v>
      </c>
      <c r="G104" s="59">
        <v>192.53</v>
      </c>
      <c r="H104" s="974">
        <v>247.02</v>
      </c>
      <c r="I104" s="237">
        <v>199.81</v>
      </c>
      <c r="J104" s="237">
        <v>203.45</v>
      </c>
      <c r="K104" s="237">
        <v>207.09</v>
      </c>
      <c r="L104" s="237">
        <v>210.73</v>
      </c>
      <c r="M104" s="237">
        <v>214.37</v>
      </c>
      <c r="N104" s="237">
        <v>218.01</v>
      </c>
      <c r="O104" s="237">
        <v>221.65</v>
      </c>
      <c r="P104" s="237">
        <v>225.29</v>
      </c>
      <c r="Q104" s="237">
        <v>228.93</v>
      </c>
      <c r="R104" s="237">
        <v>232.57</v>
      </c>
      <c r="S104" s="237">
        <v>167.05</v>
      </c>
      <c r="T104" s="237">
        <v>163.41</v>
      </c>
      <c r="U104" s="237">
        <v>159.77000000000001</v>
      </c>
      <c r="V104" s="237">
        <v>156.13</v>
      </c>
      <c r="W104" s="237">
        <v>152.49</v>
      </c>
      <c r="X104" s="51">
        <v>100</v>
      </c>
      <c r="Y104" s="761">
        <v>130.46</v>
      </c>
      <c r="Z104" s="761">
        <v>133.03</v>
      </c>
      <c r="AA104" s="730">
        <v>135.6</v>
      </c>
      <c r="AB104" s="742">
        <v>138.16999999999999</v>
      </c>
      <c r="AC104" s="747">
        <v>140.74</v>
      </c>
      <c r="AD104" s="739">
        <f>AD103+1.45</f>
        <v>143.31000000000012</v>
      </c>
      <c r="AE104" s="742">
        <v>145.88</v>
      </c>
      <c r="AF104" s="742">
        <v>148.44999999999999</v>
      </c>
      <c r="AG104" s="783">
        <v>151.02000000000001</v>
      </c>
      <c r="AH104" s="787">
        <v>153.59</v>
      </c>
      <c r="AI104" s="237">
        <v>130.68</v>
      </c>
      <c r="AJ104" s="237">
        <v>133.25</v>
      </c>
      <c r="AK104" s="237">
        <v>135.82</v>
      </c>
      <c r="AL104" s="237">
        <v>138.38999999999999</v>
      </c>
      <c r="AM104" s="237">
        <v>140.96</v>
      </c>
      <c r="AN104" s="237">
        <v>143.53</v>
      </c>
      <c r="AO104" s="237">
        <v>146.1</v>
      </c>
      <c r="AP104" s="237">
        <v>148.66999999999999</v>
      </c>
      <c r="AQ104" s="237">
        <v>151.24</v>
      </c>
      <c r="AR104" s="237">
        <v>153.81</v>
      </c>
      <c r="AS104" s="237">
        <v>107.55</v>
      </c>
      <c r="AT104" s="237">
        <v>104.98</v>
      </c>
      <c r="AU104" s="761">
        <v>127.89</v>
      </c>
      <c r="AV104" s="237">
        <v>99.84</v>
      </c>
      <c r="AW104" s="237">
        <v>97.27</v>
      </c>
    </row>
    <row r="105" spans="1:49" ht="22.5">
      <c r="A105" s="2">
        <v>172.43</v>
      </c>
      <c r="B105" s="59">
        <v>176.11</v>
      </c>
      <c r="C105" s="3">
        <v>179.78</v>
      </c>
      <c r="D105" s="3">
        <v>183.46</v>
      </c>
      <c r="E105" s="59">
        <v>187.13</v>
      </c>
      <c r="F105" s="59">
        <v>190.81</v>
      </c>
      <c r="G105" s="59">
        <v>194.49</v>
      </c>
      <c r="H105" s="974">
        <v>249.55</v>
      </c>
      <c r="I105" s="237">
        <v>201.84</v>
      </c>
      <c r="J105" s="237">
        <v>205.52</v>
      </c>
      <c r="K105" s="237">
        <v>209.19</v>
      </c>
      <c r="L105" s="237">
        <v>212.87</v>
      </c>
      <c r="M105" s="237">
        <v>216.55</v>
      </c>
      <c r="N105" s="237">
        <v>220.22</v>
      </c>
      <c r="O105" s="237">
        <v>223.9</v>
      </c>
      <c r="P105" s="237">
        <v>227.57</v>
      </c>
      <c r="Q105" s="237">
        <v>231.25</v>
      </c>
      <c r="R105" s="237">
        <v>234.93</v>
      </c>
      <c r="S105" s="237">
        <v>168.75</v>
      </c>
      <c r="T105" s="237">
        <v>165.08</v>
      </c>
      <c r="U105" s="237">
        <v>161.4</v>
      </c>
      <c r="V105" s="237">
        <v>157.72</v>
      </c>
      <c r="W105" s="237">
        <v>154.05000000000001</v>
      </c>
      <c r="X105" s="51">
        <v>101</v>
      </c>
      <c r="Y105" s="761">
        <v>131.74</v>
      </c>
      <c r="Z105" s="761">
        <v>134.33000000000001</v>
      </c>
      <c r="AA105" s="730">
        <v>136.93</v>
      </c>
      <c r="AB105" s="742">
        <v>139.52000000000001</v>
      </c>
      <c r="AC105" s="747">
        <v>142.12</v>
      </c>
      <c r="AD105" s="739">
        <f>AD104+1.4</f>
        <v>144.71000000000012</v>
      </c>
      <c r="AE105" s="742">
        <v>147.31</v>
      </c>
      <c r="AF105" s="742">
        <v>149.91</v>
      </c>
      <c r="AG105" s="783">
        <v>152.5</v>
      </c>
      <c r="AH105" s="787">
        <v>155.1</v>
      </c>
      <c r="AI105" s="237">
        <v>131.96</v>
      </c>
      <c r="AJ105" s="237">
        <v>134.56</v>
      </c>
      <c r="AK105" s="237">
        <v>137.16</v>
      </c>
      <c r="AL105" s="237">
        <v>139.75</v>
      </c>
      <c r="AM105" s="237">
        <v>142.35</v>
      </c>
      <c r="AN105" s="237">
        <v>144.94</v>
      </c>
      <c r="AO105" s="237">
        <v>147.54</v>
      </c>
      <c r="AP105" s="237">
        <v>150.13</v>
      </c>
      <c r="AQ105" s="237">
        <v>152.72999999999999</v>
      </c>
      <c r="AR105" s="237">
        <v>155.33000000000001</v>
      </c>
      <c r="AS105" s="237">
        <v>108.6</v>
      </c>
      <c r="AT105" s="237">
        <v>106.01</v>
      </c>
      <c r="AU105" s="761">
        <v>129.13999999999999</v>
      </c>
      <c r="AV105" s="237">
        <v>100.82</v>
      </c>
      <c r="AW105" s="237">
        <v>98.22</v>
      </c>
    </row>
    <row r="106" spans="1:49" ht="22.5">
      <c r="A106" s="2">
        <v>174.08</v>
      </c>
      <c r="B106" s="59">
        <v>177.79</v>
      </c>
      <c r="C106" s="3">
        <v>181.5</v>
      </c>
      <c r="D106" s="3">
        <v>185.21</v>
      </c>
      <c r="E106" s="59">
        <v>188.93</v>
      </c>
      <c r="F106" s="59">
        <v>192.64</v>
      </c>
      <c r="G106" s="59">
        <v>196.35</v>
      </c>
      <c r="H106" s="974">
        <v>251.92</v>
      </c>
      <c r="I106" s="237">
        <v>203.78</v>
      </c>
      <c r="J106" s="237">
        <v>207.49</v>
      </c>
      <c r="K106" s="237">
        <v>211.2</v>
      </c>
      <c r="L106" s="237">
        <v>214.92</v>
      </c>
      <c r="M106" s="237">
        <v>218.63</v>
      </c>
      <c r="N106" s="237">
        <v>222.34</v>
      </c>
      <c r="O106" s="237">
        <v>226.05</v>
      </c>
      <c r="P106" s="237">
        <v>229.77</v>
      </c>
      <c r="Q106" s="237">
        <v>233.48</v>
      </c>
      <c r="R106" s="237">
        <v>237.19</v>
      </c>
      <c r="S106" s="237">
        <v>170.36</v>
      </c>
      <c r="T106" s="237">
        <v>166.65</v>
      </c>
      <c r="U106" s="237">
        <v>162.94</v>
      </c>
      <c r="V106" s="237">
        <v>159.22</v>
      </c>
      <c r="W106" s="237">
        <v>155.51</v>
      </c>
      <c r="X106" s="51">
        <v>102</v>
      </c>
      <c r="Y106" s="761">
        <v>133.06</v>
      </c>
      <c r="Z106" s="761">
        <v>135.68</v>
      </c>
      <c r="AA106" s="730">
        <v>138.30000000000001</v>
      </c>
      <c r="AB106" s="742">
        <v>140.93</v>
      </c>
      <c r="AC106" s="747">
        <v>143.55000000000001</v>
      </c>
      <c r="AD106" s="739">
        <f>AD105+1.46</f>
        <v>146.17000000000013</v>
      </c>
      <c r="AE106" s="742">
        <v>148.79</v>
      </c>
      <c r="AF106" s="742">
        <v>151.41</v>
      </c>
      <c r="AG106" s="783">
        <v>154.03</v>
      </c>
      <c r="AH106" s="787">
        <v>156.65</v>
      </c>
      <c r="AI106" s="237">
        <v>133.29</v>
      </c>
      <c r="AJ106" s="237">
        <v>135.91</v>
      </c>
      <c r="AK106" s="237">
        <v>138.53</v>
      </c>
      <c r="AL106" s="237">
        <v>141.15</v>
      </c>
      <c r="AM106" s="237">
        <v>143.77000000000001</v>
      </c>
      <c r="AN106" s="237">
        <v>144.38999999999999</v>
      </c>
      <c r="AO106" s="237">
        <v>149.01</v>
      </c>
      <c r="AP106" s="237">
        <v>151.63999999999999</v>
      </c>
      <c r="AQ106" s="237">
        <v>154.26</v>
      </c>
      <c r="AR106" s="237">
        <v>156.88</v>
      </c>
      <c r="AS106" s="237">
        <v>109.69</v>
      </c>
      <c r="AT106" s="237">
        <v>107.07</v>
      </c>
      <c r="AU106" s="761">
        <v>130.44</v>
      </c>
      <c r="AV106" s="237">
        <v>101.83</v>
      </c>
      <c r="AW106" s="237">
        <v>99.21</v>
      </c>
    </row>
    <row r="107" spans="1:49" ht="22.5">
      <c r="A107" s="2">
        <v>175.83</v>
      </c>
      <c r="B107" s="59">
        <v>179.58</v>
      </c>
      <c r="C107" s="3">
        <v>183.33</v>
      </c>
      <c r="D107" s="3">
        <v>187.08</v>
      </c>
      <c r="E107" s="59">
        <v>190.83</v>
      </c>
      <c r="F107" s="59">
        <v>194.58</v>
      </c>
      <c r="G107" s="59">
        <v>198.33</v>
      </c>
      <c r="H107" s="974">
        <v>254.47</v>
      </c>
      <c r="I107" s="237">
        <v>205.82</v>
      </c>
      <c r="J107" s="237">
        <v>209.57</v>
      </c>
      <c r="K107" s="237">
        <v>213.32</v>
      </c>
      <c r="L107" s="237">
        <v>217.07</v>
      </c>
      <c r="M107" s="237">
        <v>220.82</v>
      </c>
      <c r="N107" s="237">
        <v>224.57</v>
      </c>
      <c r="O107" s="237">
        <v>228.32</v>
      </c>
      <c r="P107" s="237">
        <v>232.07</v>
      </c>
      <c r="Q107" s="237">
        <v>235.82</v>
      </c>
      <c r="R107" s="237">
        <v>239.57</v>
      </c>
      <c r="S107" s="237">
        <v>172.08</v>
      </c>
      <c r="T107" s="237">
        <v>168.33</v>
      </c>
      <c r="U107" s="237">
        <v>164.58</v>
      </c>
      <c r="V107" s="237">
        <v>160.83000000000001</v>
      </c>
      <c r="W107" s="237">
        <v>157.08000000000001</v>
      </c>
      <c r="X107" s="51">
        <v>103</v>
      </c>
      <c r="Y107" s="761">
        <v>134.34</v>
      </c>
      <c r="Z107" s="761">
        <v>136.99</v>
      </c>
      <c r="AA107" s="730">
        <v>139.63999999999999</v>
      </c>
      <c r="AB107" s="742">
        <v>142.28</v>
      </c>
      <c r="AC107" s="747">
        <v>144.93</v>
      </c>
      <c r="AD107" s="739">
        <f>AD106+1.41</f>
        <v>147.58000000000013</v>
      </c>
      <c r="AE107" s="742">
        <v>150.22999999999999</v>
      </c>
      <c r="AF107" s="742">
        <v>152.87</v>
      </c>
      <c r="AG107" s="783">
        <v>155.52000000000001</v>
      </c>
      <c r="AH107" s="787">
        <v>158.16999999999999</v>
      </c>
      <c r="AI107" s="237">
        <v>134.58000000000001</v>
      </c>
      <c r="AJ107" s="237">
        <v>137.22</v>
      </c>
      <c r="AK107" s="237">
        <v>139.87</v>
      </c>
      <c r="AL107" s="237">
        <v>142.52000000000001</v>
      </c>
      <c r="AM107" s="237">
        <v>145.16999999999999</v>
      </c>
      <c r="AN107" s="237">
        <v>147.81</v>
      </c>
      <c r="AO107" s="237">
        <v>150.46</v>
      </c>
      <c r="AP107" s="237">
        <v>153.11000000000001</v>
      </c>
      <c r="AQ107" s="237">
        <v>155.75</v>
      </c>
      <c r="AR107" s="237">
        <v>158.4</v>
      </c>
      <c r="AS107" s="237">
        <v>110.75</v>
      </c>
      <c r="AT107" s="237">
        <v>108.11</v>
      </c>
      <c r="AU107" s="761">
        <v>131.69999999999999</v>
      </c>
      <c r="AV107" s="237">
        <v>102.81</v>
      </c>
      <c r="AW107" s="237">
        <v>100.17</v>
      </c>
    </row>
    <row r="108" spans="1:49" ht="22.5">
      <c r="A108" s="2">
        <v>177.48</v>
      </c>
      <c r="B108" s="59">
        <v>181.27</v>
      </c>
      <c r="C108" s="3">
        <v>185.06</v>
      </c>
      <c r="D108" s="3">
        <v>188.84</v>
      </c>
      <c r="E108" s="59">
        <v>192.63</v>
      </c>
      <c r="F108" s="59">
        <v>196.41</v>
      </c>
      <c r="G108" s="59">
        <v>200.2</v>
      </c>
      <c r="H108" s="974">
        <v>256.85000000000002</v>
      </c>
      <c r="I108" s="237">
        <v>207.77</v>
      </c>
      <c r="J108" s="237">
        <v>211.55</v>
      </c>
      <c r="K108" s="237">
        <v>215.34</v>
      </c>
      <c r="L108" s="237">
        <v>219.13</v>
      </c>
      <c r="M108" s="237">
        <v>222.91</v>
      </c>
      <c r="N108" s="237">
        <v>226.7</v>
      </c>
      <c r="O108" s="237">
        <v>230.48</v>
      </c>
      <c r="P108" s="237">
        <v>234.27</v>
      </c>
      <c r="Q108" s="237">
        <v>238.05</v>
      </c>
      <c r="R108" s="237">
        <v>241.84</v>
      </c>
      <c r="S108" s="237">
        <v>173.7</v>
      </c>
      <c r="T108" s="237">
        <v>169.91</v>
      </c>
      <c r="U108" s="237">
        <v>166.13</v>
      </c>
      <c r="V108" s="237">
        <v>162.34</v>
      </c>
      <c r="W108" s="237">
        <v>158.56</v>
      </c>
      <c r="X108" s="51">
        <v>104</v>
      </c>
      <c r="Y108" s="761">
        <v>135.63</v>
      </c>
      <c r="Z108" s="761">
        <v>138.30000000000001</v>
      </c>
      <c r="AA108" s="730">
        <v>140.97</v>
      </c>
      <c r="AB108" s="742">
        <v>143.63999999999999</v>
      </c>
      <c r="AC108" s="747">
        <v>146.32</v>
      </c>
      <c r="AD108" s="739">
        <f>AD107+1.41</f>
        <v>148.99000000000012</v>
      </c>
      <c r="AE108" s="742">
        <v>151.66</v>
      </c>
      <c r="AF108" s="742">
        <v>154.34</v>
      </c>
      <c r="AG108" s="783">
        <v>157.01</v>
      </c>
      <c r="AH108" s="787">
        <v>159.68</v>
      </c>
      <c r="AI108" s="237">
        <v>135.87</v>
      </c>
      <c r="AJ108" s="237">
        <v>138.54</v>
      </c>
      <c r="AK108" s="237">
        <v>141.22</v>
      </c>
      <c r="AL108" s="237">
        <v>143.88999999999999</v>
      </c>
      <c r="AM108" s="237">
        <v>146.56</v>
      </c>
      <c r="AN108" s="237">
        <v>149.24</v>
      </c>
      <c r="AO108" s="237">
        <v>151.91</v>
      </c>
      <c r="AP108" s="237">
        <v>154.58000000000001</v>
      </c>
      <c r="AQ108" s="237">
        <v>157.25</v>
      </c>
      <c r="AR108" s="237">
        <v>159.93</v>
      </c>
      <c r="AS108" s="237">
        <v>111.82</v>
      </c>
      <c r="AT108" s="237">
        <v>109.14</v>
      </c>
      <c r="AU108" s="761">
        <v>132.94999999999999</v>
      </c>
      <c r="AV108" s="237">
        <v>103.8</v>
      </c>
      <c r="AW108" s="237">
        <v>101.12</v>
      </c>
    </row>
    <row r="109" spans="1:49" ht="22.5">
      <c r="A109" s="2">
        <v>179.25</v>
      </c>
      <c r="B109" s="59">
        <v>183.07</v>
      </c>
      <c r="C109" s="3">
        <v>186.9</v>
      </c>
      <c r="D109" s="3">
        <v>190.72</v>
      </c>
      <c r="E109" s="59">
        <v>194.54</v>
      </c>
      <c r="F109" s="59">
        <v>198.36</v>
      </c>
      <c r="G109" s="59">
        <v>202.18</v>
      </c>
      <c r="H109" s="974">
        <v>259.43</v>
      </c>
      <c r="I109" s="237">
        <v>209.83</v>
      </c>
      <c r="J109" s="237">
        <v>213.65</v>
      </c>
      <c r="K109" s="237">
        <v>217.47</v>
      </c>
      <c r="L109" s="237">
        <v>221.29</v>
      </c>
      <c r="M109" s="237">
        <v>225.12</v>
      </c>
      <c r="N109" s="237">
        <v>228.94</v>
      </c>
      <c r="O109" s="237">
        <v>232.76</v>
      </c>
      <c r="P109" s="237">
        <v>236.58</v>
      </c>
      <c r="Q109" s="237">
        <v>240.4</v>
      </c>
      <c r="R109" s="237">
        <v>244.23</v>
      </c>
      <c r="S109" s="237">
        <v>175.43</v>
      </c>
      <c r="T109" s="237">
        <v>171.61</v>
      </c>
      <c r="U109" s="237">
        <v>167.79</v>
      </c>
      <c r="V109" s="237">
        <v>163.96</v>
      </c>
      <c r="W109" s="237">
        <v>160.13999999999999</v>
      </c>
      <c r="X109" s="51">
        <v>105</v>
      </c>
      <c r="Y109" s="761">
        <v>136.96</v>
      </c>
      <c r="Z109" s="761">
        <v>139.66</v>
      </c>
      <c r="AA109" s="730">
        <v>142.36000000000001</v>
      </c>
      <c r="AB109" s="742">
        <v>145.06</v>
      </c>
      <c r="AC109" s="747">
        <v>147.76</v>
      </c>
      <c r="AD109" s="739">
        <f>AD108+1.46</f>
        <v>150.45000000000013</v>
      </c>
      <c r="AE109" s="742">
        <v>153.15</v>
      </c>
      <c r="AF109" s="742">
        <v>155.85</v>
      </c>
      <c r="AG109" s="783">
        <v>158.55000000000001</v>
      </c>
      <c r="AH109" s="787">
        <v>161.25</v>
      </c>
      <c r="AI109" s="237">
        <v>137.19999999999999</v>
      </c>
      <c r="AJ109" s="237">
        <v>139.9</v>
      </c>
      <c r="AK109" s="237">
        <v>142.59</v>
      </c>
      <c r="AL109" s="237">
        <v>145.29</v>
      </c>
      <c r="AM109" s="237">
        <v>147.99</v>
      </c>
      <c r="AN109" s="237">
        <v>150.69</v>
      </c>
      <c r="AO109" s="237">
        <v>153.38999999999999</v>
      </c>
      <c r="AP109" s="237">
        <v>156.09</v>
      </c>
      <c r="AQ109" s="237">
        <v>158.78</v>
      </c>
      <c r="AR109" s="237">
        <v>161.47999999999999</v>
      </c>
      <c r="AS109" s="237">
        <v>112.91</v>
      </c>
      <c r="AT109" s="237">
        <v>110.21</v>
      </c>
      <c r="AU109" s="761">
        <v>134.26</v>
      </c>
      <c r="AV109" s="237">
        <v>104.8</v>
      </c>
      <c r="AW109" s="237">
        <v>102.12</v>
      </c>
    </row>
    <row r="110" spans="1:49" ht="22.5">
      <c r="A110" s="2">
        <v>180.91</v>
      </c>
      <c r="B110" s="59">
        <v>184.77</v>
      </c>
      <c r="C110" s="3">
        <v>188.63</v>
      </c>
      <c r="D110" s="3">
        <v>192.49</v>
      </c>
      <c r="E110" s="59">
        <v>196.35</v>
      </c>
      <c r="F110" s="59">
        <v>200.21</v>
      </c>
      <c r="G110" s="59">
        <v>204.06</v>
      </c>
      <c r="H110" s="974">
        <v>261.82</v>
      </c>
      <c r="I110" s="237">
        <v>211.78</v>
      </c>
      <c r="J110" s="237">
        <v>215.64</v>
      </c>
      <c r="K110" s="237">
        <v>219.5</v>
      </c>
      <c r="L110" s="237">
        <v>223.36</v>
      </c>
      <c r="M110" s="237">
        <v>227.22</v>
      </c>
      <c r="N110" s="237">
        <v>231.07</v>
      </c>
      <c r="O110" s="237">
        <v>234.93</v>
      </c>
      <c r="P110" s="237">
        <v>238.79</v>
      </c>
      <c r="Q110" s="237">
        <v>242.65</v>
      </c>
      <c r="R110" s="237">
        <v>246.51</v>
      </c>
      <c r="S110" s="237">
        <v>177.06</v>
      </c>
      <c r="T110" s="237">
        <v>173.2</v>
      </c>
      <c r="U110" s="237">
        <v>169.34</v>
      </c>
      <c r="V110" s="237">
        <v>165.48</v>
      </c>
      <c r="W110" s="237">
        <v>161.62</v>
      </c>
      <c r="X110" s="51">
        <v>106</v>
      </c>
      <c r="Y110" s="761">
        <v>138.25</v>
      </c>
      <c r="Z110" s="761">
        <v>140.97</v>
      </c>
      <c r="AA110" s="730">
        <v>143.69999999999999</v>
      </c>
      <c r="AB110" s="742">
        <v>146.41999999999999</v>
      </c>
      <c r="AC110" s="747">
        <v>149.13999999999999</v>
      </c>
      <c r="AD110" s="739">
        <f>AD109+1.42</f>
        <v>151.87000000000012</v>
      </c>
      <c r="AE110" s="742">
        <v>154.59</v>
      </c>
      <c r="AF110" s="742">
        <v>157.32</v>
      </c>
      <c r="AG110" s="783">
        <v>160.04</v>
      </c>
      <c r="AH110" s="787">
        <v>162.77000000000001</v>
      </c>
      <c r="AI110" s="237">
        <v>138.49</v>
      </c>
      <c r="AJ110" s="237">
        <v>141.22</v>
      </c>
      <c r="AK110" s="237">
        <v>143.94</v>
      </c>
      <c r="AL110" s="237">
        <v>146.66999999999999</v>
      </c>
      <c r="AM110" s="237">
        <v>149.38999999999999</v>
      </c>
      <c r="AN110" s="237">
        <v>152.11000000000001</v>
      </c>
      <c r="AO110" s="237">
        <v>154.84</v>
      </c>
      <c r="AP110" s="237">
        <v>157.56</v>
      </c>
      <c r="AQ110" s="237">
        <v>160.29</v>
      </c>
      <c r="AR110" s="237">
        <v>163.01</v>
      </c>
      <c r="AS110" s="237">
        <v>113.97</v>
      </c>
      <c r="AT110" s="237">
        <v>111.25</v>
      </c>
      <c r="AU110" s="761">
        <v>135.52000000000001</v>
      </c>
      <c r="AV110" s="237">
        <v>105.8</v>
      </c>
      <c r="AW110" s="237">
        <v>103.08</v>
      </c>
    </row>
    <row r="111" spans="1:49" ht="22.5">
      <c r="A111" s="2">
        <v>182.58</v>
      </c>
      <c r="B111" s="59">
        <v>186.48</v>
      </c>
      <c r="C111" s="3">
        <v>190.37</v>
      </c>
      <c r="D111" s="3">
        <v>194.27</v>
      </c>
      <c r="E111" s="59">
        <v>198.16</v>
      </c>
      <c r="F111" s="59">
        <v>202.05</v>
      </c>
      <c r="G111" s="59">
        <v>205.95</v>
      </c>
      <c r="H111" s="974">
        <v>264.22000000000003</v>
      </c>
      <c r="I111" s="237">
        <v>213.74</v>
      </c>
      <c r="J111" s="237">
        <v>217.63</v>
      </c>
      <c r="K111" s="237">
        <v>221.53</v>
      </c>
      <c r="L111" s="237">
        <v>225.42</v>
      </c>
      <c r="M111" s="237">
        <v>229.32</v>
      </c>
      <c r="N111" s="237">
        <v>233.21</v>
      </c>
      <c r="O111" s="237">
        <v>237.11</v>
      </c>
      <c r="P111" s="237">
        <v>241</v>
      </c>
      <c r="Q111" s="237">
        <v>244.9</v>
      </c>
      <c r="R111" s="237">
        <v>248.79</v>
      </c>
      <c r="S111" s="237">
        <v>178.69</v>
      </c>
      <c r="T111" s="237">
        <v>174.79</v>
      </c>
      <c r="U111" s="237">
        <v>170.9</v>
      </c>
      <c r="V111" s="237">
        <v>167</v>
      </c>
      <c r="W111" s="237">
        <v>163.11000000000001</v>
      </c>
      <c r="X111" s="51">
        <v>107</v>
      </c>
      <c r="Y111" s="761">
        <v>139.54</v>
      </c>
      <c r="Z111" s="761">
        <v>142.29</v>
      </c>
      <c r="AA111" s="730">
        <v>145.04</v>
      </c>
      <c r="AB111" s="742">
        <v>147.79</v>
      </c>
      <c r="AC111" s="747">
        <v>150.54</v>
      </c>
      <c r="AD111" s="739">
        <f>AD110+1.42</f>
        <v>153.29000000000011</v>
      </c>
      <c r="AE111" s="742">
        <v>156.04</v>
      </c>
      <c r="AF111" s="742">
        <v>158.79</v>
      </c>
      <c r="AG111" s="783">
        <v>161.54</v>
      </c>
      <c r="AH111" s="787">
        <v>164.29</v>
      </c>
      <c r="AI111" s="237">
        <v>139.79</v>
      </c>
      <c r="AJ111" s="237">
        <v>142.54</v>
      </c>
      <c r="AK111" s="237">
        <v>145.29</v>
      </c>
      <c r="AL111" s="237">
        <v>148.04</v>
      </c>
      <c r="AM111" s="237">
        <v>150.79</v>
      </c>
      <c r="AN111" s="237">
        <v>153.54</v>
      </c>
      <c r="AO111" s="237">
        <v>156.29</v>
      </c>
      <c r="AP111" s="237">
        <v>159.04</v>
      </c>
      <c r="AQ111" s="237">
        <v>161.79</v>
      </c>
      <c r="AR111" s="237">
        <v>164.54</v>
      </c>
      <c r="AS111" s="237">
        <v>115.04</v>
      </c>
      <c r="AT111" s="237">
        <v>112.29</v>
      </c>
      <c r="AU111" s="761">
        <v>136.79</v>
      </c>
      <c r="AV111" s="237">
        <v>106.79</v>
      </c>
      <c r="AW111" s="237">
        <v>104.04</v>
      </c>
    </row>
    <row r="112" spans="1:49" ht="22.5">
      <c r="A112" s="2">
        <v>184.25</v>
      </c>
      <c r="B112" s="59">
        <v>188.18</v>
      </c>
      <c r="C112" s="3">
        <v>192.11</v>
      </c>
      <c r="D112" s="3">
        <v>196.04</v>
      </c>
      <c r="E112" s="59">
        <v>199.98</v>
      </c>
      <c r="F112" s="59">
        <v>203.91</v>
      </c>
      <c r="G112" s="59">
        <v>207.84</v>
      </c>
      <c r="H112" s="974">
        <v>266.63</v>
      </c>
      <c r="I112" s="237">
        <v>215.7</v>
      </c>
      <c r="J112" s="237">
        <v>219.63</v>
      </c>
      <c r="K112" s="237">
        <v>223.56</v>
      </c>
      <c r="L112" s="237">
        <v>227.49</v>
      </c>
      <c r="M112" s="237">
        <v>231.43</v>
      </c>
      <c r="N112" s="237">
        <v>235.36</v>
      </c>
      <c r="O112" s="237">
        <v>239.29</v>
      </c>
      <c r="P112" s="237">
        <v>243.22</v>
      </c>
      <c r="Q112" s="237">
        <v>247.15</v>
      </c>
      <c r="R112" s="237">
        <v>251.08</v>
      </c>
      <c r="S112" s="237">
        <v>180.32</v>
      </c>
      <c r="T112" s="237">
        <v>176.39</v>
      </c>
      <c r="U112" s="237">
        <v>172.46</v>
      </c>
      <c r="V112" s="237">
        <v>168.53</v>
      </c>
      <c r="W112" s="237">
        <v>164.6</v>
      </c>
      <c r="X112" s="51">
        <v>108</v>
      </c>
      <c r="Y112" s="761">
        <v>140.83000000000001</v>
      </c>
      <c r="Z112" s="761">
        <v>143.6</v>
      </c>
      <c r="AA112" s="730">
        <v>146.38</v>
      </c>
      <c r="AB112" s="742">
        <v>149.15</v>
      </c>
      <c r="AC112" s="747">
        <v>151.93</v>
      </c>
      <c r="AD112" s="739">
        <f>AD111+1.41</f>
        <v>154.7000000000001</v>
      </c>
      <c r="AE112" s="742">
        <v>157.47999999999999</v>
      </c>
      <c r="AF112" s="742">
        <v>160.62</v>
      </c>
      <c r="AG112" s="783">
        <v>163.03</v>
      </c>
      <c r="AH112" s="787">
        <v>165.81</v>
      </c>
      <c r="AI112" s="237">
        <v>141.09</v>
      </c>
      <c r="AJ112" s="237">
        <v>143.86000000000001</v>
      </c>
      <c r="AK112" s="237">
        <v>146.63999999999999</v>
      </c>
      <c r="AL112" s="237">
        <v>149.41</v>
      </c>
      <c r="AM112" s="237">
        <v>152.19</v>
      </c>
      <c r="AN112" s="237">
        <v>154.97</v>
      </c>
      <c r="AO112" s="237">
        <v>157.74</v>
      </c>
      <c r="AP112" s="237">
        <v>160.52000000000001</v>
      </c>
      <c r="AQ112" s="237">
        <v>163.29</v>
      </c>
      <c r="AR112" s="237">
        <v>166.07</v>
      </c>
      <c r="AS112" s="237">
        <v>116.11</v>
      </c>
      <c r="AT112" s="237">
        <v>113.33</v>
      </c>
      <c r="AU112" s="761">
        <v>138.05000000000001</v>
      </c>
      <c r="AV112" s="237">
        <v>107.78</v>
      </c>
      <c r="AW112" s="237">
        <v>105</v>
      </c>
    </row>
    <row r="113" spans="1:49" ht="22.5">
      <c r="A113" s="2">
        <v>186.04</v>
      </c>
      <c r="B113" s="59">
        <v>190.01</v>
      </c>
      <c r="C113" s="3">
        <v>193.98</v>
      </c>
      <c r="D113" s="3">
        <v>197.95</v>
      </c>
      <c r="E113" s="59">
        <v>201.91</v>
      </c>
      <c r="F113" s="59">
        <v>205.88</v>
      </c>
      <c r="G113" s="59">
        <v>209.85</v>
      </c>
      <c r="H113" s="974">
        <v>269.25</v>
      </c>
      <c r="I113" s="237">
        <v>217.78</v>
      </c>
      <c r="J113" s="237">
        <v>221.75</v>
      </c>
      <c r="K113" s="237">
        <v>225.72</v>
      </c>
      <c r="L113" s="237">
        <v>229.69</v>
      </c>
      <c r="M113" s="237">
        <v>233.65</v>
      </c>
      <c r="N113" s="237">
        <v>237.62</v>
      </c>
      <c r="O113" s="237">
        <v>241.59</v>
      </c>
      <c r="P113" s="237">
        <v>245.56</v>
      </c>
      <c r="Q113" s="237">
        <v>249.52</v>
      </c>
      <c r="R113" s="237">
        <v>253.49</v>
      </c>
      <c r="S113" s="237">
        <v>182.07</v>
      </c>
      <c r="T113" s="237">
        <v>178.11</v>
      </c>
      <c r="U113" s="237">
        <v>174.14</v>
      </c>
      <c r="V113" s="237">
        <v>170.17</v>
      </c>
      <c r="W113" s="237">
        <v>166.2</v>
      </c>
      <c r="X113" s="51">
        <v>109</v>
      </c>
      <c r="Y113" s="761">
        <v>142.12</v>
      </c>
      <c r="Z113" s="761">
        <v>144.91999999999999</v>
      </c>
      <c r="AA113" s="730">
        <v>147.72</v>
      </c>
      <c r="AB113" s="742">
        <v>150.88999999999999</v>
      </c>
      <c r="AC113" s="747">
        <v>153.32</v>
      </c>
      <c r="AD113" s="739">
        <f>AD112+1.43</f>
        <v>156.13000000000011</v>
      </c>
      <c r="AE113" s="742">
        <v>158.93</v>
      </c>
      <c r="AF113" s="742">
        <v>161.72999999999999</v>
      </c>
      <c r="AG113" s="783">
        <v>164.53</v>
      </c>
      <c r="AH113" s="787">
        <v>167.33</v>
      </c>
      <c r="AI113" s="237">
        <v>142.38999999999999</v>
      </c>
      <c r="AJ113" s="237">
        <v>145.19</v>
      </c>
      <c r="AK113" s="237">
        <v>147.99</v>
      </c>
      <c r="AL113" s="237">
        <v>150.79</v>
      </c>
      <c r="AM113" s="237">
        <v>153.59</v>
      </c>
      <c r="AN113" s="237">
        <v>156.38999999999999</v>
      </c>
      <c r="AO113" s="237">
        <v>159.19</v>
      </c>
      <c r="AP113" s="237">
        <v>162</v>
      </c>
      <c r="AQ113" s="237">
        <v>164.8</v>
      </c>
      <c r="AR113" s="237">
        <v>167.6</v>
      </c>
      <c r="AS113" s="237">
        <v>117.17</v>
      </c>
      <c r="AT113" s="237">
        <v>114.37</v>
      </c>
      <c r="AU113" s="761">
        <v>139.32</v>
      </c>
      <c r="AV113" s="237">
        <v>108.77</v>
      </c>
      <c r="AW113" s="237">
        <v>105.97</v>
      </c>
    </row>
    <row r="114" spans="1:49" ht="22.5">
      <c r="A114" s="2">
        <v>187.72</v>
      </c>
      <c r="B114" s="59">
        <v>191.73</v>
      </c>
      <c r="C114" s="3">
        <v>195.73</v>
      </c>
      <c r="D114" s="3">
        <v>199.73</v>
      </c>
      <c r="E114" s="59">
        <v>203.74</v>
      </c>
      <c r="F114" s="59">
        <v>207.74</v>
      </c>
      <c r="G114" s="59">
        <v>211.75</v>
      </c>
      <c r="H114" s="974">
        <v>271.67</v>
      </c>
      <c r="I114" s="237">
        <v>219.75</v>
      </c>
      <c r="J114" s="237">
        <v>223.76</v>
      </c>
      <c r="K114" s="237">
        <v>227.76</v>
      </c>
      <c r="L114" s="237">
        <v>231.77</v>
      </c>
      <c r="M114" s="237">
        <v>235.77</v>
      </c>
      <c r="N114" s="237">
        <v>239.77</v>
      </c>
      <c r="O114" s="237">
        <v>243.78</v>
      </c>
      <c r="P114" s="237">
        <v>247.78</v>
      </c>
      <c r="Q114" s="237">
        <v>251.79</v>
      </c>
      <c r="R114" s="237">
        <v>255.79</v>
      </c>
      <c r="S114" s="237">
        <v>183.72</v>
      </c>
      <c r="T114" s="237">
        <v>179.71</v>
      </c>
      <c r="U114" s="237">
        <v>175.71</v>
      </c>
      <c r="V114" s="237">
        <v>171.71</v>
      </c>
      <c r="W114" s="237">
        <v>167.7</v>
      </c>
      <c r="X114" s="51">
        <v>110</v>
      </c>
      <c r="Y114" s="761">
        <v>143.41</v>
      </c>
      <c r="Z114" s="761">
        <v>146.24</v>
      </c>
      <c r="AA114" s="730">
        <v>149.07</v>
      </c>
      <c r="AB114" s="742">
        <v>151.88999999999999</v>
      </c>
      <c r="AC114" s="747">
        <v>154.72</v>
      </c>
      <c r="AD114" s="739">
        <f>AD113+1.42</f>
        <v>157.5500000000001</v>
      </c>
      <c r="AE114" s="742">
        <v>160.37</v>
      </c>
      <c r="AF114" s="742">
        <v>163.19999999999999</v>
      </c>
      <c r="AG114" s="783">
        <v>166.03</v>
      </c>
      <c r="AH114" s="787">
        <v>168.86</v>
      </c>
      <c r="AI114" s="237">
        <v>143.69</v>
      </c>
      <c r="AJ114" s="237">
        <v>146.51</v>
      </c>
      <c r="AK114" s="237">
        <v>149.34</v>
      </c>
      <c r="AL114" s="237">
        <v>152.16999999999999</v>
      </c>
      <c r="AM114" s="237">
        <v>154.99</v>
      </c>
      <c r="AN114" s="237">
        <v>157.82</v>
      </c>
      <c r="AO114" s="237">
        <v>160.65</v>
      </c>
      <c r="AP114" s="237">
        <v>163.47999999999999</v>
      </c>
      <c r="AQ114" s="237">
        <v>166.3</v>
      </c>
      <c r="AR114" s="237">
        <v>169.13</v>
      </c>
      <c r="AS114" s="237">
        <v>118.24</v>
      </c>
      <c r="AT114" s="237">
        <v>115.42</v>
      </c>
      <c r="AU114" s="761">
        <v>140.59</v>
      </c>
      <c r="AV114" s="237">
        <v>109.76</v>
      </c>
      <c r="AW114" s="237">
        <v>106.94</v>
      </c>
    </row>
    <row r="115" spans="1:49" ht="22.5">
      <c r="A115" s="2">
        <v>189.41</v>
      </c>
      <c r="B115" s="59">
        <v>193.45</v>
      </c>
      <c r="C115" s="3">
        <v>197.49</v>
      </c>
      <c r="D115" s="3">
        <v>201.53</v>
      </c>
      <c r="E115" s="59">
        <v>205.57</v>
      </c>
      <c r="F115" s="59">
        <v>209.61</v>
      </c>
      <c r="G115" s="59">
        <v>213.65</v>
      </c>
      <c r="H115" s="974">
        <v>274.10000000000002</v>
      </c>
      <c r="I115" s="237">
        <v>221.73</v>
      </c>
      <c r="J115" s="237">
        <v>225.77</v>
      </c>
      <c r="K115" s="237">
        <v>229.81</v>
      </c>
      <c r="L115" s="237">
        <v>233.85</v>
      </c>
      <c r="M115" s="237">
        <v>237.89</v>
      </c>
      <c r="N115" s="237">
        <v>241.93</v>
      </c>
      <c r="O115" s="237">
        <v>245.97</v>
      </c>
      <c r="P115" s="237">
        <v>250.01</v>
      </c>
      <c r="Q115" s="237">
        <v>254.05</v>
      </c>
      <c r="R115" s="237">
        <v>258.08999999999997</v>
      </c>
      <c r="S115" s="237">
        <v>185.36</v>
      </c>
      <c r="T115" s="237">
        <v>181.32</v>
      </c>
      <c r="U115" s="237">
        <v>177.28</v>
      </c>
      <c r="V115" s="237">
        <v>173.24</v>
      </c>
      <c r="W115" s="237">
        <v>169.2</v>
      </c>
      <c r="X115" s="51">
        <v>111</v>
      </c>
      <c r="Y115" s="761">
        <v>144.71</v>
      </c>
      <c r="Z115" s="761">
        <v>147.56</v>
      </c>
      <c r="AA115" s="730">
        <v>150.41</v>
      </c>
      <c r="AB115" s="742">
        <v>153.27000000000001</v>
      </c>
      <c r="AC115" s="747">
        <v>156.12</v>
      </c>
      <c r="AD115" s="739">
        <f>AD114+1.42</f>
        <v>158.97000000000008</v>
      </c>
      <c r="AE115" s="742">
        <v>161.82</v>
      </c>
      <c r="AF115" s="742">
        <v>164.68</v>
      </c>
      <c r="AG115" s="783">
        <v>167.53</v>
      </c>
      <c r="AH115" s="787">
        <v>170.38</v>
      </c>
      <c r="AI115" s="237">
        <v>144.99</v>
      </c>
      <c r="AJ115" s="237">
        <v>147.84</v>
      </c>
      <c r="AK115" s="237">
        <v>150.69</v>
      </c>
      <c r="AL115" s="237">
        <v>153.55000000000001</v>
      </c>
      <c r="AM115" s="237">
        <v>156.4</v>
      </c>
      <c r="AN115" s="237">
        <v>159.25</v>
      </c>
      <c r="AO115" s="237">
        <v>162.1</v>
      </c>
      <c r="AP115" s="237">
        <v>164.96</v>
      </c>
      <c r="AQ115" s="237">
        <v>167.81</v>
      </c>
      <c r="AR115" s="237">
        <v>170.66</v>
      </c>
      <c r="AS115" s="237">
        <v>119.31</v>
      </c>
      <c r="AT115" s="237">
        <v>116.46</v>
      </c>
      <c r="AU115" s="761">
        <v>141.86000000000001</v>
      </c>
      <c r="AV115" s="237">
        <v>110.75</v>
      </c>
      <c r="AW115" s="237">
        <v>107.9</v>
      </c>
    </row>
    <row r="116" spans="1:49" ht="22.5">
      <c r="A116" s="2">
        <v>191.09</v>
      </c>
      <c r="B116" s="59">
        <v>195.17</v>
      </c>
      <c r="C116" s="3">
        <v>199.25</v>
      </c>
      <c r="D116" s="3">
        <v>203.32</v>
      </c>
      <c r="E116" s="59">
        <v>207.4</v>
      </c>
      <c r="F116" s="59">
        <v>211.48</v>
      </c>
      <c r="G116" s="59">
        <v>215.553</v>
      </c>
      <c r="H116" s="974">
        <v>276.54000000000002</v>
      </c>
      <c r="I116" s="237">
        <v>223.71</v>
      </c>
      <c r="J116" s="237">
        <v>227.78</v>
      </c>
      <c r="K116" s="237">
        <v>231.86</v>
      </c>
      <c r="L116" s="237">
        <v>235.94</v>
      </c>
      <c r="M116" s="237">
        <v>240.01</v>
      </c>
      <c r="N116" s="237">
        <v>244.09</v>
      </c>
      <c r="O116" s="237">
        <v>248.17</v>
      </c>
      <c r="P116" s="237">
        <v>252.24</v>
      </c>
      <c r="Q116" s="237">
        <v>256.32</v>
      </c>
      <c r="R116" s="237">
        <v>260.39999999999998</v>
      </c>
      <c r="S116" s="237">
        <v>187.02</v>
      </c>
      <c r="T116" s="237">
        <v>182.94</v>
      </c>
      <c r="U116" s="237">
        <v>178.86</v>
      </c>
      <c r="V116" s="237">
        <v>174.79</v>
      </c>
      <c r="W116" s="237">
        <v>170.71</v>
      </c>
      <c r="X116" s="51">
        <v>112</v>
      </c>
      <c r="Y116" s="761">
        <v>146.01</v>
      </c>
      <c r="Z116" s="761">
        <v>148.88</v>
      </c>
      <c r="AA116" s="730">
        <v>151.76</v>
      </c>
      <c r="AB116" s="742">
        <v>154.63999999999999</v>
      </c>
      <c r="AC116" s="747">
        <v>157.52000000000001</v>
      </c>
      <c r="AD116" s="739">
        <f>AD115+1.43</f>
        <v>160.40000000000009</v>
      </c>
      <c r="AE116" s="742">
        <v>163.28</v>
      </c>
      <c r="AF116" s="742">
        <v>166.15</v>
      </c>
      <c r="AG116" s="783">
        <v>169.03</v>
      </c>
      <c r="AH116" s="787">
        <v>171.91</v>
      </c>
      <c r="AI116" s="237">
        <v>146.29</v>
      </c>
      <c r="AJ116" s="237">
        <v>149.16999999999999</v>
      </c>
      <c r="AK116" s="237">
        <v>152.05000000000001</v>
      </c>
      <c r="AL116" s="237">
        <v>154.91999999999999</v>
      </c>
      <c r="AM116" s="237">
        <v>157.80000000000001</v>
      </c>
      <c r="AN116" s="237">
        <v>160.68</v>
      </c>
      <c r="AO116" s="237">
        <v>163.56</v>
      </c>
      <c r="AP116" s="237">
        <v>166.44</v>
      </c>
      <c r="AQ116" s="237">
        <v>169.32</v>
      </c>
      <c r="AR116" s="237">
        <v>172.2</v>
      </c>
      <c r="AS116" s="237">
        <v>120.38</v>
      </c>
      <c r="AT116" s="237">
        <v>117.51</v>
      </c>
      <c r="AU116" s="761">
        <v>143.13</v>
      </c>
      <c r="AV116" s="237">
        <v>111.75</v>
      </c>
      <c r="AW116" s="237">
        <v>108.87</v>
      </c>
    </row>
    <row r="117" spans="1:49" ht="22.5">
      <c r="A117" s="2">
        <v>192.78</v>
      </c>
      <c r="B117" s="59">
        <v>196.9</v>
      </c>
      <c r="C117" s="3">
        <v>201.01</v>
      </c>
      <c r="D117" s="3">
        <v>205.12</v>
      </c>
      <c r="E117" s="59">
        <v>209.24</v>
      </c>
      <c r="F117" s="59">
        <v>213.35</v>
      </c>
      <c r="G117" s="59">
        <v>217.46</v>
      </c>
      <c r="H117" s="974">
        <v>278.98</v>
      </c>
      <c r="I117" s="237">
        <v>225.69</v>
      </c>
      <c r="J117" s="237">
        <v>229.8</v>
      </c>
      <c r="K117" s="237">
        <v>233.92</v>
      </c>
      <c r="L117" s="237">
        <v>238.03</v>
      </c>
      <c r="M117" s="237">
        <v>242.14</v>
      </c>
      <c r="N117" s="237">
        <v>246.26</v>
      </c>
      <c r="O117" s="237">
        <v>250.37</v>
      </c>
      <c r="P117" s="237">
        <v>254.48</v>
      </c>
      <c r="Q117" s="237">
        <v>258.60000000000002</v>
      </c>
      <c r="R117" s="237">
        <v>262.70999999999998</v>
      </c>
      <c r="S117" s="237">
        <v>188.67</v>
      </c>
      <c r="T117" s="237">
        <v>184.56</v>
      </c>
      <c r="U117" s="237">
        <v>180.45</v>
      </c>
      <c r="V117" s="237">
        <v>176.33</v>
      </c>
      <c r="W117" s="237">
        <v>172.22</v>
      </c>
      <c r="X117" s="51">
        <v>113</v>
      </c>
      <c r="Y117" s="761">
        <v>147.31</v>
      </c>
      <c r="Z117" s="761">
        <v>150.21</v>
      </c>
      <c r="AA117" s="730">
        <v>153.11000000000001</v>
      </c>
      <c r="AB117" s="742">
        <v>156.02000000000001</v>
      </c>
      <c r="AC117" s="747">
        <v>158.91999999999999</v>
      </c>
      <c r="AD117" s="739">
        <f>AD116+1.43</f>
        <v>161.8300000000001</v>
      </c>
      <c r="AE117" s="742">
        <v>164.73</v>
      </c>
      <c r="AF117" s="742">
        <v>167.63</v>
      </c>
      <c r="AG117" s="783">
        <v>170.54</v>
      </c>
      <c r="AH117" s="787">
        <v>173.44</v>
      </c>
      <c r="AI117" s="237">
        <v>147.59</v>
      </c>
      <c r="AJ117" s="237">
        <v>150.5</v>
      </c>
      <c r="AK117" s="237">
        <v>153.4</v>
      </c>
      <c r="AL117" s="237">
        <v>156.31</v>
      </c>
      <c r="AM117" s="237">
        <v>159.21</v>
      </c>
      <c r="AN117" s="237">
        <v>162.11000000000001</v>
      </c>
      <c r="AO117" s="237">
        <v>165.02</v>
      </c>
      <c r="AP117" s="237">
        <v>167.92</v>
      </c>
      <c r="AQ117" s="237">
        <v>170.83</v>
      </c>
      <c r="AR117" s="237">
        <v>173.3</v>
      </c>
      <c r="AS117" s="237">
        <v>121.46</v>
      </c>
      <c r="AT117" s="237">
        <v>118.55</v>
      </c>
      <c r="AU117" s="761">
        <v>144.4</v>
      </c>
      <c r="AV117" s="237">
        <v>112.74</v>
      </c>
      <c r="AW117" s="237">
        <v>109.84</v>
      </c>
    </row>
    <row r="118" spans="1:49" ht="22.5">
      <c r="A118" s="2">
        <v>194.48</v>
      </c>
      <c r="B118" s="59">
        <v>198.63</v>
      </c>
      <c r="C118" s="3">
        <v>202.78</v>
      </c>
      <c r="D118" s="3">
        <v>206.93</v>
      </c>
      <c r="E118" s="59">
        <v>211.08</v>
      </c>
      <c r="F118" s="59">
        <v>215.23</v>
      </c>
      <c r="G118" s="59">
        <v>219.38</v>
      </c>
      <c r="H118" s="974">
        <v>281.43</v>
      </c>
      <c r="I118" s="237">
        <v>227.68</v>
      </c>
      <c r="J118" s="237">
        <v>231.83</v>
      </c>
      <c r="K118" s="237">
        <v>235.98</v>
      </c>
      <c r="L118" s="237">
        <v>240.13</v>
      </c>
      <c r="M118" s="237">
        <v>244.28</v>
      </c>
      <c r="N118" s="237">
        <v>248.43</v>
      </c>
      <c r="O118" s="237">
        <v>252.57</v>
      </c>
      <c r="P118" s="237">
        <v>256.72000000000003</v>
      </c>
      <c r="Q118" s="237">
        <v>260.87</v>
      </c>
      <c r="R118" s="237">
        <v>265.02</v>
      </c>
      <c r="S118" s="237">
        <v>190.33</v>
      </c>
      <c r="T118" s="237">
        <v>186.18</v>
      </c>
      <c r="U118" s="237">
        <v>182.03</v>
      </c>
      <c r="V118" s="237">
        <v>177.88</v>
      </c>
      <c r="W118" s="237">
        <v>173.73</v>
      </c>
      <c r="X118" s="51">
        <v>114</v>
      </c>
      <c r="Y118" s="761">
        <v>148.61000000000001</v>
      </c>
      <c r="Z118" s="761">
        <v>151.54</v>
      </c>
      <c r="AA118" s="730">
        <v>154.47</v>
      </c>
      <c r="AB118" s="742">
        <v>157.4</v>
      </c>
      <c r="AC118" s="747">
        <v>160.33000000000001</v>
      </c>
      <c r="AD118" s="739">
        <f>AD117+1.43</f>
        <v>163.2600000000001</v>
      </c>
      <c r="AE118" s="742">
        <v>166.19</v>
      </c>
      <c r="AF118" s="742">
        <v>169.12</v>
      </c>
      <c r="AG118" s="783">
        <v>172.05</v>
      </c>
      <c r="AH118" s="787">
        <v>174.98</v>
      </c>
      <c r="AI118" s="237">
        <v>148.9</v>
      </c>
      <c r="AJ118" s="237">
        <v>151.83000000000001</v>
      </c>
      <c r="AK118" s="237">
        <v>154.76</v>
      </c>
      <c r="AL118" s="237">
        <v>157.69</v>
      </c>
      <c r="AM118" s="237">
        <v>160.62</v>
      </c>
      <c r="AN118" s="237">
        <v>163.55000000000001</v>
      </c>
      <c r="AO118" s="237">
        <v>166.48</v>
      </c>
      <c r="AP118" s="237">
        <v>169.41</v>
      </c>
      <c r="AQ118" s="237">
        <v>172.34</v>
      </c>
      <c r="AR118" s="237">
        <v>175.27</v>
      </c>
      <c r="AS118" s="237">
        <v>122.53</v>
      </c>
      <c r="AT118" s="237">
        <v>119.6</v>
      </c>
      <c r="AU118" s="761">
        <v>145.68</v>
      </c>
      <c r="AV118" s="237">
        <v>113.74</v>
      </c>
      <c r="AW118" s="237">
        <v>110.81</v>
      </c>
    </row>
    <row r="119" spans="1:49" ht="22.5">
      <c r="A119" s="2">
        <v>196.18</v>
      </c>
      <c r="B119" s="59">
        <v>200.37</v>
      </c>
      <c r="C119" s="3">
        <v>204.55</v>
      </c>
      <c r="D119" s="3">
        <v>208.74</v>
      </c>
      <c r="E119" s="59">
        <v>212.92</v>
      </c>
      <c r="F119" s="59">
        <v>217.11</v>
      </c>
      <c r="G119" s="59">
        <v>221.3</v>
      </c>
      <c r="H119" s="974">
        <v>283.89</v>
      </c>
      <c r="I119" s="237">
        <v>229.67</v>
      </c>
      <c r="J119" s="237">
        <v>233.85</v>
      </c>
      <c r="K119" s="237">
        <v>238.04</v>
      </c>
      <c r="L119" s="237">
        <v>242.23</v>
      </c>
      <c r="M119" s="237">
        <v>246.41</v>
      </c>
      <c r="N119" s="237">
        <v>250.6</v>
      </c>
      <c r="O119" s="237">
        <v>254.78</v>
      </c>
      <c r="P119" s="237">
        <v>258.97000000000003</v>
      </c>
      <c r="Q119" s="237">
        <v>263.16000000000003</v>
      </c>
      <c r="R119" s="237">
        <v>267.33999999999997</v>
      </c>
      <c r="S119" s="237">
        <v>191.99</v>
      </c>
      <c r="T119" s="237">
        <v>187.81</v>
      </c>
      <c r="U119" s="237">
        <v>183.62</v>
      </c>
      <c r="V119" s="237">
        <v>179.44</v>
      </c>
      <c r="W119" s="237">
        <v>175.25</v>
      </c>
      <c r="X119" s="51">
        <v>115</v>
      </c>
      <c r="Y119" s="761">
        <v>149.91</v>
      </c>
      <c r="Z119" s="761">
        <v>152.87</v>
      </c>
      <c r="AA119" s="730">
        <v>155.82</v>
      </c>
      <c r="AB119" s="742">
        <v>158.78</v>
      </c>
      <c r="AC119" s="747">
        <v>161.72999999999999</v>
      </c>
      <c r="AD119" s="739">
        <f>AD118+1.43</f>
        <v>164.69000000000011</v>
      </c>
      <c r="AE119" s="742">
        <v>167.64</v>
      </c>
      <c r="AF119" s="742">
        <v>170.6</v>
      </c>
      <c r="AG119" s="783">
        <v>173.55</v>
      </c>
      <c r="AH119" s="787">
        <v>176.51</v>
      </c>
      <c r="AI119" s="237">
        <v>150.19999999999999</v>
      </c>
      <c r="AJ119" s="237">
        <v>153.16</v>
      </c>
      <c r="AK119" s="237">
        <v>156.12</v>
      </c>
      <c r="AL119" s="237">
        <v>159.07</v>
      </c>
      <c r="AM119" s="237">
        <v>162.03</v>
      </c>
      <c r="AN119" s="237">
        <v>164.98</v>
      </c>
      <c r="AO119" s="237">
        <v>167.4</v>
      </c>
      <c r="AP119" s="237">
        <v>170.89</v>
      </c>
      <c r="AQ119" s="237">
        <v>173.85</v>
      </c>
      <c r="AR119" s="237">
        <v>176.8</v>
      </c>
      <c r="AS119" s="237">
        <v>123.6</v>
      </c>
      <c r="AT119" s="237">
        <v>120.65</v>
      </c>
      <c r="AU119" s="761">
        <v>146.96</v>
      </c>
      <c r="AV119" s="237">
        <v>114.74</v>
      </c>
      <c r="AW119" s="237">
        <v>111.78</v>
      </c>
    </row>
    <row r="120" spans="1:49" ht="22.5">
      <c r="A120" s="2">
        <v>197.89</v>
      </c>
      <c r="B120" s="59">
        <v>202.11</v>
      </c>
      <c r="C120" s="3">
        <v>206.33</v>
      </c>
      <c r="D120" s="3">
        <v>210.55</v>
      </c>
      <c r="E120" s="59">
        <v>214.78</v>
      </c>
      <c r="F120" s="59">
        <v>219</v>
      </c>
      <c r="G120" s="59">
        <v>223.22</v>
      </c>
      <c r="H120" s="974">
        <v>286.36</v>
      </c>
      <c r="I120" s="237">
        <v>231.66</v>
      </c>
      <c r="J120" s="237">
        <v>235.89</v>
      </c>
      <c r="K120" s="237">
        <v>240.11</v>
      </c>
      <c r="L120" s="237">
        <v>244.33</v>
      </c>
      <c r="M120" s="237">
        <v>248.55</v>
      </c>
      <c r="N120" s="237">
        <v>252.78</v>
      </c>
      <c r="O120" s="237">
        <v>257</v>
      </c>
      <c r="P120" s="237">
        <v>261.22000000000003</v>
      </c>
      <c r="Q120" s="237">
        <v>265.44</v>
      </c>
      <c r="R120" s="237">
        <v>269.67</v>
      </c>
      <c r="S120" s="237">
        <v>193.66</v>
      </c>
      <c r="T120" s="237">
        <v>189.44</v>
      </c>
      <c r="U120" s="237">
        <v>185.22</v>
      </c>
      <c r="V120" s="237">
        <v>181</v>
      </c>
      <c r="W120" s="237">
        <v>176.77</v>
      </c>
      <c r="X120" s="51">
        <v>116</v>
      </c>
      <c r="Y120" s="761">
        <v>151.22</v>
      </c>
      <c r="Z120" s="761">
        <v>154.19999999999999</v>
      </c>
      <c r="AA120" s="730">
        <v>157.18</v>
      </c>
      <c r="AB120" s="742">
        <v>160.16</v>
      </c>
      <c r="AC120" s="747">
        <v>163.13999999999999</v>
      </c>
      <c r="AD120" s="739">
        <f>AD119+1.43</f>
        <v>166.12000000000012</v>
      </c>
      <c r="AE120" s="742">
        <v>169.1</v>
      </c>
      <c r="AF120" s="742">
        <v>172.08</v>
      </c>
      <c r="AG120" s="783">
        <v>175.07</v>
      </c>
      <c r="AH120" s="787">
        <v>178.05</v>
      </c>
      <c r="AI120" s="237">
        <v>151.51</v>
      </c>
      <c r="AJ120" s="237">
        <v>154.49</v>
      </c>
      <c r="AK120" s="237">
        <v>157.47</v>
      </c>
      <c r="AL120" s="237">
        <v>160.46</v>
      </c>
      <c r="AM120" s="237">
        <v>163.44</v>
      </c>
      <c r="AN120" s="237">
        <v>166.42</v>
      </c>
      <c r="AO120" s="237">
        <v>169.4</v>
      </c>
      <c r="AP120" s="237">
        <v>172.38</v>
      </c>
      <c r="AQ120" s="237">
        <v>175.36</v>
      </c>
      <c r="AR120" s="237">
        <v>178.34</v>
      </c>
      <c r="AS120" s="237">
        <v>134.68</v>
      </c>
      <c r="AT120" s="237">
        <v>121.7</v>
      </c>
      <c r="AU120" s="761">
        <v>148.24</v>
      </c>
      <c r="AV120" s="237">
        <v>115.74</v>
      </c>
      <c r="AW120" s="237">
        <v>112.76</v>
      </c>
    </row>
    <row r="121" spans="1:49" ht="22.5">
      <c r="A121" s="2">
        <v>199.6</v>
      </c>
      <c r="B121" s="59">
        <v>203.85</v>
      </c>
      <c r="C121" s="3">
        <v>208.11</v>
      </c>
      <c r="D121" s="3">
        <v>212.37</v>
      </c>
      <c r="E121" s="59">
        <v>216.63</v>
      </c>
      <c r="F121" s="59">
        <v>220.89</v>
      </c>
      <c r="G121" s="59">
        <v>225.15</v>
      </c>
      <c r="H121" s="974">
        <v>288.83</v>
      </c>
      <c r="I121" s="237">
        <v>233.67</v>
      </c>
      <c r="J121" s="237">
        <v>237.92</v>
      </c>
      <c r="K121" s="237">
        <v>242.18</v>
      </c>
      <c r="L121" s="237">
        <v>246.44</v>
      </c>
      <c r="M121" s="237">
        <v>250.7</v>
      </c>
      <c r="N121" s="237">
        <v>254.96</v>
      </c>
      <c r="O121" s="237">
        <v>259.22000000000003</v>
      </c>
      <c r="P121" s="237">
        <v>263.48</v>
      </c>
      <c r="Q121" s="237">
        <v>267.74</v>
      </c>
      <c r="R121" s="237">
        <v>271.99</v>
      </c>
      <c r="S121" s="237">
        <v>195.34</v>
      </c>
      <c r="T121" s="237">
        <v>191.08</v>
      </c>
      <c r="U121" s="237">
        <v>186.82</v>
      </c>
      <c r="V121" s="237">
        <v>182.56</v>
      </c>
      <c r="W121" s="237">
        <v>178.3</v>
      </c>
      <c r="X121" s="51">
        <v>117</v>
      </c>
      <c r="Y121" s="761">
        <v>152.52000000000001</v>
      </c>
      <c r="Z121" s="761">
        <v>155.53</v>
      </c>
      <c r="AA121" s="730">
        <v>158.54</v>
      </c>
      <c r="AB121" s="742">
        <v>161.54</v>
      </c>
      <c r="AC121" s="747">
        <v>164.55</v>
      </c>
      <c r="AD121" s="739">
        <f>AD120+1.44</f>
        <v>167.56000000000012</v>
      </c>
      <c r="AE121" s="742">
        <v>170.57</v>
      </c>
      <c r="AF121" s="742">
        <v>173.57</v>
      </c>
      <c r="AG121" s="783">
        <v>176.85</v>
      </c>
      <c r="AH121" s="787">
        <v>179.59</v>
      </c>
      <c r="AI121" s="237">
        <v>152.82</v>
      </c>
      <c r="AJ121" s="237">
        <v>155.83000000000001</v>
      </c>
      <c r="AK121" s="237">
        <v>158.83000000000001</v>
      </c>
      <c r="AL121" s="237">
        <v>161.84</v>
      </c>
      <c r="AM121" s="237">
        <v>164.85</v>
      </c>
      <c r="AN121" s="237">
        <v>167.85</v>
      </c>
      <c r="AO121" s="237">
        <v>170.86</v>
      </c>
      <c r="AP121" s="237">
        <v>173.87</v>
      </c>
      <c r="AQ121" s="237">
        <v>176.88</v>
      </c>
      <c r="AR121" s="237">
        <v>179.88</v>
      </c>
      <c r="AS121" s="237">
        <v>125.76</v>
      </c>
      <c r="AT121" s="237">
        <v>122.75</v>
      </c>
      <c r="AU121" s="761">
        <v>149.52000000000001</v>
      </c>
      <c r="AV121" s="237">
        <v>116.74</v>
      </c>
      <c r="AW121" s="237">
        <v>113.73</v>
      </c>
    </row>
    <row r="122" spans="1:49" ht="22.5">
      <c r="A122" s="2">
        <v>201.31</v>
      </c>
      <c r="B122" s="59">
        <v>205.6</v>
      </c>
      <c r="C122" s="3">
        <v>209.9</v>
      </c>
      <c r="D122" s="3">
        <v>214.19</v>
      </c>
      <c r="E122" s="59">
        <v>218.49</v>
      </c>
      <c r="F122" s="59">
        <v>222.79</v>
      </c>
      <c r="G122" s="59">
        <v>227.08</v>
      </c>
      <c r="H122" s="974">
        <v>291.31</v>
      </c>
      <c r="I122" s="237">
        <v>235.67</v>
      </c>
      <c r="J122" s="237">
        <v>239.97</v>
      </c>
      <c r="K122" s="237">
        <v>244.26</v>
      </c>
      <c r="L122" s="237">
        <v>248.56</v>
      </c>
      <c r="M122" s="237">
        <v>252.85</v>
      </c>
      <c r="N122" s="237">
        <v>257.14999999999998</v>
      </c>
      <c r="O122" s="237">
        <v>261.44</v>
      </c>
      <c r="P122" s="237">
        <v>265.74</v>
      </c>
      <c r="Q122" s="237">
        <v>270.02999999999997</v>
      </c>
      <c r="R122" s="237">
        <v>274.33</v>
      </c>
      <c r="S122" s="237">
        <v>197.01</v>
      </c>
      <c r="T122" s="237">
        <v>192.72</v>
      </c>
      <c r="U122" s="237">
        <v>188.42</v>
      </c>
      <c r="V122" s="237">
        <v>184.13</v>
      </c>
      <c r="W122" s="237">
        <v>179.83</v>
      </c>
      <c r="X122" s="51">
        <v>118</v>
      </c>
      <c r="Y122" s="761">
        <v>153.83000000000001</v>
      </c>
      <c r="Z122" s="761">
        <v>156.87</v>
      </c>
      <c r="AA122" s="730">
        <v>159.9</v>
      </c>
      <c r="AB122" s="742">
        <v>162.93</v>
      </c>
      <c r="AC122" s="747">
        <v>165.96</v>
      </c>
      <c r="AD122" s="739">
        <f>AD121+1.44</f>
        <v>169.00000000000011</v>
      </c>
      <c r="AE122" s="742">
        <v>172.01</v>
      </c>
      <c r="AF122" s="742">
        <v>175.04</v>
      </c>
      <c r="AG122" s="783">
        <v>178.09</v>
      </c>
      <c r="AH122" s="787">
        <v>181.1</v>
      </c>
      <c r="AI122" s="237">
        <v>154.13</v>
      </c>
      <c r="AJ122" s="237">
        <v>157.16</v>
      </c>
      <c r="AK122" s="237">
        <v>160.19999999999999</v>
      </c>
      <c r="AL122" s="237">
        <v>163.22999999999999</v>
      </c>
      <c r="AM122" s="237">
        <v>166.26</v>
      </c>
      <c r="AN122" s="237">
        <v>169.29</v>
      </c>
      <c r="AO122" s="237">
        <v>172.33</v>
      </c>
      <c r="AP122" s="237">
        <v>175.36</v>
      </c>
      <c r="AQ122" s="237">
        <v>178.39</v>
      </c>
      <c r="AR122" s="237">
        <v>181.42</v>
      </c>
      <c r="AS122" s="237">
        <v>126.84</v>
      </c>
      <c r="AT122" s="237">
        <v>123.8</v>
      </c>
      <c r="AU122" s="761">
        <v>150.80000000000001</v>
      </c>
      <c r="AV122" s="237">
        <v>117.74</v>
      </c>
      <c r="AW122" s="237">
        <v>114.71</v>
      </c>
    </row>
    <row r="123" spans="1:49" ht="22.5">
      <c r="A123" s="2">
        <v>203.03</v>
      </c>
      <c r="B123" s="59">
        <v>207.36</v>
      </c>
      <c r="C123" s="3">
        <v>211.69</v>
      </c>
      <c r="D123" s="3">
        <v>216.02</v>
      </c>
      <c r="E123" s="59">
        <v>220.35</v>
      </c>
      <c r="F123" s="59">
        <v>224.69</v>
      </c>
      <c r="G123" s="59">
        <v>229.02</v>
      </c>
      <c r="H123" s="974">
        <v>293.81</v>
      </c>
      <c r="I123" s="237">
        <v>237.68</v>
      </c>
      <c r="J123" s="237">
        <v>242.01</v>
      </c>
      <c r="K123" s="237">
        <v>246.34</v>
      </c>
      <c r="L123" s="237">
        <v>250.68</v>
      </c>
      <c r="M123" s="237">
        <v>255.01</v>
      </c>
      <c r="N123" s="237">
        <v>259.33999999999997</v>
      </c>
      <c r="O123" s="237">
        <v>263.67</v>
      </c>
      <c r="P123" s="237">
        <v>268</v>
      </c>
      <c r="Q123" s="237">
        <v>272.33</v>
      </c>
      <c r="R123" s="237">
        <v>276.67</v>
      </c>
      <c r="S123" s="237">
        <v>198.7</v>
      </c>
      <c r="T123" s="237">
        <v>194.36</v>
      </c>
      <c r="U123" s="237">
        <v>190.03</v>
      </c>
      <c r="V123" s="237">
        <v>185.7</v>
      </c>
      <c r="W123" s="237">
        <v>181.37</v>
      </c>
      <c r="X123" s="51">
        <v>119</v>
      </c>
      <c r="Y123" s="761">
        <v>155.15</v>
      </c>
      <c r="Z123" s="761">
        <v>158.21</v>
      </c>
      <c r="AA123" s="730">
        <v>161.26</v>
      </c>
      <c r="AB123" s="742">
        <v>164.32</v>
      </c>
      <c r="AC123" s="747">
        <v>167.38</v>
      </c>
      <c r="AD123" s="739">
        <f>AD122+1.44</f>
        <v>170.44000000000011</v>
      </c>
      <c r="AE123" s="742">
        <v>173.5</v>
      </c>
      <c r="AF123" s="742">
        <v>176.52</v>
      </c>
      <c r="AG123" s="783">
        <v>179.61</v>
      </c>
      <c r="AH123" s="787">
        <v>182.51</v>
      </c>
      <c r="AI123" s="237">
        <v>155.44</v>
      </c>
      <c r="AJ123" s="237">
        <v>158.5</v>
      </c>
      <c r="AK123" s="237">
        <v>161.56</v>
      </c>
      <c r="AL123" s="237">
        <v>164.62</v>
      </c>
      <c r="AM123" s="237">
        <v>167.68</v>
      </c>
      <c r="AN123" s="237">
        <v>170.73</v>
      </c>
      <c r="AO123" s="237">
        <v>173.79</v>
      </c>
      <c r="AP123" s="237">
        <v>176.85</v>
      </c>
      <c r="AQ123" s="237">
        <v>179.91</v>
      </c>
      <c r="AR123" s="237">
        <v>182.97</v>
      </c>
      <c r="AS123" s="237">
        <v>127.92</v>
      </c>
      <c r="AT123" s="237">
        <v>124.86</v>
      </c>
      <c r="AU123" s="761">
        <v>152.09</v>
      </c>
      <c r="AV123" s="237">
        <v>118.74</v>
      </c>
      <c r="AW123" s="237">
        <v>115.68</v>
      </c>
    </row>
    <row r="124" spans="1:49" ht="22.5">
      <c r="A124" s="2">
        <v>204.75</v>
      </c>
      <c r="B124" s="59">
        <v>209.12</v>
      </c>
      <c r="C124" s="3">
        <v>213.49</v>
      </c>
      <c r="D124" s="3">
        <v>217.86</v>
      </c>
      <c r="E124" s="59">
        <v>222.22</v>
      </c>
      <c r="F124" s="59">
        <v>226.59</v>
      </c>
      <c r="G124" s="59">
        <v>230.96</v>
      </c>
      <c r="H124" s="974">
        <v>296.3</v>
      </c>
      <c r="I124" s="237">
        <v>239.7</v>
      </c>
      <c r="J124" s="237">
        <v>244.06</v>
      </c>
      <c r="K124" s="237">
        <v>248.43</v>
      </c>
      <c r="L124" s="237">
        <v>252.8</v>
      </c>
      <c r="M124" s="237">
        <v>257.17</v>
      </c>
      <c r="N124" s="237">
        <v>261.54000000000002</v>
      </c>
      <c r="O124" s="237">
        <v>265.89999999999998</v>
      </c>
      <c r="P124" s="237">
        <v>270.27</v>
      </c>
      <c r="Q124" s="237">
        <v>274.64</v>
      </c>
      <c r="R124" s="237">
        <v>279.01</v>
      </c>
      <c r="S124" s="237">
        <v>200.38</v>
      </c>
      <c r="T124" s="237">
        <v>196.02</v>
      </c>
      <c r="U124" s="237">
        <v>191.65</v>
      </c>
      <c r="V124" s="237">
        <v>187.28</v>
      </c>
      <c r="W124" s="237">
        <v>182.91</v>
      </c>
      <c r="X124" s="51">
        <v>120</v>
      </c>
      <c r="Y124" s="761">
        <v>156.4</v>
      </c>
      <c r="Z124" s="761">
        <v>159.47999999999999</v>
      </c>
      <c r="AA124" s="730">
        <v>162.56</v>
      </c>
      <c r="AB124" s="742">
        <v>165.65</v>
      </c>
      <c r="AC124" s="747">
        <v>168.73</v>
      </c>
      <c r="AD124" s="739">
        <f>AD123+1.38</f>
        <v>171.82000000000011</v>
      </c>
      <c r="AE124" s="742">
        <v>174.9</v>
      </c>
      <c r="AF124" s="742">
        <v>177.98</v>
      </c>
      <c r="AG124" s="783">
        <v>181.07</v>
      </c>
      <c r="AH124" s="787">
        <v>184.15</v>
      </c>
      <c r="AI124" s="237">
        <v>156.71</v>
      </c>
      <c r="AJ124" s="237">
        <v>159.80000000000001</v>
      </c>
      <c r="AK124" s="237">
        <v>162.88</v>
      </c>
      <c r="AL124" s="237">
        <v>165.97</v>
      </c>
      <c r="AM124" s="237">
        <v>169.05</v>
      </c>
      <c r="AN124" s="237">
        <v>172.13</v>
      </c>
      <c r="AO124" s="237">
        <v>175.22</v>
      </c>
      <c r="AP124" s="237">
        <v>178.3</v>
      </c>
      <c r="AQ124" s="237">
        <v>181.39</v>
      </c>
      <c r="AR124" s="237">
        <v>184.47</v>
      </c>
      <c r="AS124" s="237">
        <v>128.96</v>
      </c>
      <c r="AT124" s="237">
        <v>125.87</v>
      </c>
      <c r="AU124" s="761">
        <v>153.31</v>
      </c>
      <c r="AV124" s="237">
        <v>119.71</v>
      </c>
      <c r="AW124" s="237">
        <v>116.62</v>
      </c>
    </row>
    <row r="125" spans="1:49" ht="22.5">
      <c r="A125" s="2">
        <v>206.34</v>
      </c>
      <c r="B125" s="59">
        <v>210.74</v>
      </c>
      <c r="C125" s="3">
        <v>215.15</v>
      </c>
      <c r="D125" s="3">
        <v>219.55</v>
      </c>
      <c r="E125" s="59">
        <v>223.95</v>
      </c>
      <c r="F125" s="59">
        <v>228.36</v>
      </c>
      <c r="G125" s="59">
        <v>232.76</v>
      </c>
      <c r="H125" s="974">
        <v>298.57</v>
      </c>
      <c r="I125" s="237">
        <v>241.57</v>
      </c>
      <c r="J125" s="237">
        <v>245.98</v>
      </c>
      <c r="K125" s="237">
        <v>250.38</v>
      </c>
      <c r="L125" s="237">
        <v>254.79</v>
      </c>
      <c r="M125" s="237">
        <v>259.19</v>
      </c>
      <c r="N125" s="237">
        <v>263.58999999999997</v>
      </c>
      <c r="O125" s="237">
        <v>268</v>
      </c>
      <c r="P125" s="237">
        <v>272.39999999999998</v>
      </c>
      <c r="Q125" s="237">
        <v>276.81</v>
      </c>
      <c r="R125" s="237">
        <v>281.20999999999998</v>
      </c>
      <c r="S125" s="237">
        <v>201.93</v>
      </c>
      <c r="T125" s="237">
        <v>197.53</v>
      </c>
      <c r="U125" s="237">
        <v>193.12</v>
      </c>
      <c r="V125" s="237">
        <v>188.72</v>
      </c>
      <c r="W125" s="237">
        <v>184.31</v>
      </c>
      <c r="X125" s="51">
        <v>121</v>
      </c>
      <c r="Y125" s="761">
        <v>157.71</v>
      </c>
      <c r="Z125" s="761">
        <v>160.82</v>
      </c>
      <c r="AA125" s="730">
        <v>163.93</v>
      </c>
      <c r="AB125" s="742">
        <v>167.04</v>
      </c>
      <c r="AC125" s="747">
        <v>170.15</v>
      </c>
      <c r="AD125" s="739">
        <f>AD124+1.44</f>
        <v>173.2600000000001</v>
      </c>
      <c r="AE125" s="742">
        <v>176.37</v>
      </c>
      <c r="AF125" s="742">
        <v>179.48</v>
      </c>
      <c r="AG125" s="783">
        <v>182.59</v>
      </c>
      <c r="AH125" s="787">
        <v>185.7</v>
      </c>
      <c r="AI125" s="237">
        <v>158.03</v>
      </c>
      <c r="AJ125" s="237">
        <v>161.13999999999999</v>
      </c>
      <c r="AK125" s="237">
        <v>164.25</v>
      </c>
      <c r="AL125" s="237">
        <v>167.36</v>
      </c>
      <c r="AM125" s="237">
        <v>170.47</v>
      </c>
      <c r="AN125" s="237">
        <v>173.58</v>
      </c>
      <c r="AO125" s="237">
        <v>176.69</v>
      </c>
      <c r="AP125" s="237">
        <v>179.8</v>
      </c>
      <c r="AQ125" s="237">
        <v>182.91</v>
      </c>
      <c r="AR125" s="237">
        <v>186.02</v>
      </c>
      <c r="AS125" s="237">
        <v>130.04</v>
      </c>
      <c r="AT125" s="237">
        <v>126.93</v>
      </c>
      <c r="AU125" s="761">
        <v>154.6</v>
      </c>
      <c r="AV125" s="237">
        <v>120.71</v>
      </c>
      <c r="AW125" s="237">
        <v>117.6</v>
      </c>
    </row>
    <row r="126" spans="1:49" ht="22.5">
      <c r="A126" s="2">
        <v>208.07</v>
      </c>
      <c r="B126" s="59">
        <v>212.51</v>
      </c>
      <c r="C126" s="3">
        <v>216.95</v>
      </c>
      <c r="D126" s="3">
        <v>221.39</v>
      </c>
      <c r="E126" s="59">
        <v>225.83</v>
      </c>
      <c r="F126" s="59">
        <v>230.27</v>
      </c>
      <c r="G126" s="59">
        <v>234.71</v>
      </c>
      <c r="H126" s="974">
        <v>301.08</v>
      </c>
      <c r="I126" s="237">
        <v>243.59</v>
      </c>
      <c r="J126" s="237">
        <v>248.04</v>
      </c>
      <c r="K126" s="237">
        <v>252.48</v>
      </c>
      <c r="L126" s="237">
        <v>256.92</v>
      </c>
      <c r="M126" s="237">
        <v>261.36</v>
      </c>
      <c r="N126" s="237">
        <v>265.8</v>
      </c>
      <c r="O126" s="237">
        <v>270.24</v>
      </c>
      <c r="P126" s="237">
        <v>274.68</v>
      </c>
      <c r="Q126" s="237">
        <v>279.12</v>
      </c>
      <c r="R126" s="237">
        <v>283.56</v>
      </c>
      <c r="S126" s="237">
        <v>203.63</v>
      </c>
      <c r="T126" s="237">
        <v>199.19</v>
      </c>
      <c r="U126" s="237">
        <v>194.75</v>
      </c>
      <c r="V126" s="237">
        <v>190.31</v>
      </c>
      <c r="W126" s="237">
        <v>185.86</v>
      </c>
      <c r="X126" s="51">
        <v>122</v>
      </c>
      <c r="Y126" s="761">
        <v>159.03</v>
      </c>
      <c r="Z126" s="761">
        <v>162.16999999999999</v>
      </c>
      <c r="AA126" s="730">
        <v>165.3</v>
      </c>
      <c r="AB126" s="742">
        <v>168.44</v>
      </c>
      <c r="AC126" s="747">
        <v>171.57</v>
      </c>
      <c r="AD126" s="739">
        <f>AD125+1.45</f>
        <v>174.71000000000009</v>
      </c>
      <c r="AE126" s="742">
        <v>177.84</v>
      </c>
      <c r="AF126" s="742">
        <v>180.98</v>
      </c>
      <c r="AG126" s="783">
        <v>184.11</v>
      </c>
      <c r="AH126" s="787">
        <v>187.25</v>
      </c>
      <c r="AI126" s="237">
        <v>159.34</v>
      </c>
      <c r="AJ126" s="237">
        <v>162.47999999999999</v>
      </c>
      <c r="AK126" s="237">
        <v>165.61</v>
      </c>
      <c r="AL126" s="237">
        <v>168.75</v>
      </c>
      <c r="AM126" s="237">
        <v>171.89</v>
      </c>
      <c r="AN126" s="237">
        <v>175.02</v>
      </c>
      <c r="AO126" s="237">
        <v>178.16</v>
      </c>
      <c r="AP126" s="237">
        <v>181.29</v>
      </c>
      <c r="AQ126" s="237">
        <v>184.43</v>
      </c>
      <c r="AR126" s="237">
        <v>187.56</v>
      </c>
      <c r="AS126" s="237">
        <v>131.13</v>
      </c>
      <c r="AT126" s="237">
        <v>127.99</v>
      </c>
      <c r="AU126" s="761">
        <v>155.88999999999999</v>
      </c>
      <c r="AV126" s="237">
        <v>121.72</v>
      </c>
      <c r="AW126" s="237">
        <v>118.58</v>
      </c>
    </row>
    <row r="127" spans="1:49" ht="22.5">
      <c r="A127" s="2">
        <v>209.81</v>
      </c>
      <c r="B127" s="59">
        <v>214.28</v>
      </c>
      <c r="C127" s="3">
        <v>218.76</v>
      </c>
      <c r="D127" s="3">
        <v>223.24</v>
      </c>
      <c r="E127" s="59">
        <v>227.71</v>
      </c>
      <c r="F127" s="59">
        <v>232.19</v>
      </c>
      <c r="G127" s="59">
        <v>236.67</v>
      </c>
      <c r="H127" s="974">
        <v>303.60000000000002</v>
      </c>
      <c r="I127" s="237">
        <v>245.62</v>
      </c>
      <c r="J127" s="237">
        <v>250.1</v>
      </c>
      <c r="K127" s="237">
        <v>254.58</v>
      </c>
      <c r="L127" s="237">
        <v>259.05</v>
      </c>
      <c r="M127" s="237">
        <v>263.52999999999997</v>
      </c>
      <c r="N127" s="237">
        <v>268.01</v>
      </c>
      <c r="O127" s="237">
        <v>272.49</v>
      </c>
      <c r="P127" s="237">
        <v>276.95999999999998</v>
      </c>
      <c r="Q127" s="237">
        <v>281.44</v>
      </c>
      <c r="R127" s="237">
        <v>285.92</v>
      </c>
      <c r="S127" s="237">
        <v>205.33</v>
      </c>
      <c r="T127" s="237">
        <v>200.85</v>
      </c>
      <c r="U127" s="237">
        <v>196.37</v>
      </c>
      <c r="V127" s="237">
        <v>191.9</v>
      </c>
      <c r="W127" s="237">
        <v>187.42</v>
      </c>
      <c r="X127" s="51">
        <v>123</v>
      </c>
      <c r="Y127" s="761">
        <v>160.28</v>
      </c>
      <c r="Z127" s="761">
        <v>163.44</v>
      </c>
      <c r="AA127" s="730">
        <v>166.6</v>
      </c>
      <c r="AB127" s="742">
        <v>169.77</v>
      </c>
      <c r="AC127" s="747">
        <v>172.93</v>
      </c>
      <c r="AD127" s="739">
        <f>AD126+1.38</f>
        <v>176.09000000000009</v>
      </c>
      <c r="AE127" s="742">
        <v>179.25</v>
      </c>
      <c r="AF127" s="742">
        <v>182.41</v>
      </c>
      <c r="AG127" s="783">
        <v>185.57</v>
      </c>
      <c r="AH127" s="787">
        <v>188.73</v>
      </c>
      <c r="AI127" s="237">
        <v>160.62</v>
      </c>
      <c r="AJ127" s="237">
        <v>163.78</v>
      </c>
      <c r="AK127" s="237">
        <v>166.94</v>
      </c>
      <c r="AL127" s="237">
        <v>170.1</v>
      </c>
      <c r="AM127" s="237">
        <v>173.26</v>
      </c>
      <c r="AN127" s="237">
        <v>176.42</v>
      </c>
      <c r="AO127" s="237">
        <v>179.58</v>
      </c>
      <c r="AP127" s="237">
        <v>182.75</v>
      </c>
      <c r="AQ127" s="237">
        <v>185.91</v>
      </c>
      <c r="AR127" s="237">
        <v>189.07</v>
      </c>
      <c r="AS127" s="237">
        <v>132.16999999999999</v>
      </c>
      <c r="AT127" s="237">
        <v>129.01</v>
      </c>
      <c r="AU127" s="761">
        <v>157.12</v>
      </c>
      <c r="AV127" s="237">
        <v>122.68</v>
      </c>
      <c r="AW127" s="237">
        <v>119.52</v>
      </c>
    </row>
    <row r="128" spans="1:49" ht="22.5">
      <c r="A128" s="2">
        <v>211.55</v>
      </c>
      <c r="B128" s="59">
        <v>216.06</v>
      </c>
      <c r="C128" s="3">
        <v>220.57</v>
      </c>
      <c r="D128" s="3">
        <v>225.09</v>
      </c>
      <c r="E128" s="59">
        <v>229.6</v>
      </c>
      <c r="F128" s="59">
        <v>234.12</v>
      </c>
      <c r="G128" s="59">
        <v>238.63</v>
      </c>
      <c r="H128" s="974">
        <v>306.13</v>
      </c>
      <c r="I128" s="237">
        <v>247.66</v>
      </c>
      <c r="J128" s="237">
        <v>252.17</v>
      </c>
      <c r="K128" s="237">
        <v>256.68</v>
      </c>
      <c r="L128" s="237">
        <v>261.2</v>
      </c>
      <c r="M128" s="237">
        <v>265.70999999999998</v>
      </c>
      <c r="N128" s="237">
        <v>270.22000000000003</v>
      </c>
      <c r="O128" s="237">
        <v>274.74</v>
      </c>
      <c r="P128" s="237">
        <v>279.25</v>
      </c>
      <c r="Q128" s="237">
        <v>283.77</v>
      </c>
      <c r="R128" s="237">
        <v>288.27999999999997</v>
      </c>
      <c r="S128" s="237">
        <v>207.03</v>
      </c>
      <c r="T128" s="237">
        <v>202.52</v>
      </c>
      <c r="U128" s="237">
        <v>198.01</v>
      </c>
      <c r="V128" s="237">
        <v>193.49</v>
      </c>
      <c r="W128" s="237">
        <v>188.98</v>
      </c>
      <c r="X128" s="51">
        <v>124</v>
      </c>
      <c r="Y128" s="761">
        <v>161.6</v>
      </c>
      <c r="Z128" s="761">
        <v>164.79</v>
      </c>
      <c r="AA128" s="730">
        <v>167.98</v>
      </c>
      <c r="AB128" s="742">
        <v>171.77</v>
      </c>
      <c r="AC128" s="747">
        <v>174.35</v>
      </c>
      <c r="AD128" s="739">
        <f>AD127+1.45</f>
        <v>177.54000000000008</v>
      </c>
      <c r="AE128" s="742">
        <v>180.73</v>
      </c>
      <c r="AF128" s="742">
        <v>183.91</v>
      </c>
      <c r="AG128" s="783">
        <v>187.1</v>
      </c>
      <c r="AH128" s="787">
        <v>190.29</v>
      </c>
      <c r="AI128" s="237">
        <v>161.94</v>
      </c>
      <c r="AJ128" s="237">
        <v>165.12</v>
      </c>
      <c r="AK128" s="237">
        <v>168.31</v>
      </c>
      <c r="AL128" s="237">
        <v>171.5</v>
      </c>
      <c r="AM128" s="237">
        <v>174.68</v>
      </c>
      <c r="AN128" s="237">
        <v>177.87</v>
      </c>
      <c r="AO128" s="237">
        <v>181.06</v>
      </c>
      <c r="AP128" s="237">
        <v>184.24</v>
      </c>
      <c r="AQ128" s="237">
        <v>187.43</v>
      </c>
      <c r="AR128" s="237">
        <v>190.62</v>
      </c>
      <c r="AS128" s="237">
        <v>133.25</v>
      </c>
      <c r="AT128" s="237">
        <v>130.07</v>
      </c>
      <c r="AU128" s="761">
        <v>158.41999999999999</v>
      </c>
      <c r="AV128" s="237">
        <v>123.69</v>
      </c>
      <c r="AW128" s="237">
        <v>120.51</v>
      </c>
    </row>
    <row r="129" spans="1:49" ht="22.5">
      <c r="A129" s="2">
        <v>213.14</v>
      </c>
      <c r="B129" s="59">
        <v>217.69</v>
      </c>
      <c r="C129" s="3">
        <v>222.24</v>
      </c>
      <c r="D129" s="3">
        <v>226.79</v>
      </c>
      <c r="E129" s="59">
        <v>231.34</v>
      </c>
      <c r="F129" s="59">
        <v>235.89</v>
      </c>
      <c r="G129" s="59">
        <v>240.44</v>
      </c>
      <c r="H129" s="974">
        <v>308.41000000000003</v>
      </c>
      <c r="I129" s="237">
        <v>249.54</v>
      </c>
      <c r="J129" s="237">
        <v>254.09</v>
      </c>
      <c r="K129" s="237">
        <v>258.64</v>
      </c>
      <c r="L129" s="237">
        <v>263.19</v>
      </c>
      <c r="M129" s="237">
        <v>267.74</v>
      </c>
      <c r="N129" s="237">
        <v>272.29000000000002</v>
      </c>
      <c r="O129" s="237">
        <v>276.83999999999997</v>
      </c>
      <c r="P129" s="237">
        <v>281.39</v>
      </c>
      <c r="Q129" s="237">
        <v>285.94</v>
      </c>
      <c r="R129" s="237">
        <v>290.49</v>
      </c>
      <c r="S129" s="237">
        <v>208.59</v>
      </c>
      <c r="T129" s="237">
        <v>204.04</v>
      </c>
      <c r="U129" s="237">
        <v>199.49</v>
      </c>
      <c r="V129" s="237">
        <v>194.94</v>
      </c>
      <c r="W129" s="237">
        <v>190.39</v>
      </c>
      <c r="X129" s="51">
        <v>125</v>
      </c>
      <c r="Y129" s="761">
        <v>162.93</v>
      </c>
      <c r="Z129" s="761">
        <v>166.14</v>
      </c>
      <c r="AA129" s="730">
        <v>169.35</v>
      </c>
      <c r="AB129" s="742">
        <v>172.57</v>
      </c>
      <c r="AC129" s="747">
        <v>175.78</v>
      </c>
      <c r="AD129" s="739">
        <f>AD128+1.45</f>
        <v>178.99000000000007</v>
      </c>
      <c r="AE129" s="742">
        <v>182.2</v>
      </c>
      <c r="AF129" s="742">
        <v>185.42</v>
      </c>
      <c r="AG129" s="783">
        <v>188.63</v>
      </c>
      <c r="AH129" s="787">
        <v>191.84</v>
      </c>
      <c r="AI129" s="237">
        <v>163.25</v>
      </c>
      <c r="AJ129" s="237">
        <v>166.47</v>
      </c>
      <c r="AK129" s="237">
        <v>169.68</v>
      </c>
      <c r="AL129" s="237">
        <v>172.89</v>
      </c>
      <c r="AM129" s="237">
        <v>176.1</v>
      </c>
      <c r="AN129" s="237">
        <v>179.32</v>
      </c>
      <c r="AO129" s="237">
        <v>182.53</v>
      </c>
      <c r="AP129" s="237">
        <v>185.74</v>
      </c>
      <c r="AQ129" s="237">
        <v>188.95</v>
      </c>
      <c r="AR129" s="237">
        <v>192.17</v>
      </c>
      <c r="AS129" s="237">
        <v>134.34</v>
      </c>
      <c r="AT129" s="237">
        <v>131.13</v>
      </c>
      <c r="AU129" s="761">
        <v>159.72</v>
      </c>
      <c r="AV129" s="237">
        <v>124.7</v>
      </c>
      <c r="AW129" s="237">
        <v>121.49</v>
      </c>
    </row>
    <row r="130" spans="1:49" ht="22.5">
      <c r="A130" s="2">
        <v>214.89</v>
      </c>
      <c r="B130" s="59">
        <v>219.48</v>
      </c>
      <c r="C130" s="3">
        <v>224.07</v>
      </c>
      <c r="D130" s="3">
        <v>228.65</v>
      </c>
      <c r="E130" s="59">
        <v>233.24</v>
      </c>
      <c r="F130" s="59">
        <v>237.82</v>
      </c>
      <c r="G130" s="59">
        <v>242.41</v>
      </c>
      <c r="H130" s="974">
        <v>310.95</v>
      </c>
      <c r="I130" s="237">
        <v>251.58</v>
      </c>
      <c r="J130" s="237">
        <v>256.17</v>
      </c>
      <c r="K130" s="237">
        <v>260.76</v>
      </c>
      <c r="L130" s="237">
        <v>265.33999999999997</v>
      </c>
      <c r="M130" s="237">
        <v>269.93</v>
      </c>
      <c r="N130" s="237">
        <v>274.52</v>
      </c>
      <c r="O130" s="237">
        <v>279.10000000000002</v>
      </c>
      <c r="P130" s="237">
        <v>283.69</v>
      </c>
      <c r="Q130" s="237">
        <v>288.27999999999997</v>
      </c>
      <c r="R130" s="237">
        <v>292.86</v>
      </c>
      <c r="S130" s="237">
        <v>210.31</v>
      </c>
      <c r="T130" s="237">
        <v>205.72</v>
      </c>
      <c r="U130" s="237">
        <v>201.13</v>
      </c>
      <c r="V130" s="237">
        <v>196.55</v>
      </c>
      <c r="W130" s="237">
        <v>191.96</v>
      </c>
      <c r="X130" s="51">
        <v>126</v>
      </c>
      <c r="Y130" s="761">
        <v>164.19</v>
      </c>
      <c r="Z130" s="761">
        <v>167.42</v>
      </c>
      <c r="AA130" s="730">
        <v>170.66</v>
      </c>
      <c r="AB130" s="742">
        <v>173.9</v>
      </c>
      <c r="AC130" s="747">
        <v>177.14</v>
      </c>
      <c r="AD130" s="739">
        <f>AD129+1.39</f>
        <v>180.38000000000005</v>
      </c>
      <c r="AE130" s="742">
        <v>183.61</v>
      </c>
      <c r="AF130" s="742">
        <v>186.85</v>
      </c>
      <c r="AG130" s="783">
        <v>190.09</v>
      </c>
      <c r="AH130" s="787">
        <v>193.33</v>
      </c>
      <c r="AI130" s="237">
        <v>164.53</v>
      </c>
      <c r="AJ130" s="237">
        <v>167.77</v>
      </c>
      <c r="AK130" s="237">
        <v>171.01</v>
      </c>
      <c r="AL130" s="237">
        <v>174.25</v>
      </c>
      <c r="AM130" s="237">
        <v>177.48</v>
      </c>
      <c r="AN130" s="237">
        <v>180.72</v>
      </c>
      <c r="AO130" s="237">
        <v>183.96</v>
      </c>
      <c r="AP130" s="237">
        <v>187.2</v>
      </c>
      <c r="AQ130" s="237">
        <v>190.44</v>
      </c>
      <c r="AR130" s="237">
        <v>193.67</v>
      </c>
      <c r="AS130" s="237">
        <v>135.38999999999999</v>
      </c>
      <c r="AT130" s="237">
        <v>132.15</v>
      </c>
      <c r="AU130" s="761">
        <v>160.94999999999999</v>
      </c>
      <c r="AV130" s="237">
        <v>125.67</v>
      </c>
      <c r="AW130" s="237">
        <v>122.43</v>
      </c>
    </row>
    <row r="131" spans="1:49" ht="22.5">
      <c r="A131" s="2">
        <v>216.65</v>
      </c>
      <c r="B131" s="59">
        <v>221.27</v>
      </c>
      <c r="C131" s="3">
        <v>225.9</v>
      </c>
      <c r="D131" s="3">
        <v>230.52</v>
      </c>
      <c r="E131" s="59">
        <v>235.14</v>
      </c>
      <c r="F131" s="59">
        <v>239.76</v>
      </c>
      <c r="G131" s="59">
        <v>244.39</v>
      </c>
      <c r="H131" s="974">
        <v>313.51</v>
      </c>
      <c r="I131" s="237">
        <v>253.63</v>
      </c>
      <c r="J131" s="237">
        <v>258.25</v>
      </c>
      <c r="K131" s="237">
        <v>262.88</v>
      </c>
      <c r="L131" s="237">
        <v>267.5</v>
      </c>
      <c r="M131" s="237">
        <v>272.12</v>
      </c>
      <c r="N131" s="237">
        <v>276.75</v>
      </c>
      <c r="O131" s="237">
        <v>281.37</v>
      </c>
      <c r="P131" s="237">
        <v>285.99</v>
      </c>
      <c r="Q131" s="237">
        <v>290.61</v>
      </c>
      <c r="R131" s="237">
        <v>295.24</v>
      </c>
      <c r="S131" s="237">
        <v>212.03</v>
      </c>
      <c r="T131" s="237">
        <v>207.4</v>
      </c>
      <c r="U131" s="237">
        <v>202.78</v>
      </c>
      <c r="V131" s="237">
        <v>198.16</v>
      </c>
      <c r="W131" s="237">
        <v>193.54</v>
      </c>
      <c r="X131" s="51">
        <v>127</v>
      </c>
      <c r="Y131" s="761">
        <v>165.51</v>
      </c>
      <c r="Z131" s="761">
        <v>168.78</v>
      </c>
      <c r="AA131" s="730">
        <v>172.04</v>
      </c>
      <c r="AB131" s="742">
        <v>175.31</v>
      </c>
      <c r="AC131" s="747">
        <v>178.57</v>
      </c>
      <c r="AD131" s="739">
        <f>AD130+1.45</f>
        <v>181.83000000000004</v>
      </c>
      <c r="AE131" s="742">
        <v>185.1</v>
      </c>
      <c r="AF131" s="742">
        <v>188.36</v>
      </c>
      <c r="AG131" s="783">
        <v>191.63</v>
      </c>
      <c r="AH131" s="787">
        <v>194.89</v>
      </c>
      <c r="AI131" s="237">
        <v>165.85</v>
      </c>
      <c r="AJ131" s="237">
        <v>169.12</v>
      </c>
      <c r="AK131" s="237">
        <v>172.38</v>
      </c>
      <c r="AL131" s="237">
        <v>175.64</v>
      </c>
      <c r="AM131" s="237">
        <v>178.91</v>
      </c>
      <c r="AN131" s="237">
        <v>182.17</v>
      </c>
      <c r="AO131" s="237">
        <v>185.44</v>
      </c>
      <c r="AP131" s="237">
        <v>188.7</v>
      </c>
      <c r="AQ131" s="237">
        <v>191.96</v>
      </c>
      <c r="AR131" s="237">
        <v>195.23</v>
      </c>
      <c r="AS131" s="237">
        <v>136.47999999999999</v>
      </c>
      <c r="AT131" s="237">
        <v>133.21</v>
      </c>
      <c r="AU131" s="761">
        <v>162.25</v>
      </c>
      <c r="AV131" s="237">
        <v>126.69</v>
      </c>
      <c r="AW131" s="237">
        <v>123.42</v>
      </c>
    </row>
    <row r="132" spans="1:49" ht="22.5">
      <c r="A132" s="2">
        <v>218.25</v>
      </c>
      <c r="B132" s="59">
        <v>222.91</v>
      </c>
      <c r="C132" s="3">
        <v>227.57</v>
      </c>
      <c r="D132" s="3">
        <v>232.23</v>
      </c>
      <c r="E132" s="59">
        <v>236.89</v>
      </c>
      <c r="F132" s="59">
        <v>241.55</v>
      </c>
      <c r="G132" s="59">
        <v>246.21</v>
      </c>
      <c r="H132" s="974">
        <v>315.8</v>
      </c>
      <c r="I132" s="237">
        <v>255.52</v>
      </c>
      <c r="J132" s="237">
        <v>260.18</v>
      </c>
      <c r="K132" s="237">
        <v>264.83999999999997</v>
      </c>
      <c r="L132" s="237">
        <v>269.5</v>
      </c>
      <c r="M132" s="237">
        <v>274.16000000000003</v>
      </c>
      <c r="N132" s="237">
        <v>278.82</v>
      </c>
      <c r="O132" s="237">
        <v>283.48</v>
      </c>
      <c r="P132" s="237">
        <v>288.14</v>
      </c>
      <c r="Q132" s="237">
        <v>292.8</v>
      </c>
      <c r="R132" s="237">
        <v>297.45999999999998</v>
      </c>
      <c r="S132" s="237">
        <v>213.59</v>
      </c>
      <c r="T132" s="237">
        <v>208.93</v>
      </c>
      <c r="U132" s="237">
        <v>204.27</v>
      </c>
      <c r="V132" s="237">
        <v>199.61</v>
      </c>
      <c r="W132" s="237">
        <v>196.54</v>
      </c>
      <c r="X132" s="51">
        <v>128</v>
      </c>
      <c r="Y132" s="761">
        <v>166.85</v>
      </c>
      <c r="Z132" s="761">
        <v>170.13</v>
      </c>
      <c r="AA132" s="730">
        <v>173.42</v>
      </c>
      <c r="AB132" s="742">
        <v>176.71</v>
      </c>
      <c r="AC132" s="747">
        <v>180</v>
      </c>
      <c r="AD132" s="739">
        <f>AD131+1.46</f>
        <v>183.29000000000005</v>
      </c>
      <c r="AE132" s="742">
        <v>186.58</v>
      </c>
      <c r="AF132" s="742">
        <v>189.87</v>
      </c>
      <c r="AG132" s="783">
        <v>193.16</v>
      </c>
      <c r="AH132" s="787">
        <v>196.45</v>
      </c>
      <c r="AI132" s="237">
        <v>167.18</v>
      </c>
      <c r="AJ132" s="237">
        <v>170.47</v>
      </c>
      <c r="AK132" s="237">
        <v>173.76</v>
      </c>
      <c r="AL132" s="237">
        <v>177.05</v>
      </c>
      <c r="AM132" s="237">
        <v>180.33</v>
      </c>
      <c r="AN132" s="237">
        <v>183.62</v>
      </c>
      <c r="AO132" s="237">
        <v>186.91</v>
      </c>
      <c r="AP132" s="237">
        <v>190.2</v>
      </c>
      <c r="AQ132" s="237">
        <v>193.49</v>
      </c>
      <c r="AR132" s="237">
        <v>196.78</v>
      </c>
      <c r="AS132" s="237">
        <v>137.57</v>
      </c>
      <c r="AT132" s="237">
        <v>134.28</v>
      </c>
      <c r="AU132" s="761">
        <v>163.56</v>
      </c>
      <c r="AV132" s="237">
        <v>127.7</v>
      </c>
      <c r="AW132" s="237">
        <v>124.41</v>
      </c>
    </row>
    <row r="133" spans="1:49" ht="22.5">
      <c r="A133" s="2">
        <v>220.02</v>
      </c>
      <c r="B133" s="59">
        <v>224.71</v>
      </c>
      <c r="C133" s="3">
        <v>229.41</v>
      </c>
      <c r="D133" s="3">
        <v>234.1</v>
      </c>
      <c r="E133" s="59">
        <v>238.8</v>
      </c>
      <c r="F133" s="59">
        <v>243.49</v>
      </c>
      <c r="G133" s="59">
        <v>248.19</v>
      </c>
      <c r="H133" s="974">
        <v>318.37</v>
      </c>
      <c r="I133" s="237">
        <v>257.58</v>
      </c>
      <c r="J133" s="237">
        <v>262.27999999999997</v>
      </c>
      <c r="K133" s="237">
        <v>266.97000000000003</v>
      </c>
      <c r="L133" s="237">
        <v>271.67</v>
      </c>
      <c r="M133" s="237">
        <v>276.36</v>
      </c>
      <c r="N133" s="237">
        <v>281</v>
      </c>
      <c r="O133" s="237">
        <v>285.76</v>
      </c>
      <c r="P133" s="237">
        <v>290.45</v>
      </c>
      <c r="Q133" s="237">
        <v>295.14999999999998</v>
      </c>
      <c r="R133" s="237">
        <v>299.83999999999997</v>
      </c>
      <c r="S133" s="237">
        <v>215.32</v>
      </c>
      <c r="T133" s="237">
        <v>210.63</v>
      </c>
      <c r="U133" s="237">
        <v>205.93</v>
      </c>
      <c r="V133" s="237">
        <v>201.23</v>
      </c>
      <c r="W133" s="237">
        <v>198.13</v>
      </c>
      <c r="X133" s="51">
        <v>129</v>
      </c>
      <c r="Y133" s="761">
        <v>168.1</v>
      </c>
      <c r="Z133" s="761">
        <v>171.42</v>
      </c>
      <c r="AA133" s="730">
        <v>174.74</v>
      </c>
      <c r="AB133" s="742">
        <v>178.05</v>
      </c>
      <c r="AC133" s="747">
        <v>181.37</v>
      </c>
      <c r="AD133" s="739">
        <f>AD132+1.39</f>
        <v>184.68000000000004</v>
      </c>
      <c r="AE133" s="742">
        <v>188</v>
      </c>
      <c r="AF133" s="742">
        <v>191.31</v>
      </c>
      <c r="AG133" s="783">
        <v>194.63</v>
      </c>
      <c r="AH133" s="787">
        <v>197.94</v>
      </c>
      <c r="AI133" s="237">
        <v>168.46</v>
      </c>
      <c r="AJ133" s="237">
        <v>171.77</v>
      </c>
      <c r="AK133" s="237">
        <v>175.09</v>
      </c>
      <c r="AL133" s="237">
        <v>178.4</v>
      </c>
      <c r="AM133" s="237">
        <v>181.72</v>
      </c>
      <c r="AN133" s="237">
        <v>185.03</v>
      </c>
      <c r="AO133" s="237">
        <v>188.35</v>
      </c>
      <c r="AP133" s="237">
        <v>191.66</v>
      </c>
      <c r="AQ133" s="237">
        <v>194.98</v>
      </c>
      <c r="AR133" s="237">
        <v>198.29</v>
      </c>
      <c r="AS133" s="237">
        <v>138.62</v>
      </c>
      <c r="AT133" s="237">
        <v>135.30000000000001</v>
      </c>
      <c r="AU133" s="761">
        <v>164.79</v>
      </c>
      <c r="AV133" s="237">
        <v>128.66999999999999</v>
      </c>
      <c r="AW133" s="237">
        <v>125.36</v>
      </c>
    </row>
    <row r="134" spans="1:49" ht="22.5">
      <c r="A134" s="2">
        <v>221.79300000000001</v>
      </c>
      <c r="B134" s="59">
        <v>226.52</v>
      </c>
      <c r="C134" s="3">
        <v>231.25</v>
      </c>
      <c r="D134" s="3">
        <v>235.98</v>
      </c>
      <c r="E134" s="59">
        <v>240.72</v>
      </c>
      <c r="F134" s="59">
        <v>245.45</v>
      </c>
      <c r="G134" s="59">
        <v>250.18</v>
      </c>
      <c r="H134" s="974">
        <v>320.95</v>
      </c>
      <c r="I134" s="237">
        <v>259.64</v>
      </c>
      <c r="J134" s="237">
        <v>264.38</v>
      </c>
      <c r="K134" s="237">
        <v>269.11</v>
      </c>
      <c r="L134" s="237">
        <v>273.83999999999997</v>
      </c>
      <c r="M134" s="237">
        <v>278.57</v>
      </c>
      <c r="N134" s="237">
        <v>283.3</v>
      </c>
      <c r="O134" s="237">
        <v>288.04000000000002</v>
      </c>
      <c r="P134" s="237">
        <v>292.77</v>
      </c>
      <c r="Q134" s="237">
        <v>297.5</v>
      </c>
      <c r="R134" s="237">
        <v>302.23</v>
      </c>
      <c r="S134" s="237">
        <v>217.06</v>
      </c>
      <c r="T134" s="237">
        <v>212.32</v>
      </c>
      <c r="U134" s="237">
        <v>207.59</v>
      </c>
      <c r="V134" s="237">
        <v>202.86</v>
      </c>
      <c r="W134" s="237">
        <v>199.56</v>
      </c>
      <c r="X134" s="51">
        <v>130</v>
      </c>
      <c r="Y134" s="761">
        <v>169.44</v>
      </c>
      <c r="Z134" s="761">
        <v>172.78</v>
      </c>
      <c r="AA134" s="730">
        <v>176.12</v>
      </c>
      <c r="AB134" s="742">
        <v>179.46</v>
      </c>
      <c r="AC134" s="747">
        <v>182.8</v>
      </c>
      <c r="AD134" s="739">
        <v>186.15</v>
      </c>
      <c r="AE134" s="742">
        <v>189.49</v>
      </c>
      <c r="AF134" s="742">
        <v>192.83</v>
      </c>
      <c r="AG134" s="783">
        <v>196.17</v>
      </c>
      <c r="AH134" s="787">
        <v>199.51</v>
      </c>
      <c r="AI134" s="237">
        <v>169.78</v>
      </c>
      <c r="AJ134" s="237">
        <v>173.12</v>
      </c>
      <c r="AK134" s="237">
        <v>176.46</v>
      </c>
      <c r="AL134" s="237">
        <v>179.8</v>
      </c>
      <c r="AM134" s="237">
        <v>183.15</v>
      </c>
      <c r="AN134" s="237">
        <v>186.49</v>
      </c>
      <c r="AO134" s="237">
        <v>189.83</v>
      </c>
      <c r="AP134" s="237">
        <v>193.17</v>
      </c>
      <c r="AQ134" s="237">
        <v>196.51</v>
      </c>
      <c r="AR134" s="237">
        <v>199.85</v>
      </c>
      <c r="AS134" s="237">
        <v>139.71</v>
      </c>
      <c r="AT134" s="237">
        <v>136.37</v>
      </c>
      <c r="AU134" s="761">
        <v>166.1</v>
      </c>
      <c r="AV134" s="237">
        <v>129.69</v>
      </c>
      <c r="AW134" s="237">
        <v>126.35</v>
      </c>
    </row>
    <row r="135" spans="1:49" ht="22.5">
      <c r="A135" s="2">
        <v>223.4</v>
      </c>
      <c r="B135" s="59">
        <v>228.17</v>
      </c>
      <c r="C135" s="3">
        <v>232.94</v>
      </c>
      <c r="D135" s="3">
        <v>237.7</v>
      </c>
      <c r="E135" s="59">
        <v>242.47</v>
      </c>
      <c r="F135" s="59">
        <v>247.24</v>
      </c>
      <c r="G135" s="59">
        <v>252.01</v>
      </c>
      <c r="H135" s="974">
        <v>323.26</v>
      </c>
      <c r="I135" s="237">
        <v>261.55</v>
      </c>
      <c r="J135" s="237">
        <v>266.31</v>
      </c>
      <c r="K135" s="237">
        <v>271.08</v>
      </c>
      <c r="L135" s="237">
        <v>275.85000000000002</v>
      </c>
      <c r="M135" s="237">
        <v>280.62</v>
      </c>
      <c r="N135" s="237">
        <v>285.39</v>
      </c>
      <c r="O135" s="237">
        <v>290.16000000000003</v>
      </c>
      <c r="P135" s="237">
        <v>294.92</v>
      </c>
      <c r="Q135" s="237">
        <v>299.69</v>
      </c>
      <c r="R135" s="237">
        <v>304.45999999999998</v>
      </c>
      <c r="S135" s="237">
        <v>218.63</v>
      </c>
      <c r="T135" s="237">
        <v>213.86</v>
      </c>
      <c r="U135" s="237">
        <v>209.09</v>
      </c>
      <c r="V135" s="237">
        <v>204.32</v>
      </c>
      <c r="W135" s="237">
        <v>201.16</v>
      </c>
      <c r="X135" s="51">
        <v>131</v>
      </c>
      <c r="Y135" s="761">
        <v>170.7</v>
      </c>
      <c r="Z135" s="761">
        <v>174.07</v>
      </c>
      <c r="AA135" s="730">
        <v>177.44</v>
      </c>
      <c r="AB135" s="742">
        <v>180.8</v>
      </c>
      <c r="AC135" s="747">
        <v>184.17</v>
      </c>
      <c r="AD135" s="739">
        <v>187.54</v>
      </c>
      <c r="AE135" s="742">
        <v>190.9</v>
      </c>
      <c r="AF135" s="742">
        <v>194.27</v>
      </c>
      <c r="AG135" s="783">
        <v>197.64</v>
      </c>
      <c r="AH135" s="787">
        <v>201</v>
      </c>
      <c r="AI135" s="237">
        <v>171.06</v>
      </c>
      <c r="AJ135" s="237">
        <v>174.43</v>
      </c>
      <c r="AK135" s="237">
        <v>177.79</v>
      </c>
      <c r="AL135" s="237">
        <v>181.16</v>
      </c>
      <c r="AM135" s="237">
        <v>184.53</v>
      </c>
      <c r="AN135" s="237">
        <v>187.89</v>
      </c>
      <c r="AO135" s="237">
        <v>191.26</v>
      </c>
      <c r="AP135" s="237">
        <v>194.63</v>
      </c>
      <c r="AQ135" s="237">
        <v>197.99</v>
      </c>
      <c r="AR135" s="237">
        <v>201.36</v>
      </c>
      <c r="AS135" s="237">
        <v>140.76</v>
      </c>
      <c r="AT135" s="237">
        <v>137.38999999999999</v>
      </c>
      <c r="AU135" s="761">
        <v>167.34</v>
      </c>
      <c r="AV135" s="237">
        <v>130.66</v>
      </c>
      <c r="AW135" s="237">
        <v>127.29</v>
      </c>
    </row>
    <row r="136" spans="1:49" ht="22.5">
      <c r="A136" s="2">
        <v>225.18</v>
      </c>
      <c r="B136" s="59">
        <v>229.99</v>
      </c>
      <c r="C136" s="3">
        <v>234.79</v>
      </c>
      <c r="D136" s="3">
        <v>239.59</v>
      </c>
      <c r="E136" s="59">
        <v>244.4</v>
      </c>
      <c r="F136" s="59">
        <v>249.2</v>
      </c>
      <c r="G136" s="59">
        <v>254.01</v>
      </c>
      <c r="H136" s="974">
        <v>325.86</v>
      </c>
      <c r="I136" s="237">
        <v>263.62</v>
      </c>
      <c r="J136" s="237">
        <v>268.42</v>
      </c>
      <c r="K136" s="237">
        <v>273.23</v>
      </c>
      <c r="L136" s="237">
        <v>278.02999999999997</v>
      </c>
      <c r="M136" s="237">
        <v>282.83999999999997</v>
      </c>
      <c r="N136" s="237">
        <v>287.64</v>
      </c>
      <c r="O136" s="237">
        <v>292.45</v>
      </c>
      <c r="P136" s="237">
        <v>297.25</v>
      </c>
      <c r="Q136" s="237">
        <v>302.06</v>
      </c>
      <c r="R136" s="237">
        <v>306.86</v>
      </c>
      <c r="S136" s="237">
        <v>220.38</v>
      </c>
      <c r="T136" s="237">
        <v>215.57</v>
      </c>
      <c r="U136" s="237">
        <v>210.77</v>
      </c>
      <c r="V136" s="237">
        <v>205.96</v>
      </c>
      <c r="W136" s="237">
        <v>202.59</v>
      </c>
      <c r="X136" s="51">
        <v>132</v>
      </c>
      <c r="Y136" s="761">
        <v>171.96</v>
      </c>
      <c r="Z136" s="761">
        <v>175.36</v>
      </c>
      <c r="AA136" s="730">
        <v>178.75</v>
      </c>
      <c r="AB136" s="742">
        <v>182.14</v>
      </c>
      <c r="AC136" s="747">
        <v>185.53</v>
      </c>
      <c r="AD136" s="739">
        <f>AD135+1.39</f>
        <v>188.92999999999998</v>
      </c>
      <c r="AE136" s="742">
        <v>192.32</v>
      </c>
      <c r="AF136" s="742">
        <v>195.71</v>
      </c>
      <c r="AG136" s="783">
        <v>199.1</v>
      </c>
      <c r="AH136" s="787">
        <v>202.5</v>
      </c>
      <c r="AI136" s="237">
        <v>172.34</v>
      </c>
      <c r="AJ136" s="237">
        <v>175.73</v>
      </c>
      <c r="AK136" s="237">
        <v>179.13</v>
      </c>
      <c r="AL136" s="237">
        <v>182.52</v>
      </c>
      <c r="AM136" s="237">
        <v>185.91</v>
      </c>
      <c r="AN136" s="237">
        <v>189.3</v>
      </c>
      <c r="AO136" s="237">
        <v>192.7</v>
      </c>
      <c r="AP136" s="237">
        <v>196.09</v>
      </c>
      <c r="AQ136" s="237">
        <v>199.48</v>
      </c>
      <c r="AR136" s="237">
        <v>202.87</v>
      </c>
      <c r="AS136" s="237">
        <v>141.81</v>
      </c>
      <c r="AT136" s="237">
        <v>138.41999999999999</v>
      </c>
      <c r="AU136" s="761">
        <v>168.57</v>
      </c>
      <c r="AV136" s="237">
        <v>131.63</v>
      </c>
      <c r="AW136" s="237">
        <v>128.24</v>
      </c>
    </row>
    <row r="137" spans="1:49" ht="22.5">
      <c r="A137" s="2">
        <v>226.79</v>
      </c>
      <c r="B137" s="59">
        <v>231.64</v>
      </c>
      <c r="C137" s="3">
        <v>236.48</v>
      </c>
      <c r="D137" s="3">
        <v>241.32</v>
      </c>
      <c r="E137" s="59">
        <v>246.16</v>
      </c>
      <c r="F137" s="59">
        <v>251</v>
      </c>
      <c r="G137" s="59">
        <v>255.84299999999999</v>
      </c>
      <c r="H137" s="974">
        <v>328.17</v>
      </c>
      <c r="I137" s="237">
        <v>265.52</v>
      </c>
      <c r="J137" s="237">
        <v>270.37</v>
      </c>
      <c r="K137" s="237">
        <v>275.20999999999998</v>
      </c>
      <c r="L137" s="237">
        <v>280.05</v>
      </c>
      <c r="M137" s="237">
        <v>284.89</v>
      </c>
      <c r="N137" s="237">
        <v>289.73</v>
      </c>
      <c r="O137" s="237">
        <v>294.57</v>
      </c>
      <c r="P137" s="237">
        <v>299.41000000000003</v>
      </c>
      <c r="Q137" s="237">
        <v>304.25</v>
      </c>
      <c r="R137" s="237">
        <v>309.10000000000002</v>
      </c>
      <c r="S137" s="237">
        <v>221.95</v>
      </c>
      <c r="T137" s="237">
        <v>217.11</v>
      </c>
      <c r="U137" s="237">
        <v>212.27</v>
      </c>
      <c r="V137" s="237">
        <v>207.43</v>
      </c>
      <c r="W137" s="237">
        <v>204.2</v>
      </c>
      <c r="X137" s="51">
        <v>133</v>
      </c>
      <c r="Y137" s="761">
        <v>173.31</v>
      </c>
      <c r="Z137" s="761">
        <v>176.72</v>
      </c>
      <c r="AA137" s="730">
        <v>180.14</v>
      </c>
      <c r="AB137" s="742">
        <v>183.56</v>
      </c>
      <c r="AC137" s="747">
        <v>186.98</v>
      </c>
      <c r="AD137" s="739">
        <f>AD136+1.47</f>
        <v>190.39999999999998</v>
      </c>
      <c r="AE137" s="742">
        <v>193.82</v>
      </c>
      <c r="AF137" s="742">
        <v>197.23</v>
      </c>
      <c r="AG137" s="783">
        <v>200.65</v>
      </c>
      <c r="AH137" s="787">
        <v>204.07</v>
      </c>
      <c r="AI137" s="237">
        <v>173.67</v>
      </c>
      <c r="AJ137" s="237">
        <v>177.09</v>
      </c>
      <c r="AK137" s="237">
        <v>180.51</v>
      </c>
      <c r="AL137" s="237">
        <v>183.93</v>
      </c>
      <c r="AM137" s="237">
        <v>187.34</v>
      </c>
      <c r="AN137" s="237">
        <v>190.76</v>
      </c>
      <c r="AO137" s="237">
        <v>194.18</v>
      </c>
      <c r="AP137" s="237">
        <v>197.6</v>
      </c>
      <c r="AQ137" s="237">
        <v>201.02</v>
      </c>
      <c r="AR137" s="237">
        <v>204.43</v>
      </c>
      <c r="AS137" s="237">
        <v>142.91</v>
      </c>
      <c r="AT137" s="237">
        <v>139.49</v>
      </c>
      <c r="AU137" s="761">
        <v>169.89</v>
      </c>
      <c r="AV137" s="237">
        <v>132.65</v>
      </c>
      <c r="AW137" s="237">
        <v>129.24</v>
      </c>
    </row>
    <row r="138" spans="1:49" ht="22.5">
      <c r="A138" s="2">
        <v>228.59</v>
      </c>
      <c r="B138" s="59">
        <v>233.46</v>
      </c>
      <c r="C138" s="3">
        <v>238.34</v>
      </c>
      <c r="D138" s="3">
        <v>243.22</v>
      </c>
      <c r="E138" s="59">
        <v>248.1</v>
      </c>
      <c r="F138" s="59">
        <v>252.97</v>
      </c>
      <c r="G138" s="59">
        <v>257.85000000000002</v>
      </c>
      <c r="H138" s="974">
        <v>330.78</v>
      </c>
      <c r="I138" s="237">
        <v>267.61</v>
      </c>
      <c r="J138" s="237">
        <v>272.49</v>
      </c>
      <c r="K138" s="237">
        <v>277.36</v>
      </c>
      <c r="L138" s="237">
        <v>282.24</v>
      </c>
      <c r="M138" s="237">
        <v>287.12</v>
      </c>
      <c r="N138" s="237">
        <v>292</v>
      </c>
      <c r="O138" s="237">
        <v>296.87</v>
      </c>
      <c r="P138" s="237">
        <v>301.75</v>
      </c>
      <c r="Q138" s="237">
        <v>306.63</v>
      </c>
      <c r="R138" s="237">
        <v>311.51</v>
      </c>
      <c r="S138" s="237">
        <v>223.71</v>
      </c>
      <c r="T138" s="237">
        <v>218.83</v>
      </c>
      <c r="U138" s="237">
        <v>213.95</v>
      </c>
      <c r="V138" s="237">
        <v>209.08</v>
      </c>
      <c r="W138" s="237">
        <v>205.64</v>
      </c>
      <c r="X138" s="51">
        <v>134</v>
      </c>
      <c r="Y138" s="761">
        <v>174.57</v>
      </c>
      <c r="Z138" s="761">
        <v>178.01</v>
      </c>
      <c r="AA138" s="730">
        <v>181.46</v>
      </c>
      <c r="AB138" s="742">
        <v>184.9</v>
      </c>
      <c r="AC138" s="747">
        <v>188.35</v>
      </c>
      <c r="AD138" s="739">
        <v>191.79</v>
      </c>
      <c r="AE138" s="742">
        <v>195.23</v>
      </c>
      <c r="AF138" s="742">
        <v>198.68</v>
      </c>
      <c r="AG138" s="783">
        <v>202.12</v>
      </c>
      <c r="AH138" s="787">
        <v>205.57</v>
      </c>
      <c r="AI138" s="237">
        <v>174.95</v>
      </c>
      <c r="AJ138" s="237">
        <v>178.4</v>
      </c>
      <c r="AK138" s="237">
        <v>181.84</v>
      </c>
      <c r="AL138" s="237">
        <v>185.29</v>
      </c>
      <c r="AM138" s="237">
        <v>188.73</v>
      </c>
      <c r="AN138" s="237">
        <v>192.17</v>
      </c>
      <c r="AO138" s="237">
        <v>195.62</v>
      </c>
      <c r="AP138" s="237">
        <v>199.06</v>
      </c>
      <c r="AQ138" s="237">
        <v>202.5</v>
      </c>
      <c r="AR138" s="237">
        <v>205.95</v>
      </c>
      <c r="AS138" s="237">
        <v>143.96</v>
      </c>
      <c r="AT138" s="237">
        <v>140.52000000000001</v>
      </c>
      <c r="AU138" s="761">
        <v>171.13</v>
      </c>
      <c r="AV138" s="237">
        <v>133.63</v>
      </c>
      <c r="AW138" s="237">
        <v>130.18</v>
      </c>
    </row>
    <row r="139" spans="1:49" ht="22.5">
      <c r="A139" s="2">
        <v>230.21</v>
      </c>
      <c r="B139" s="59">
        <v>235.12</v>
      </c>
      <c r="C139" s="3">
        <v>240.03</v>
      </c>
      <c r="D139" s="3">
        <v>244.95</v>
      </c>
      <c r="E139" s="59">
        <v>249.86</v>
      </c>
      <c r="F139" s="59">
        <v>254.78</v>
      </c>
      <c r="G139" s="59">
        <v>259.69</v>
      </c>
      <c r="H139" s="974">
        <v>333.1</v>
      </c>
      <c r="I139" s="237">
        <v>269.52</v>
      </c>
      <c r="J139" s="237">
        <v>274.43</v>
      </c>
      <c r="K139" s="237">
        <v>279.35000000000002</v>
      </c>
      <c r="L139" s="237">
        <v>284.26</v>
      </c>
      <c r="M139" s="237">
        <v>289.17</v>
      </c>
      <c r="N139" s="237">
        <v>294.08999999999997</v>
      </c>
      <c r="O139" s="237">
        <v>299</v>
      </c>
      <c r="P139" s="237">
        <v>303.92</v>
      </c>
      <c r="Q139" s="237">
        <v>308.83</v>
      </c>
      <c r="R139" s="237">
        <v>313.74</v>
      </c>
      <c r="S139" s="237">
        <v>225.29</v>
      </c>
      <c r="T139" s="237">
        <v>220.38</v>
      </c>
      <c r="U139" s="237">
        <v>215.46</v>
      </c>
      <c r="V139" s="237">
        <v>210.55</v>
      </c>
      <c r="W139" s="237">
        <v>207.08</v>
      </c>
      <c r="X139" s="51">
        <v>135</v>
      </c>
      <c r="Y139" s="761">
        <v>175.92</v>
      </c>
      <c r="Z139" s="761">
        <v>179.39</v>
      </c>
      <c r="AA139" s="730">
        <v>182.86</v>
      </c>
      <c r="AB139" s="742">
        <v>186.33</v>
      </c>
      <c r="AC139" s="747">
        <v>189.8</v>
      </c>
      <c r="AD139" s="739">
        <v>193.27</v>
      </c>
      <c r="AE139" s="742">
        <v>196.74</v>
      </c>
      <c r="AF139" s="742">
        <v>200.2</v>
      </c>
      <c r="AG139" s="783">
        <v>203.67</v>
      </c>
      <c r="AH139" s="787">
        <v>207.14</v>
      </c>
      <c r="AI139" s="237">
        <v>176.29</v>
      </c>
      <c r="AJ139" s="237">
        <v>179.76</v>
      </c>
      <c r="AK139" s="237">
        <v>183.23</v>
      </c>
      <c r="AL139" s="237">
        <v>186.7</v>
      </c>
      <c r="AM139" s="237">
        <v>190.16</v>
      </c>
      <c r="AN139" s="237">
        <v>193.63</v>
      </c>
      <c r="AO139" s="237">
        <v>197.1</v>
      </c>
      <c r="AP139" s="237">
        <v>200.57</v>
      </c>
      <c r="AQ139" s="237">
        <v>204.04</v>
      </c>
      <c r="AR139" s="237">
        <v>207.51</v>
      </c>
      <c r="AS139" s="237">
        <v>145.06</v>
      </c>
      <c r="AT139" s="237">
        <v>141.59</v>
      </c>
      <c r="AU139" s="761">
        <v>172.45</v>
      </c>
      <c r="AV139" s="237">
        <v>134.65</v>
      </c>
      <c r="AW139" s="237">
        <v>131.18</v>
      </c>
    </row>
    <row r="140" spans="1:49" ht="22.5">
      <c r="A140" s="2">
        <v>231.83</v>
      </c>
      <c r="B140" s="59">
        <v>236.78</v>
      </c>
      <c r="C140" s="3">
        <v>241.73</v>
      </c>
      <c r="D140" s="3">
        <v>246.68</v>
      </c>
      <c r="E140" s="59">
        <v>251.63</v>
      </c>
      <c r="F140" s="59">
        <v>256.58</v>
      </c>
      <c r="G140" s="59">
        <v>261.52999999999997</v>
      </c>
      <c r="H140" s="974">
        <v>335.43</v>
      </c>
      <c r="I140" s="237">
        <v>271.43</v>
      </c>
      <c r="J140" s="237">
        <v>276.38</v>
      </c>
      <c r="K140" s="237">
        <v>281.33</v>
      </c>
      <c r="L140" s="237">
        <v>286.27999999999997</v>
      </c>
      <c r="M140" s="237">
        <v>291.23</v>
      </c>
      <c r="N140" s="237">
        <v>296.18</v>
      </c>
      <c r="O140" s="237">
        <v>301.13</v>
      </c>
      <c r="P140" s="237">
        <v>306.08</v>
      </c>
      <c r="Q140" s="237">
        <v>311.02999999999997</v>
      </c>
      <c r="R140" s="237">
        <v>315.98</v>
      </c>
      <c r="S140" s="237">
        <v>226.88</v>
      </c>
      <c r="T140" s="237">
        <v>221.93</v>
      </c>
      <c r="U140" s="237">
        <v>216.98</v>
      </c>
      <c r="V140" s="237">
        <v>212.03</v>
      </c>
      <c r="W140" s="237">
        <v>208.7</v>
      </c>
      <c r="X140" s="51">
        <v>136</v>
      </c>
      <c r="Y140" s="761">
        <v>177.19</v>
      </c>
      <c r="Z140" s="761">
        <v>180.67</v>
      </c>
      <c r="AA140" s="730">
        <v>184.18</v>
      </c>
      <c r="AB140" s="742">
        <v>187.67</v>
      </c>
      <c r="AC140" s="747">
        <v>191.17</v>
      </c>
      <c r="AD140" s="739">
        <f>AD139+1.43</f>
        <v>194.70000000000002</v>
      </c>
      <c r="AE140" s="742">
        <v>198.16</v>
      </c>
      <c r="AF140" s="742">
        <v>201.65</v>
      </c>
      <c r="AG140" s="783">
        <v>205.15</v>
      </c>
      <c r="AH140" s="787">
        <v>208.64</v>
      </c>
      <c r="AI140" s="237">
        <v>177.57</v>
      </c>
      <c r="AJ140" s="237">
        <v>181.07</v>
      </c>
      <c r="AK140" s="237">
        <v>184.56</v>
      </c>
      <c r="AL140" s="237">
        <v>188.06</v>
      </c>
      <c r="AM140" s="237">
        <v>191.55</v>
      </c>
      <c r="AN140" s="237">
        <v>195.05</v>
      </c>
      <c r="AO140" s="237">
        <v>198.54</v>
      </c>
      <c r="AP140" s="237">
        <v>202.04</v>
      </c>
      <c r="AQ140" s="237">
        <v>205.53</v>
      </c>
      <c r="AR140" s="237">
        <v>209.03</v>
      </c>
      <c r="AS140" s="237">
        <v>146.11000000000001</v>
      </c>
      <c r="AT140" s="237">
        <v>142.62</v>
      </c>
      <c r="AU140" s="761">
        <v>173.69</v>
      </c>
      <c r="AV140" s="237">
        <v>135.63</v>
      </c>
      <c r="AW140" s="237">
        <v>132.13</v>
      </c>
    </row>
    <row r="141" spans="1:49" ht="22.5">
      <c r="A141" s="2">
        <v>233.63</v>
      </c>
      <c r="B141" s="59">
        <v>238.62</v>
      </c>
      <c r="C141" s="3">
        <v>243.61</v>
      </c>
      <c r="D141" s="3">
        <v>248.59</v>
      </c>
      <c r="E141" s="59">
        <v>253.58</v>
      </c>
      <c r="F141" s="59">
        <v>258.57</v>
      </c>
      <c r="G141" s="59">
        <v>263.56</v>
      </c>
      <c r="H141" s="974">
        <v>338.07</v>
      </c>
      <c r="I141" s="237">
        <v>273.52999999999997</v>
      </c>
      <c r="J141" s="237">
        <v>278.52</v>
      </c>
      <c r="K141" s="237">
        <v>283.5</v>
      </c>
      <c r="L141" s="237">
        <v>288.49</v>
      </c>
      <c r="M141" s="237">
        <v>293.48</v>
      </c>
      <c r="N141" s="237">
        <v>298.45999999999998</v>
      </c>
      <c r="O141" s="237">
        <v>303.45</v>
      </c>
      <c r="P141" s="237">
        <v>308.44</v>
      </c>
      <c r="Q141" s="237">
        <v>313.42</v>
      </c>
      <c r="R141" s="237">
        <v>318.41000000000003</v>
      </c>
      <c r="S141" s="237">
        <v>228.65</v>
      </c>
      <c r="T141" s="237">
        <v>223.66</v>
      </c>
      <c r="U141" s="237">
        <v>218.67</v>
      </c>
      <c r="V141" s="237">
        <v>213.69</v>
      </c>
      <c r="W141" s="237">
        <v>210</v>
      </c>
      <c r="X141" s="51">
        <v>137</v>
      </c>
      <c r="Y141" s="761">
        <v>148.54</v>
      </c>
      <c r="Z141" s="761">
        <v>182.06</v>
      </c>
      <c r="AA141" s="730">
        <v>185.58</v>
      </c>
      <c r="AB141" s="742">
        <v>189.1</v>
      </c>
      <c r="AC141" s="747">
        <v>192.62</v>
      </c>
      <c r="AD141" s="739">
        <f>AD140+1.44</f>
        <v>196.14000000000001</v>
      </c>
      <c r="AE141" s="742">
        <v>199.66</v>
      </c>
      <c r="AF141" s="742">
        <v>203.18</v>
      </c>
      <c r="AG141" s="783">
        <v>206.7</v>
      </c>
      <c r="AH141" s="787">
        <v>210.23</v>
      </c>
      <c r="AI141" s="237">
        <v>178.91</v>
      </c>
      <c r="AJ141" s="237">
        <v>182.43</v>
      </c>
      <c r="AK141" s="237">
        <v>185.95</v>
      </c>
      <c r="AL141" s="237">
        <v>189.47</v>
      </c>
      <c r="AM141" s="237">
        <v>192.99</v>
      </c>
      <c r="AN141" s="237">
        <v>196.51</v>
      </c>
      <c r="AO141" s="237">
        <v>200.03</v>
      </c>
      <c r="AP141" s="237">
        <v>203.55</v>
      </c>
      <c r="AQ141" s="237">
        <v>207.07</v>
      </c>
      <c r="AR141" s="237">
        <v>210.59</v>
      </c>
      <c r="AS141" s="237">
        <v>147.22</v>
      </c>
      <c r="AT141" s="237">
        <v>143.69999999999999</v>
      </c>
      <c r="AU141" s="761">
        <v>175.02</v>
      </c>
      <c r="AV141" s="237">
        <v>136.66</v>
      </c>
      <c r="AW141" s="237">
        <v>133.13</v>
      </c>
    </row>
    <row r="142" spans="1:49" ht="22.5">
      <c r="A142" s="2">
        <v>235.26</v>
      </c>
      <c r="B142" s="59">
        <v>240.28</v>
      </c>
      <c r="C142" s="3">
        <v>245.31</v>
      </c>
      <c r="D142" s="3">
        <v>250.33</v>
      </c>
      <c r="E142" s="59">
        <v>255.35</v>
      </c>
      <c r="F142" s="59">
        <v>260.38</v>
      </c>
      <c r="G142" s="59">
        <v>265.39999999999998</v>
      </c>
      <c r="H142" s="974">
        <v>340.4</v>
      </c>
      <c r="I142" s="237">
        <v>275.45</v>
      </c>
      <c r="J142" s="237">
        <v>280.47000000000003</v>
      </c>
      <c r="K142" s="237">
        <v>285.49</v>
      </c>
      <c r="L142" s="237">
        <v>290.52</v>
      </c>
      <c r="M142" s="237">
        <v>295.54000000000002</v>
      </c>
      <c r="N142" s="237">
        <v>300.56</v>
      </c>
      <c r="O142" s="237">
        <v>305.58999999999997</v>
      </c>
      <c r="P142" s="237">
        <v>310.61</v>
      </c>
      <c r="Q142" s="237">
        <v>615.63</v>
      </c>
      <c r="R142" s="237">
        <v>320.66000000000003</v>
      </c>
      <c r="S142" s="237">
        <v>230.24</v>
      </c>
      <c r="T142" s="237">
        <v>225.22</v>
      </c>
      <c r="U142" s="237">
        <v>220.19</v>
      </c>
      <c r="V142" s="237">
        <v>215.17</v>
      </c>
      <c r="W142" s="237">
        <v>15</v>
      </c>
      <c r="X142" s="51">
        <v>138</v>
      </c>
      <c r="Y142" s="761">
        <v>149.81</v>
      </c>
      <c r="Z142" s="761">
        <v>183.345</v>
      </c>
      <c r="AA142" s="730">
        <v>186.9</v>
      </c>
      <c r="AB142" s="742">
        <v>190.45</v>
      </c>
      <c r="AC142" s="747">
        <v>193.99</v>
      </c>
      <c r="AD142" s="739">
        <v>197.54</v>
      </c>
      <c r="AE142" s="742">
        <v>201.09</v>
      </c>
      <c r="AF142" s="742">
        <v>204.63</v>
      </c>
      <c r="AG142" s="783">
        <v>208.18</v>
      </c>
      <c r="AH142" s="787">
        <v>211.73</v>
      </c>
      <c r="AI142" s="237">
        <v>180.19</v>
      </c>
      <c r="AJ142" s="237">
        <v>183.74</v>
      </c>
      <c r="AK142" s="237">
        <v>187.28</v>
      </c>
      <c r="AL142" s="237">
        <v>190.83</v>
      </c>
      <c r="AM142" s="237">
        <v>194.38</v>
      </c>
      <c r="AN142" s="237">
        <v>197.92</v>
      </c>
      <c r="AO142" s="237">
        <v>201.47</v>
      </c>
      <c r="AP142" s="237">
        <v>205.02</v>
      </c>
      <c r="AQ142" s="237">
        <v>208.56</v>
      </c>
      <c r="AR142" s="237">
        <v>212.11</v>
      </c>
      <c r="AS142" s="237">
        <v>148.27000000000001</v>
      </c>
      <c r="AT142" s="237">
        <v>144.72999999999999</v>
      </c>
      <c r="AU142" s="761">
        <v>176.26</v>
      </c>
      <c r="AV142" s="237">
        <v>137.63</v>
      </c>
      <c r="AW142" s="237">
        <v>134.09</v>
      </c>
    </row>
    <row r="143" spans="1:49" ht="22.5">
      <c r="A143" s="2">
        <v>237.08</v>
      </c>
      <c r="B143" s="59">
        <v>242.14</v>
      </c>
      <c r="C143" s="3">
        <v>247.2</v>
      </c>
      <c r="D143" s="3">
        <v>252.26</v>
      </c>
      <c r="E143" s="59">
        <v>257.32</v>
      </c>
      <c r="F143" s="59">
        <v>262.38</v>
      </c>
      <c r="G143" s="59">
        <v>267.44</v>
      </c>
      <c r="H143" s="974">
        <v>343.06</v>
      </c>
      <c r="I143" s="237">
        <v>277.56</v>
      </c>
      <c r="J143" s="237">
        <v>282.62</v>
      </c>
      <c r="K143" s="237">
        <v>287.68</v>
      </c>
      <c r="L143" s="237">
        <v>292.73</v>
      </c>
      <c r="M143" s="237">
        <v>297.79000000000002</v>
      </c>
      <c r="N143" s="237">
        <v>302.85000000000002</v>
      </c>
      <c r="O143" s="237">
        <v>307.91000000000003</v>
      </c>
      <c r="P143" s="237">
        <v>312.97000000000003</v>
      </c>
      <c r="Q143" s="237">
        <v>318.02999999999997</v>
      </c>
      <c r="R143" s="237">
        <v>323.08999999999997</v>
      </c>
      <c r="S143" s="237">
        <v>232.02</v>
      </c>
      <c r="T143" s="237">
        <v>226.96</v>
      </c>
      <c r="U143" s="237">
        <v>221.9</v>
      </c>
      <c r="V143" s="237">
        <v>216.84</v>
      </c>
      <c r="W143" s="237">
        <v>211.78</v>
      </c>
      <c r="X143" s="51">
        <v>139</v>
      </c>
      <c r="Y143" s="761">
        <v>181.08</v>
      </c>
      <c r="Z143" s="761">
        <v>184.65</v>
      </c>
      <c r="AA143" s="730">
        <v>188.22</v>
      </c>
      <c r="AB143" s="742">
        <v>191.79</v>
      </c>
      <c r="AC143" s="747">
        <v>195.37</v>
      </c>
      <c r="AD143" s="739">
        <v>198.94</v>
      </c>
      <c r="AE143" s="742">
        <v>202.51</v>
      </c>
      <c r="AF143" s="742">
        <v>206.08</v>
      </c>
      <c r="AG143" s="783">
        <v>209.66</v>
      </c>
      <c r="AH143" s="787">
        <v>213.23</v>
      </c>
      <c r="AI143" s="237">
        <v>181.48</v>
      </c>
      <c r="AJ143" s="237">
        <v>185.05</v>
      </c>
      <c r="AK143" s="237">
        <v>188.62</v>
      </c>
      <c r="AL143" s="237">
        <v>192.19</v>
      </c>
      <c r="AM143" s="237">
        <v>195.77</v>
      </c>
      <c r="AN143" s="237">
        <v>199.34</v>
      </c>
      <c r="AO143" s="237">
        <v>202.91</v>
      </c>
      <c r="AP143" s="237">
        <v>206.48</v>
      </c>
      <c r="AQ143" s="237">
        <v>210.06</v>
      </c>
      <c r="AR143" s="237">
        <v>213.63</v>
      </c>
      <c r="AS143" s="237">
        <v>149.33000000000001</v>
      </c>
      <c r="AT143" s="237">
        <v>145.75</v>
      </c>
      <c r="AU143" s="761">
        <v>177.51</v>
      </c>
      <c r="AV143" s="237">
        <v>138.61000000000001</v>
      </c>
      <c r="AW143" s="237">
        <v>135.04</v>
      </c>
    </row>
    <row r="144" spans="1:49" ht="22.5">
      <c r="A144" s="2">
        <v>238.71</v>
      </c>
      <c r="B144" s="59">
        <v>243.81</v>
      </c>
      <c r="C144" s="3">
        <v>248.9</v>
      </c>
      <c r="D144" s="3">
        <v>254</v>
      </c>
      <c r="E144" s="59">
        <v>259.10000000000002</v>
      </c>
      <c r="F144" s="59">
        <v>264.19</v>
      </c>
      <c r="G144" s="59">
        <v>269.29000000000002</v>
      </c>
      <c r="H144" s="974">
        <v>345.41</v>
      </c>
      <c r="I144" s="237">
        <v>279.48</v>
      </c>
      <c r="J144" s="237">
        <v>284.58</v>
      </c>
      <c r="K144" s="237">
        <v>289.67</v>
      </c>
      <c r="L144" s="237">
        <v>294.77</v>
      </c>
      <c r="M144" s="237">
        <v>299.86</v>
      </c>
      <c r="N144" s="237">
        <v>304.95999999999998</v>
      </c>
      <c r="O144" s="237">
        <v>310.06</v>
      </c>
      <c r="P144" s="237">
        <v>315.14999999999998</v>
      </c>
      <c r="Q144" s="237">
        <v>320.25</v>
      </c>
      <c r="R144" s="237">
        <v>325.33999999999997</v>
      </c>
      <c r="S144" s="237">
        <v>233.62</v>
      </c>
      <c r="T144" s="237">
        <v>228.52</v>
      </c>
      <c r="U144" s="237">
        <v>223.42</v>
      </c>
      <c r="V144" s="237">
        <v>218.33</v>
      </c>
      <c r="W144" s="237">
        <v>213.23</v>
      </c>
      <c r="X144" s="51">
        <v>140</v>
      </c>
      <c r="Y144" s="761">
        <v>182.35</v>
      </c>
      <c r="Z144" s="761">
        <v>185.95</v>
      </c>
      <c r="AA144" s="730">
        <v>189.55</v>
      </c>
      <c r="AB144" s="742">
        <v>193.14</v>
      </c>
      <c r="AC144" s="747">
        <v>196.74</v>
      </c>
      <c r="AD144" s="739">
        <v>200.34</v>
      </c>
      <c r="AE144" s="742">
        <v>203.94</v>
      </c>
      <c r="AF144" s="742">
        <v>207.48</v>
      </c>
      <c r="AG144" s="783">
        <v>211.13</v>
      </c>
      <c r="AH144" s="787">
        <v>214.73</v>
      </c>
      <c r="AI144" s="237">
        <v>182.76</v>
      </c>
      <c r="AJ144" s="237">
        <v>186.36</v>
      </c>
      <c r="AK144" s="237">
        <v>189.96</v>
      </c>
      <c r="AL144" s="237">
        <v>193.56</v>
      </c>
      <c r="AM144" s="237">
        <v>197.16</v>
      </c>
      <c r="AN144" s="237">
        <v>200.75</v>
      </c>
      <c r="AO144" s="237">
        <v>204.35</v>
      </c>
      <c r="AP144" s="237">
        <v>207.95</v>
      </c>
      <c r="AQ144" s="237">
        <v>211.55</v>
      </c>
      <c r="AR144" s="237">
        <v>215.15</v>
      </c>
      <c r="AS144" s="237">
        <v>150.38</v>
      </c>
      <c r="AT144" s="237">
        <v>146.77799999999999</v>
      </c>
      <c r="AU144" s="761">
        <v>178.75</v>
      </c>
      <c r="AV144" s="237">
        <v>139.59</v>
      </c>
      <c r="AW144" s="237">
        <v>135.99</v>
      </c>
    </row>
    <row r="145" spans="1:49" ht="22.5">
      <c r="A145" s="2">
        <v>240.35</v>
      </c>
      <c r="B145" s="59">
        <v>245.48</v>
      </c>
      <c r="C145" s="3">
        <v>250.61</v>
      </c>
      <c r="D145" s="3">
        <v>255.74</v>
      </c>
      <c r="E145" s="59">
        <v>260.88</v>
      </c>
      <c r="F145" s="59">
        <v>266.01</v>
      </c>
      <c r="G145" s="59">
        <v>271.14</v>
      </c>
      <c r="H145" s="974">
        <v>347.75</v>
      </c>
      <c r="I145" s="237">
        <v>281.41000000000003</v>
      </c>
      <c r="J145" s="237">
        <v>286.54000000000002</v>
      </c>
      <c r="K145" s="237">
        <v>291.67</v>
      </c>
      <c r="L145" s="237">
        <v>296.8</v>
      </c>
      <c r="M145" s="237">
        <v>301.94</v>
      </c>
      <c r="N145" s="237">
        <v>307.07</v>
      </c>
      <c r="O145" s="237">
        <v>312.2</v>
      </c>
      <c r="P145" s="237">
        <v>317.33</v>
      </c>
      <c r="Q145" s="237">
        <v>322.47000000000003</v>
      </c>
      <c r="R145" s="237">
        <v>327.60000000000002</v>
      </c>
      <c r="S145" s="237">
        <v>235.21</v>
      </c>
      <c r="T145" s="237">
        <v>230.08</v>
      </c>
      <c r="U145" s="237">
        <v>224.95</v>
      </c>
      <c r="V145" s="237">
        <v>219.82</v>
      </c>
      <c r="W145" s="237">
        <v>214.69</v>
      </c>
      <c r="X145" s="51">
        <v>141</v>
      </c>
      <c r="Y145" s="761">
        <v>183.71</v>
      </c>
      <c r="Z145" s="761">
        <v>187.33</v>
      </c>
      <c r="AA145" s="730">
        <v>190.96</v>
      </c>
      <c r="AB145" s="742">
        <v>194.58</v>
      </c>
      <c r="AC145" s="747">
        <v>198.2</v>
      </c>
      <c r="AD145" s="739">
        <v>201.83</v>
      </c>
      <c r="AE145" s="742">
        <v>205.45</v>
      </c>
      <c r="AF145" s="742">
        <v>209.08</v>
      </c>
      <c r="AG145" s="783">
        <v>212.7</v>
      </c>
      <c r="AH145" s="787">
        <v>216.32</v>
      </c>
      <c r="AI145" s="237">
        <v>184.11</v>
      </c>
      <c r="AJ145" s="237">
        <v>187.73</v>
      </c>
      <c r="AK145" s="237">
        <v>191.35</v>
      </c>
      <c r="AL145" s="237">
        <v>194.98</v>
      </c>
      <c r="AM145" s="237">
        <v>198.6</v>
      </c>
      <c r="AN145" s="237">
        <v>202.22</v>
      </c>
      <c r="AO145" s="237">
        <v>205.85</v>
      </c>
      <c r="AP145" s="237">
        <v>209.47</v>
      </c>
      <c r="AQ145" s="237">
        <v>213.09</v>
      </c>
      <c r="AR145" s="237">
        <v>216.72</v>
      </c>
      <c r="AS145" s="237">
        <v>151.49</v>
      </c>
      <c r="AT145" s="237">
        <v>147.87</v>
      </c>
      <c r="AU145" s="761">
        <v>180.09</v>
      </c>
      <c r="AV145" s="237">
        <v>140.62</v>
      </c>
      <c r="AW145" s="237">
        <v>137</v>
      </c>
    </row>
    <row r="146" spans="1:49" ht="22.5">
      <c r="A146" s="2">
        <v>242.18</v>
      </c>
      <c r="B146" s="59">
        <v>247.35</v>
      </c>
      <c r="C146" s="3">
        <v>252.52</v>
      </c>
      <c r="D146" s="3">
        <v>257.69</v>
      </c>
      <c r="E146" s="59">
        <v>262.86</v>
      </c>
      <c r="F146" s="59">
        <v>268.02</v>
      </c>
      <c r="G146" s="59">
        <v>273.19</v>
      </c>
      <c r="H146" s="974">
        <v>350.44</v>
      </c>
      <c r="I146" s="237">
        <v>283.52999999999997</v>
      </c>
      <c r="J146" s="237">
        <v>288.7</v>
      </c>
      <c r="K146" s="237">
        <v>293.87</v>
      </c>
      <c r="L146" s="237">
        <v>299.04000000000002</v>
      </c>
      <c r="M146" s="237">
        <v>304.20999999999998</v>
      </c>
      <c r="N146" s="237">
        <v>309.38</v>
      </c>
      <c r="O146" s="237">
        <v>314.54000000000002</v>
      </c>
      <c r="P146" s="237">
        <v>319.70999999999998</v>
      </c>
      <c r="Q146" s="237">
        <v>324.88</v>
      </c>
      <c r="R146" s="237">
        <v>330.05</v>
      </c>
      <c r="S146" s="237">
        <v>237.01</v>
      </c>
      <c r="T146" s="237">
        <v>231.84</v>
      </c>
      <c r="U146" s="237">
        <v>226.67</v>
      </c>
      <c r="V146" s="237">
        <v>221.51</v>
      </c>
      <c r="W146" s="237">
        <v>216.34</v>
      </c>
      <c r="X146" s="51">
        <v>142</v>
      </c>
      <c r="Y146" s="761">
        <v>184.98</v>
      </c>
      <c r="Z146" s="761">
        <v>188.63</v>
      </c>
      <c r="AA146" s="730">
        <v>192.28</v>
      </c>
      <c r="AB146" s="742">
        <v>195.93</v>
      </c>
      <c r="AC146" s="747">
        <v>199.58</v>
      </c>
      <c r="AD146" s="739">
        <f>AD145+1.4</f>
        <v>203.23000000000002</v>
      </c>
      <c r="AE146" s="742">
        <v>206.88</v>
      </c>
      <c r="AF146" s="742">
        <v>210.53</v>
      </c>
      <c r="AG146" s="783">
        <v>214.18</v>
      </c>
      <c r="AH146" s="787">
        <v>217.83</v>
      </c>
      <c r="AI146" s="237">
        <v>185.39</v>
      </c>
      <c r="AJ146" s="237">
        <v>189.04</v>
      </c>
      <c r="AK146" s="237">
        <v>192.69</v>
      </c>
      <c r="AL146" s="237">
        <v>196.34</v>
      </c>
      <c r="AM146" s="237">
        <v>199.99</v>
      </c>
      <c r="AN146" s="237">
        <v>203.64</v>
      </c>
      <c r="AO146" s="237">
        <v>207.29</v>
      </c>
      <c r="AP146" s="237">
        <v>210.94</v>
      </c>
      <c r="AQ146" s="237">
        <v>214.59</v>
      </c>
      <c r="AR146" s="237">
        <v>218.24</v>
      </c>
      <c r="AS146" s="237">
        <v>152.55000000000001</v>
      </c>
      <c r="AT146" s="237">
        <v>148.9</v>
      </c>
      <c r="AU146" s="761">
        <v>181.33</v>
      </c>
      <c r="AV146" s="237">
        <v>141.6</v>
      </c>
      <c r="AW146" s="237">
        <v>137.94999999999999</v>
      </c>
    </row>
    <row r="147" spans="1:49" ht="22.5">
      <c r="A147" s="2">
        <v>243.82</v>
      </c>
      <c r="B147" s="59">
        <v>249.03</v>
      </c>
      <c r="C147" s="3">
        <v>254.23</v>
      </c>
      <c r="D147" s="3">
        <v>259.44</v>
      </c>
      <c r="E147" s="59">
        <v>264.64</v>
      </c>
      <c r="F147" s="59">
        <v>269.85000000000002</v>
      </c>
      <c r="G147" s="59">
        <v>275.05</v>
      </c>
      <c r="H147" s="974">
        <v>352.8</v>
      </c>
      <c r="I147" s="237">
        <v>285.45999999999998</v>
      </c>
      <c r="J147" s="237">
        <v>290.67</v>
      </c>
      <c r="K147" s="237">
        <v>295.87</v>
      </c>
      <c r="L147" s="237">
        <v>301.08</v>
      </c>
      <c r="M147" s="237">
        <v>306.27999999999997</v>
      </c>
      <c r="N147" s="237">
        <v>311.49</v>
      </c>
      <c r="O147" s="237">
        <v>316.69</v>
      </c>
      <c r="P147" s="237">
        <v>321.89999999999998</v>
      </c>
      <c r="Q147" s="237">
        <v>327.11</v>
      </c>
      <c r="R147" s="237">
        <v>332.31</v>
      </c>
      <c r="S147" s="237">
        <v>238.62</v>
      </c>
      <c r="T147" s="237">
        <v>233.41</v>
      </c>
      <c r="U147" s="237">
        <v>228.21</v>
      </c>
      <c r="V147" s="237">
        <v>223</v>
      </c>
      <c r="W147" s="237">
        <v>217.8</v>
      </c>
      <c r="X147" s="51">
        <v>143</v>
      </c>
      <c r="Y147" s="761">
        <v>186.26</v>
      </c>
      <c r="Z147" s="761">
        <v>189.93</v>
      </c>
      <c r="AA147" s="730">
        <v>193.61</v>
      </c>
      <c r="AB147" s="742">
        <v>197.28</v>
      </c>
      <c r="AC147" s="747">
        <v>200.96</v>
      </c>
      <c r="AD147" s="739">
        <f>AD146+1.41</f>
        <v>204.64000000000001</v>
      </c>
      <c r="AE147" s="742">
        <v>208.31</v>
      </c>
      <c r="AF147" s="742">
        <v>211.99</v>
      </c>
      <c r="AG147" s="783">
        <v>215.66</v>
      </c>
      <c r="AH147" s="787">
        <v>219.34</v>
      </c>
      <c r="AI147" s="237">
        <v>186.68</v>
      </c>
      <c r="AJ147" s="237">
        <v>190.36</v>
      </c>
      <c r="AK147" s="237">
        <v>194.03</v>
      </c>
      <c r="AL147" s="237">
        <v>197.71</v>
      </c>
      <c r="AM147" s="237">
        <v>201.38</v>
      </c>
      <c r="AN147" s="237">
        <v>205.06</v>
      </c>
      <c r="AO147" s="237">
        <v>208.73</v>
      </c>
      <c r="AP147" s="237">
        <v>212.41</v>
      </c>
      <c r="AQ147" s="237">
        <v>216.08</v>
      </c>
      <c r="AR147" s="237">
        <v>219.76</v>
      </c>
      <c r="AS147" s="237">
        <v>153.61000000000001</v>
      </c>
      <c r="AT147" s="237">
        <v>149.93</v>
      </c>
      <c r="AU147" s="761">
        <v>182.58</v>
      </c>
      <c r="AV147" s="237">
        <v>142.58000000000001</v>
      </c>
      <c r="AW147" s="237">
        <v>138.91</v>
      </c>
    </row>
    <row r="148" spans="1:49" ht="22.5">
      <c r="A148" s="2">
        <v>245.47</v>
      </c>
      <c r="B148" s="59">
        <v>250.71</v>
      </c>
      <c r="C148" s="3">
        <v>255.95</v>
      </c>
      <c r="D148" s="3">
        <v>261.19</v>
      </c>
      <c r="E148" s="59">
        <v>266.43</v>
      </c>
      <c r="F148" s="59">
        <v>271.67</v>
      </c>
      <c r="G148" s="59">
        <v>276.91000000000003</v>
      </c>
      <c r="H148" s="974">
        <v>355.16</v>
      </c>
      <c r="I148" s="237">
        <v>287.39999999999998</v>
      </c>
      <c r="J148" s="237">
        <v>292.64</v>
      </c>
      <c r="K148" s="237">
        <v>297.88</v>
      </c>
      <c r="L148" s="237">
        <v>303.12</v>
      </c>
      <c r="M148" s="237">
        <v>308.36</v>
      </c>
      <c r="N148" s="237">
        <v>313.61</v>
      </c>
      <c r="O148" s="237">
        <v>318.85000000000002</v>
      </c>
      <c r="P148" s="237">
        <v>324.08999999999997</v>
      </c>
      <c r="Q148" s="237">
        <v>329.33</v>
      </c>
      <c r="R148" s="237">
        <v>334.57</v>
      </c>
      <c r="S148" s="237">
        <v>240.22</v>
      </c>
      <c r="T148" s="237">
        <v>234.98</v>
      </c>
      <c r="U148" s="237">
        <v>229.74</v>
      </c>
      <c r="V148" s="237">
        <v>224.5</v>
      </c>
      <c r="W148" s="237">
        <v>219.26</v>
      </c>
      <c r="X148" s="51">
        <v>144</v>
      </c>
      <c r="Y148" s="761">
        <v>187.63</v>
      </c>
      <c r="Z148" s="761">
        <v>191.33</v>
      </c>
      <c r="AA148" s="730">
        <v>195.03</v>
      </c>
      <c r="AB148" s="742">
        <v>198.73</v>
      </c>
      <c r="AC148" s="747">
        <v>202.43</v>
      </c>
      <c r="AD148" s="739">
        <v>206.13</v>
      </c>
      <c r="AE148" s="742">
        <v>209.83</v>
      </c>
      <c r="AF148" s="742">
        <v>213.53</v>
      </c>
      <c r="AG148" s="783">
        <v>217.23</v>
      </c>
      <c r="AH148" s="787">
        <v>220.94</v>
      </c>
      <c r="AI148" s="237">
        <v>188.03</v>
      </c>
      <c r="AJ148" s="237">
        <v>191.73</v>
      </c>
      <c r="AK148" s="237">
        <v>195.43</v>
      </c>
      <c r="AL148" s="237">
        <v>199.13</v>
      </c>
      <c r="AM148" s="237">
        <v>202.83</v>
      </c>
      <c r="AN148" s="237">
        <v>206.53</v>
      </c>
      <c r="AO148" s="237">
        <v>210.23</v>
      </c>
      <c r="AP148" s="237">
        <v>213.93</v>
      </c>
      <c r="AQ148" s="237">
        <v>217.63</v>
      </c>
      <c r="AR148" s="237">
        <v>221.34</v>
      </c>
      <c r="AS148" s="237">
        <v>154.72</v>
      </c>
      <c r="AT148" s="237">
        <v>151.02000000000001</v>
      </c>
      <c r="AU148" s="761">
        <v>183.93</v>
      </c>
      <c r="AV148" s="237">
        <v>143.62</v>
      </c>
      <c r="AW148" s="237">
        <v>139.91999999999999</v>
      </c>
    </row>
    <row r="149" spans="1:49" ht="22.5">
      <c r="A149" s="2">
        <v>247.32</v>
      </c>
      <c r="B149" s="59">
        <v>252.59</v>
      </c>
      <c r="C149" s="3">
        <v>257.87</v>
      </c>
      <c r="D149" s="3">
        <v>263.14999999999998</v>
      </c>
      <c r="E149" s="59">
        <v>268.43</v>
      </c>
      <c r="F149" s="59">
        <v>273.70999999999998</v>
      </c>
      <c r="G149" s="59">
        <v>278.98</v>
      </c>
      <c r="H149" s="974">
        <v>357.88</v>
      </c>
      <c r="I149" s="237">
        <v>289.54000000000002</v>
      </c>
      <c r="J149" s="237">
        <v>294.82</v>
      </c>
      <c r="K149" s="237">
        <v>300.10000000000002</v>
      </c>
      <c r="L149" s="237">
        <v>305.37</v>
      </c>
      <c r="M149" s="237">
        <v>310.64999999999998</v>
      </c>
      <c r="N149" s="237">
        <v>315.93</v>
      </c>
      <c r="O149" s="237">
        <v>321.20999999999998</v>
      </c>
      <c r="P149" s="237">
        <v>326.49</v>
      </c>
      <c r="Q149" s="237">
        <v>331.76</v>
      </c>
      <c r="R149" s="237">
        <v>337.04</v>
      </c>
      <c r="S149" s="237">
        <v>242.04</v>
      </c>
      <c r="T149" s="237">
        <v>236.76</v>
      </c>
      <c r="U149" s="237">
        <v>231.48</v>
      </c>
      <c r="V149" s="237">
        <v>226.2</v>
      </c>
      <c r="W149" s="237">
        <v>220.93</v>
      </c>
      <c r="X149" s="51">
        <v>145</v>
      </c>
      <c r="Y149" s="761">
        <v>188.91</v>
      </c>
      <c r="Z149" s="761">
        <v>192.36</v>
      </c>
      <c r="AA149" s="730">
        <v>196.36</v>
      </c>
      <c r="AB149" s="742">
        <v>200.09</v>
      </c>
      <c r="AC149" s="747">
        <v>203.81</v>
      </c>
      <c r="AD149" s="739">
        <f>AD148+1.41</f>
        <v>207.54</v>
      </c>
      <c r="AE149" s="742">
        <v>211.27</v>
      </c>
      <c r="AF149" s="742">
        <v>214.99</v>
      </c>
      <c r="AG149" s="783">
        <v>218.72</v>
      </c>
      <c r="AH149" s="787">
        <v>222.45</v>
      </c>
      <c r="AI149" s="237">
        <v>189.32</v>
      </c>
      <c r="AJ149" s="237">
        <v>193.05</v>
      </c>
      <c r="AK149" s="237">
        <v>196.77</v>
      </c>
      <c r="AL149" s="237">
        <v>200.05</v>
      </c>
      <c r="AM149" s="237">
        <v>204.22</v>
      </c>
      <c r="AN149" s="237">
        <v>207.95</v>
      </c>
      <c r="AO149" s="237">
        <v>210.68</v>
      </c>
      <c r="AP149" s="237">
        <v>215.4</v>
      </c>
      <c r="AQ149" s="237">
        <v>219.13</v>
      </c>
      <c r="AR149" s="237">
        <v>222.86</v>
      </c>
      <c r="AS149" s="237">
        <v>155.78</v>
      </c>
      <c r="AT149" s="237">
        <v>152.05000000000001</v>
      </c>
      <c r="AU149" s="761">
        <v>185.18</v>
      </c>
      <c r="AV149" s="237">
        <v>144.6</v>
      </c>
      <c r="AW149" s="237">
        <v>140.87</v>
      </c>
    </row>
    <row r="150" spans="1:49" ht="22.5">
      <c r="A150" s="2">
        <v>248.97</v>
      </c>
      <c r="B150" s="59">
        <v>254.28</v>
      </c>
      <c r="C150" s="3">
        <v>259.58999999999997</v>
      </c>
      <c r="D150" s="3">
        <v>264.91000000000003</v>
      </c>
      <c r="E150" s="59">
        <v>270.22000000000003</v>
      </c>
      <c r="F150" s="59">
        <v>275.54000000000002</v>
      </c>
      <c r="G150" s="59">
        <v>280.85000000000002</v>
      </c>
      <c r="H150" s="974">
        <v>360.25</v>
      </c>
      <c r="I150" s="237">
        <v>291.48</v>
      </c>
      <c r="J150" s="237">
        <v>296.8</v>
      </c>
      <c r="K150" s="237">
        <v>302.11</v>
      </c>
      <c r="L150" s="237">
        <v>307.42</v>
      </c>
      <c r="M150" s="237">
        <v>312.74</v>
      </c>
      <c r="N150" s="237">
        <v>318.05</v>
      </c>
      <c r="O150" s="237">
        <v>323.37</v>
      </c>
      <c r="P150" s="237">
        <v>328.68</v>
      </c>
      <c r="Q150" s="237">
        <v>334</v>
      </c>
      <c r="R150" s="237">
        <v>339.31</v>
      </c>
      <c r="S150" s="237">
        <v>243.65</v>
      </c>
      <c r="T150" s="237">
        <v>238.34</v>
      </c>
      <c r="U150" s="237">
        <v>233.02</v>
      </c>
      <c r="V150" s="237">
        <v>227.71</v>
      </c>
      <c r="W150" s="237">
        <v>222.39</v>
      </c>
      <c r="X150" s="51">
        <v>146</v>
      </c>
      <c r="Y150" s="761">
        <v>190.19</v>
      </c>
      <c r="Z150" s="761">
        <v>193.94</v>
      </c>
      <c r="AA150" s="730">
        <v>197.69</v>
      </c>
      <c r="AB150" s="742">
        <v>201.44</v>
      </c>
      <c r="AC150" s="747">
        <v>205.19</v>
      </c>
      <c r="AD150" s="739">
        <f>AD149+1.41</f>
        <v>208.95</v>
      </c>
      <c r="AE150" s="742">
        <v>212.7</v>
      </c>
      <c r="AF150" s="742">
        <v>216.45</v>
      </c>
      <c r="AG150" s="783">
        <v>220.2</v>
      </c>
      <c r="AH150" s="787">
        <v>223.96</v>
      </c>
      <c r="AI150" s="237">
        <v>190.61</v>
      </c>
      <c r="AJ150" s="237">
        <v>194.36</v>
      </c>
      <c r="AK150" s="237">
        <v>198.11</v>
      </c>
      <c r="AL150" s="237">
        <v>201.87</v>
      </c>
      <c r="AM150" s="237">
        <v>205.62</v>
      </c>
      <c r="AN150" s="237">
        <v>209.37</v>
      </c>
      <c r="AO150" s="237">
        <v>213.12</v>
      </c>
      <c r="AP150" s="237">
        <v>216.88</v>
      </c>
      <c r="AQ150" s="237">
        <v>220.63</v>
      </c>
      <c r="AR150" s="237">
        <v>224.38</v>
      </c>
      <c r="AS150" s="237">
        <v>156.84</v>
      </c>
      <c r="AT150" s="237">
        <v>153.09</v>
      </c>
      <c r="AU150" s="761">
        <v>186.43</v>
      </c>
      <c r="AV150" s="237">
        <v>145.58000000000001</v>
      </c>
      <c r="AW150" s="237">
        <v>141.83000000000001</v>
      </c>
    </row>
    <row r="151" spans="1:49" ht="22.5">
      <c r="A151" s="2">
        <v>250.62</v>
      </c>
      <c r="B151" s="59">
        <v>255.97</v>
      </c>
      <c r="C151" s="3">
        <v>261.32</v>
      </c>
      <c r="D151" s="3">
        <v>266.67</v>
      </c>
      <c r="E151" s="59">
        <v>272.02</v>
      </c>
      <c r="F151" s="59">
        <v>277.37</v>
      </c>
      <c r="G151" s="59">
        <v>282.72000000000003</v>
      </c>
      <c r="H151" s="974">
        <v>362.63</v>
      </c>
      <c r="I151" s="237">
        <v>293.42</v>
      </c>
      <c r="J151" s="237">
        <v>298.77</v>
      </c>
      <c r="K151" s="237">
        <v>304.13</v>
      </c>
      <c r="L151" s="237">
        <v>309.48</v>
      </c>
      <c r="M151" s="237">
        <v>314.83</v>
      </c>
      <c r="N151" s="237">
        <v>320.18</v>
      </c>
      <c r="O151" s="237">
        <v>325.52999999999997</v>
      </c>
      <c r="P151" s="237">
        <v>330.88</v>
      </c>
      <c r="Q151" s="237">
        <v>336.23</v>
      </c>
      <c r="R151" s="237">
        <v>341.58</v>
      </c>
      <c r="S151" s="237">
        <v>245.27</v>
      </c>
      <c r="T151" s="237">
        <v>239.92</v>
      </c>
      <c r="U151" s="237">
        <v>234.57</v>
      </c>
      <c r="V151" s="237">
        <v>229.21</v>
      </c>
      <c r="W151" s="237">
        <v>223.86</v>
      </c>
      <c r="X151" s="51">
        <v>147</v>
      </c>
      <c r="Y151" s="761">
        <v>191.47</v>
      </c>
      <c r="Z151" s="761">
        <v>195.24</v>
      </c>
      <c r="AA151" s="730">
        <v>199.02</v>
      </c>
      <c r="AB151" s="742">
        <v>202.8</v>
      </c>
      <c r="AC151" s="747">
        <v>206.58</v>
      </c>
      <c r="AD151" s="739">
        <f>AD150+1.41</f>
        <v>210.35999999999999</v>
      </c>
      <c r="AE151" s="742">
        <v>214.13</v>
      </c>
      <c r="AF151" s="742">
        <v>217.91</v>
      </c>
      <c r="AG151" s="783">
        <v>221.69</v>
      </c>
      <c r="AH151" s="787">
        <v>225.47</v>
      </c>
      <c r="AI151" s="237">
        <v>191.9</v>
      </c>
      <c r="AJ151" s="237">
        <v>195.68</v>
      </c>
      <c r="AK151" s="237">
        <v>199.46</v>
      </c>
      <c r="AL151" s="237">
        <v>203.24</v>
      </c>
      <c r="AM151" s="237">
        <v>207.01</v>
      </c>
      <c r="AN151" s="237">
        <v>210.79</v>
      </c>
      <c r="AO151" s="237">
        <v>214.57</v>
      </c>
      <c r="AP151" s="237">
        <v>218.35</v>
      </c>
      <c r="AQ151" s="237">
        <v>222.12</v>
      </c>
      <c r="AR151" s="237">
        <v>225.9</v>
      </c>
      <c r="AS151" s="237">
        <v>157.9</v>
      </c>
      <c r="AT151" s="237">
        <v>154.12</v>
      </c>
      <c r="AU151" s="761">
        <v>187.69</v>
      </c>
      <c r="AV151" s="237">
        <v>146.57</v>
      </c>
      <c r="AW151" s="237">
        <v>142.79</v>
      </c>
    </row>
    <row r="152" spans="1:49" ht="22.5">
      <c r="A152" s="2">
        <v>252.27</v>
      </c>
      <c r="B152" s="59">
        <v>257.66000000000003</v>
      </c>
      <c r="C152" s="3">
        <v>263.05</v>
      </c>
      <c r="D152" s="3">
        <v>268.43</v>
      </c>
      <c r="E152" s="59">
        <v>273.82</v>
      </c>
      <c r="F152" s="59">
        <v>279.20999999999998</v>
      </c>
      <c r="G152" s="59">
        <v>284.60000000000002</v>
      </c>
      <c r="H152" s="974">
        <v>365.01</v>
      </c>
      <c r="I152" s="237">
        <v>295.37</v>
      </c>
      <c r="J152" s="237">
        <v>300.76</v>
      </c>
      <c r="K152" s="237">
        <v>306.14</v>
      </c>
      <c r="L152" s="237">
        <v>311.52999999999997</v>
      </c>
      <c r="M152" s="237">
        <v>316.92</v>
      </c>
      <c r="N152" s="237">
        <v>322.31</v>
      </c>
      <c r="O152" s="237">
        <v>327.69</v>
      </c>
      <c r="P152" s="237">
        <v>333.08</v>
      </c>
      <c r="Q152" s="237">
        <v>338.47</v>
      </c>
      <c r="R152" s="237">
        <v>343.85</v>
      </c>
      <c r="S152" s="237">
        <v>246.88</v>
      </c>
      <c r="T152" s="237">
        <v>241.5</v>
      </c>
      <c r="U152" s="237">
        <v>236.11</v>
      </c>
      <c r="V152" s="237">
        <v>230.72</v>
      </c>
      <c r="W152" s="237">
        <v>225.34</v>
      </c>
      <c r="X152" s="51">
        <v>148</v>
      </c>
      <c r="Y152" s="761">
        <v>192.75</v>
      </c>
      <c r="Z152" s="761">
        <v>196.55</v>
      </c>
      <c r="AA152" s="730">
        <v>200.36</v>
      </c>
      <c r="AB152" s="742">
        <v>204.16</v>
      </c>
      <c r="AC152" s="747">
        <v>207.96</v>
      </c>
      <c r="AD152" s="739">
        <f>AD151+1.41</f>
        <v>211.76999999999998</v>
      </c>
      <c r="AE152" s="742">
        <v>215.57</v>
      </c>
      <c r="AF152" s="742">
        <v>219.37</v>
      </c>
      <c r="AG152" s="783">
        <v>223.18</v>
      </c>
      <c r="AH152" s="787">
        <v>226.96</v>
      </c>
      <c r="AI152" s="237">
        <v>193.19</v>
      </c>
      <c r="AJ152" s="237">
        <v>197</v>
      </c>
      <c r="AK152" s="237">
        <v>200.8</v>
      </c>
      <c r="AL152" s="237">
        <v>204.6</v>
      </c>
      <c r="AM152" s="237">
        <v>208.41</v>
      </c>
      <c r="AN152" s="237">
        <v>212.21</v>
      </c>
      <c r="AO152" s="237">
        <v>216.02</v>
      </c>
      <c r="AP152" s="237">
        <v>219.82</v>
      </c>
      <c r="AQ152" s="237">
        <v>223.62</v>
      </c>
      <c r="AR152" s="237">
        <v>227.43</v>
      </c>
      <c r="AS152" s="237">
        <v>158.96</v>
      </c>
      <c r="AT152" s="237">
        <v>155.16</v>
      </c>
      <c r="AU152" s="761">
        <v>188.94</v>
      </c>
      <c r="AV152" s="237">
        <v>147.55000000000001</v>
      </c>
      <c r="AW152" s="237">
        <v>143.75</v>
      </c>
    </row>
    <row r="153" spans="1:49" ht="22.5">
      <c r="A153" s="2">
        <v>253.93</v>
      </c>
      <c r="B153" s="59">
        <v>259.35000000000002</v>
      </c>
      <c r="C153" s="3">
        <v>264.77999999999997</v>
      </c>
      <c r="D153" s="3">
        <v>270.2</v>
      </c>
      <c r="E153" s="59">
        <v>275.62</v>
      </c>
      <c r="F153" s="59">
        <v>281.05</v>
      </c>
      <c r="G153" s="59">
        <v>286.47000000000003</v>
      </c>
      <c r="H153" s="974">
        <v>367.39</v>
      </c>
      <c r="I153" s="237">
        <v>297.32</v>
      </c>
      <c r="J153" s="237">
        <v>302.74</v>
      </c>
      <c r="K153" s="237">
        <v>308.16000000000003</v>
      </c>
      <c r="L153" s="237">
        <v>313.58999999999997</v>
      </c>
      <c r="M153" s="237">
        <v>319.01</v>
      </c>
      <c r="N153" s="237">
        <v>324.44</v>
      </c>
      <c r="O153" s="237">
        <v>329.86</v>
      </c>
      <c r="P153" s="237">
        <v>335.28</v>
      </c>
      <c r="Q153" s="237">
        <v>340.71</v>
      </c>
      <c r="R153" s="237">
        <v>346.13</v>
      </c>
      <c r="S153" s="237">
        <v>248.51</v>
      </c>
      <c r="T153" s="237">
        <v>243.08</v>
      </c>
      <c r="U153" s="237">
        <v>237.66</v>
      </c>
      <c r="V153" s="237">
        <v>232.23</v>
      </c>
      <c r="W153" s="237">
        <v>226.81</v>
      </c>
      <c r="X153" s="51">
        <v>149</v>
      </c>
      <c r="Y153" s="761">
        <v>194.13</v>
      </c>
      <c r="Z153" s="761">
        <v>197.96</v>
      </c>
      <c r="AA153" s="730">
        <v>201.79</v>
      </c>
      <c r="AB153" s="742">
        <v>205.62</v>
      </c>
      <c r="AC153" s="747">
        <v>209.45</v>
      </c>
      <c r="AD153" s="739">
        <v>213.28</v>
      </c>
      <c r="AE153" s="742">
        <v>217.11</v>
      </c>
      <c r="AF153" s="742">
        <v>220.93</v>
      </c>
      <c r="AG153" s="783">
        <v>224.76</v>
      </c>
      <c r="AH153" s="787">
        <v>228.59</v>
      </c>
      <c r="AI153" s="237">
        <v>194.55</v>
      </c>
      <c r="AJ153" s="237">
        <v>198.38</v>
      </c>
      <c r="AK153" s="237">
        <v>202.21</v>
      </c>
      <c r="AL153" s="237">
        <v>206.04</v>
      </c>
      <c r="AM153" s="237">
        <v>209.87</v>
      </c>
      <c r="AN153" s="237">
        <v>213.69</v>
      </c>
      <c r="AO153" s="237">
        <v>217.52</v>
      </c>
      <c r="AP153" s="237">
        <v>221.35</v>
      </c>
      <c r="AQ153" s="237">
        <v>225.18</v>
      </c>
      <c r="AR153" s="237">
        <v>229.01</v>
      </c>
      <c r="AS153" s="237">
        <v>160.08000000000001</v>
      </c>
      <c r="AT153" s="237">
        <v>156.26</v>
      </c>
      <c r="AU153" s="761">
        <v>190.3</v>
      </c>
      <c r="AV153" s="237">
        <v>148.6</v>
      </c>
      <c r="AW153" s="237">
        <v>144.77000000000001</v>
      </c>
    </row>
    <row r="154" spans="1:49" ht="22.5">
      <c r="A154" s="2">
        <v>255.81</v>
      </c>
      <c r="B154" s="59">
        <v>261.27</v>
      </c>
      <c r="C154" s="3">
        <v>266.73</v>
      </c>
      <c r="D154" s="3">
        <v>272.19</v>
      </c>
      <c r="E154" s="59">
        <v>277.64999999999998</v>
      </c>
      <c r="F154" s="59">
        <v>283.11</v>
      </c>
      <c r="G154" s="59">
        <v>288.57</v>
      </c>
      <c r="H154" s="974">
        <v>370.15</v>
      </c>
      <c r="I154" s="237">
        <v>299.49</v>
      </c>
      <c r="J154" s="237">
        <v>304.95</v>
      </c>
      <c r="K154" s="237">
        <v>310.41000000000003</v>
      </c>
      <c r="L154" s="237">
        <v>315.87</v>
      </c>
      <c r="M154" s="237">
        <v>321.33</v>
      </c>
      <c r="N154" s="237">
        <v>326.79000000000002</v>
      </c>
      <c r="O154" s="237">
        <v>332.25</v>
      </c>
      <c r="P154" s="237">
        <v>337.71</v>
      </c>
      <c r="Q154" s="237">
        <v>343.17</v>
      </c>
      <c r="R154" s="237">
        <v>348.63</v>
      </c>
      <c r="S154" s="237">
        <v>250.35</v>
      </c>
      <c r="T154" s="237">
        <v>244.89</v>
      </c>
      <c r="U154" s="237">
        <v>239.43</v>
      </c>
      <c r="V154" s="237">
        <v>233.97</v>
      </c>
      <c r="W154" s="237">
        <v>228.51</v>
      </c>
      <c r="X154" s="51">
        <v>150</v>
      </c>
      <c r="Y154" s="761">
        <v>195.41</v>
      </c>
      <c r="Z154" s="761">
        <v>199.27</v>
      </c>
      <c r="AA154" s="730">
        <v>203.12</v>
      </c>
      <c r="AB154" s="742">
        <v>206.98</v>
      </c>
      <c r="AC154" s="747">
        <v>210.83</v>
      </c>
      <c r="AD154" s="739">
        <v>214.69</v>
      </c>
      <c r="AE154" s="742">
        <v>218.54</v>
      </c>
      <c r="AF154" s="742">
        <v>222.4</v>
      </c>
      <c r="AG154" s="783">
        <v>226.25</v>
      </c>
      <c r="AH154" s="787">
        <v>230.11</v>
      </c>
      <c r="AI154" s="237">
        <v>195.84</v>
      </c>
      <c r="AJ154" s="237">
        <v>199.7</v>
      </c>
      <c r="AK154" s="237">
        <v>203.55</v>
      </c>
      <c r="AL154" s="237">
        <v>207.41</v>
      </c>
      <c r="AM154" s="237">
        <v>211.26</v>
      </c>
      <c r="AN154" s="237">
        <v>215.12</v>
      </c>
      <c r="AO154" s="237">
        <v>218.97</v>
      </c>
      <c r="AP154" s="237">
        <v>222.83</v>
      </c>
      <c r="AQ154" s="237">
        <v>226.68</v>
      </c>
      <c r="AR154" s="237">
        <v>230.54</v>
      </c>
      <c r="AS154" s="237">
        <v>161.15</v>
      </c>
      <c r="AT154" s="237">
        <v>157.29</v>
      </c>
      <c r="AU154" s="761">
        <v>191.56</v>
      </c>
      <c r="AV154" s="237">
        <v>149.58000000000001</v>
      </c>
      <c r="AW154" s="237">
        <v>145.72999999999999</v>
      </c>
    </row>
    <row r="155" spans="1:49" ht="22.5">
      <c r="A155" s="2">
        <v>257.47000000000003</v>
      </c>
      <c r="B155" s="59">
        <v>262.97000000000003</v>
      </c>
      <c r="C155" s="3">
        <v>268.45999999999998</v>
      </c>
      <c r="D155" s="3">
        <v>273.95999999999998</v>
      </c>
      <c r="E155" s="59">
        <v>279.45999999999998</v>
      </c>
      <c r="F155" s="59">
        <v>284.95</v>
      </c>
      <c r="G155" s="59">
        <v>290.45</v>
      </c>
      <c r="H155" s="974">
        <v>372.55</v>
      </c>
      <c r="I155" s="237">
        <v>301.44</v>
      </c>
      <c r="J155" s="237">
        <v>306.94</v>
      </c>
      <c r="K155" s="237">
        <v>312.44</v>
      </c>
      <c r="L155" s="237">
        <v>317.93</v>
      </c>
      <c r="M155" s="237">
        <v>323.43</v>
      </c>
      <c r="N155" s="237">
        <v>328.92</v>
      </c>
      <c r="O155" s="237">
        <v>334.42</v>
      </c>
      <c r="P155" s="237">
        <v>339.92</v>
      </c>
      <c r="Q155" s="237">
        <v>345.41</v>
      </c>
      <c r="R155" s="237">
        <v>350.91</v>
      </c>
      <c r="S155" s="237">
        <v>251.97</v>
      </c>
      <c r="T155" s="237">
        <v>246.48</v>
      </c>
      <c r="U155" s="237">
        <v>240.98</v>
      </c>
      <c r="V155" s="237">
        <v>235.49</v>
      </c>
      <c r="W155" s="237">
        <v>229.99</v>
      </c>
      <c r="X155" s="51">
        <v>151</v>
      </c>
      <c r="Y155" s="761">
        <v>196.7</v>
      </c>
      <c r="Z155" s="761">
        <v>200.58</v>
      </c>
      <c r="AA155" s="730">
        <v>204.46</v>
      </c>
      <c r="AB155" s="742">
        <v>208.34</v>
      </c>
      <c r="AC155" s="747">
        <v>212.22</v>
      </c>
      <c r="AD155" s="739">
        <v>216.1</v>
      </c>
      <c r="AE155" s="742">
        <v>219.98</v>
      </c>
      <c r="AF155" s="742">
        <v>223.86</v>
      </c>
      <c r="AG155" s="783">
        <v>227.75</v>
      </c>
      <c r="AH155" s="787">
        <v>231.83</v>
      </c>
      <c r="AI155" s="237">
        <v>197.14</v>
      </c>
      <c r="AJ155" s="237">
        <v>201.02</v>
      </c>
      <c r="AK155" s="237">
        <v>204.9</v>
      </c>
      <c r="AL155" s="237">
        <v>208.78</v>
      </c>
      <c r="AM155" s="237">
        <v>212.66</v>
      </c>
      <c r="AN155" s="237">
        <v>216.54</v>
      </c>
      <c r="AO155" s="237">
        <v>220.42</v>
      </c>
      <c r="AP155" s="237">
        <v>224.3</v>
      </c>
      <c r="AQ155" s="237">
        <v>228.18</v>
      </c>
      <c r="AR155" s="237">
        <v>232.06</v>
      </c>
      <c r="AS155" s="237">
        <v>162.21</v>
      </c>
      <c r="AT155" s="237">
        <v>158.33000000000001</v>
      </c>
      <c r="AU155" s="761">
        <v>192.82</v>
      </c>
      <c r="AV155" s="237">
        <v>150.57</v>
      </c>
      <c r="AW155" s="237">
        <v>146.69</v>
      </c>
    </row>
    <row r="156" spans="1:49" ht="22.5">
      <c r="A156" s="2">
        <v>259.14</v>
      </c>
      <c r="B156" s="59">
        <v>264.67</v>
      </c>
      <c r="C156" s="3">
        <v>270.2</v>
      </c>
      <c r="D156" s="3">
        <v>275.74</v>
      </c>
      <c r="E156" s="59">
        <v>281.27</v>
      </c>
      <c r="F156" s="59">
        <v>286.8</v>
      </c>
      <c r="G156" s="59">
        <v>292.33</v>
      </c>
      <c r="H156" s="974">
        <v>374.95</v>
      </c>
      <c r="I156" s="237">
        <v>303.39999999999998</v>
      </c>
      <c r="J156" s="237">
        <v>308.93</v>
      </c>
      <c r="K156" s="237">
        <v>314.47000000000003</v>
      </c>
      <c r="L156" s="237">
        <v>320</v>
      </c>
      <c r="M156" s="237">
        <v>325.52999999999997</v>
      </c>
      <c r="N156" s="237">
        <v>331.06</v>
      </c>
      <c r="O156" s="237">
        <v>336.6</v>
      </c>
      <c r="P156" s="237">
        <v>342.13</v>
      </c>
      <c r="Q156" s="237">
        <v>347.66</v>
      </c>
      <c r="R156" s="237">
        <v>353.2</v>
      </c>
      <c r="S156" s="237">
        <v>253.6</v>
      </c>
      <c r="T156" s="237">
        <v>248.07</v>
      </c>
      <c r="U156" s="237">
        <v>242.54</v>
      </c>
      <c r="V156" s="237">
        <v>237.01</v>
      </c>
      <c r="W156" s="237">
        <v>231.47</v>
      </c>
      <c r="X156" s="51">
        <v>152</v>
      </c>
      <c r="Y156" s="761">
        <v>197.99</v>
      </c>
      <c r="Z156" s="761">
        <v>201.89</v>
      </c>
      <c r="AA156" s="730">
        <v>205.8</v>
      </c>
      <c r="AB156" s="742">
        <v>209.71</v>
      </c>
      <c r="AC156" s="747">
        <v>213.61</v>
      </c>
      <c r="AD156" s="739">
        <f>AD155+1.42</f>
        <v>217.51999999999998</v>
      </c>
      <c r="AE156" s="742">
        <v>221.43</v>
      </c>
      <c r="AF156" s="742">
        <v>225.33</v>
      </c>
      <c r="AG156" s="783">
        <v>229.24</v>
      </c>
      <c r="AH156" s="787">
        <v>233.11</v>
      </c>
      <c r="AI156" s="237">
        <v>198.43</v>
      </c>
      <c r="AJ156" s="237">
        <v>202.34</v>
      </c>
      <c r="AK156" s="237">
        <v>206.25</v>
      </c>
      <c r="AL156" s="237">
        <v>210.15</v>
      </c>
      <c r="AM156" s="237">
        <v>214.06</v>
      </c>
      <c r="AN156" s="237">
        <v>217.97</v>
      </c>
      <c r="AO156" s="237">
        <v>221.87</v>
      </c>
      <c r="AP156" s="237">
        <v>225.78</v>
      </c>
      <c r="AQ156" s="237">
        <v>229.68</v>
      </c>
      <c r="AR156" s="237">
        <v>233.59</v>
      </c>
      <c r="AS156" s="237">
        <v>163.28</v>
      </c>
      <c r="AT156" s="237">
        <v>159.37</v>
      </c>
      <c r="AU156" s="761">
        <v>194.08</v>
      </c>
      <c r="AV156" s="237">
        <v>151.56</v>
      </c>
      <c r="AW156" s="237">
        <v>147.65</v>
      </c>
    </row>
    <row r="157" spans="1:49" ht="22.5">
      <c r="A157" s="2">
        <v>260.81</v>
      </c>
      <c r="B157" s="59">
        <v>266.38</v>
      </c>
      <c r="C157" s="3">
        <v>271.94</v>
      </c>
      <c r="D157" s="3">
        <v>277.51</v>
      </c>
      <c r="E157" s="59">
        <v>283.08</v>
      </c>
      <c r="F157" s="59">
        <v>288.64999999999998</v>
      </c>
      <c r="G157" s="59">
        <v>294.22000000000003</v>
      </c>
      <c r="H157" s="974">
        <v>377.36</v>
      </c>
      <c r="I157" s="237">
        <v>305.36</v>
      </c>
      <c r="J157" s="237">
        <v>310.93</v>
      </c>
      <c r="K157" s="237">
        <v>316.5</v>
      </c>
      <c r="L157" s="237">
        <v>322.07</v>
      </c>
      <c r="M157" s="237">
        <v>327.64</v>
      </c>
      <c r="N157" s="237">
        <v>333.21</v>
      </c>
      <c r="O157" s="237">
        <v>338.78</v>
      </c>
      <c r="P157" s="237">
        <v>344.34</v>
      </c>
      <c r="Q157" s="237">
        <v>349.91</v>
      </c>
      <c r="R157" s="237">
        <v>355.48</v>
      </c>
      <c r="S157" s="237">
        <v>255.24</v>
      </c>
      <c r="T157" s="237">
        <v>249.67</v>
      </c>
      <c r="U157" s="237">
        <v>244.1</v>
      </c>
      <c r="V157" s="237">
        <v>238.53</v>
      </c>
      <c r="W157" s="237">
        <v>232.96</v>
      </c>
      <c r="X157" s="51">
        <v>153</v>
      </c>
      <c r="Y157" s="761">
        <v>199.28</v>
      </c>
      <c r="Z157" s="761">
        <v>203.21</v>
      </c>
      <c r="AA157" s="730">
        <v>207.14</v>
      </c>
      <c r="AB157" s="742">
        <v>211.07</v>
      </c>
      <c r="AC157" s="747">
        <v>215</v>
      </c>
      <c r="AD157" s="739">
        <f>AD156+1.42</f>
        <v>218.93999999999997</v>
      </c>
      <c r="AE157" s="742">
        <v>222.87</v>
      </c>
      <c r="AF157" s="742">
        <v>226.8</v>
      </c>
      <c r="AG157" s="783">
        <v>230.73</v>
      </c>
      <c r="AH157" s="787">
        <v>234.66</v>
      </c>
      <c r="AI157" s="237">
        <v>199.73</v>
      </c>
      <c r="AJ157" s="237">
        <v>203.66</v>
      </c>
      <c r="AK157" s="237">
        <v>207.59</v>
      </c>
      <c r="AL157" s="237">
        <v>211.53</v>
      </c>
      <c r="AM157" s="237">
        <v>215.46</v>
      </c>
      <c r="AN157" s="237">
        <v>219.39</v>
      </c>
      <c r="AO157" s="237">
        <v>223.32</v>
      </c>
      <c r="AP157" s="237">
        <v>227.25</v>
      </c>
      <c r="AQ157" s="237">
        <v>231.19</v>
      </c>
      <c r="AR157" s="237">
        <v>235.12</v>
      </c>
      <c r="AS157" s="237">
        <v>164.34</v>
      </c>
      <c r="AT157" s="237">
        <v>160.41</v>
      </c>
      <c r="AU157" s="761">
        <v>195.34</v>
      </c>
      <c r="AV157" s="237">
        <v>152.55000000000001</v>
      </c>
      <c r="AW157" s="237">
        <v>148.61000000000001</v>
      </c>
    </row>
    <row r="158" spans="1:49" ht="22.5">
      <c r="A158" s="2">
        <v>262.48</v>
      </c>
      <c r="B158" s="59">
        <v>268.08</v>
      </c>
      <c r="C158" s="3">
        <v>273.69</v>
      </c>
      <c r="D158" s="3">
        <v>279.3</v>
      </c>
      <c r="E158" s="59">
        <v>284.89999999999998</v>
      </c>
      <c r="F158" s="59">
        <v>290.51</v>
      </c>
      <c r="G158" s="59">
        <v>296.11</v>
      </c>
      <c r="H158" s="974">
        <v>379.77</v>
      </c>
      <c r="I158" s="237">
        <v>307.32</v>
      </c>
      <c r="J158" s="237">
        <v>312.93</v>
      </c>
      <c r="K158" s="237">
        <v>318.52999999999997</v>
      </c>
      <c r="L158" s="237">
        <v>324.14</v>
      </c>
      <c r="M158" s="237">
        <v>329.75</v>
      </c>
      <c r="N158" s="237">
        <v>335.35</v>
      </c>
      <c r="O158" s="237">
        <v>340.96</v>
      </c>
      <c r="P158" s="237">
        <v>346.56</v>
      </c>
      <c r="Q158" s="237">
        <v>352.17</v>
      </c>
      <c r="R158" s="237">
        <v>357.77</v>
      </c>
      <c r="S158" s="237">
        <v>256.87</v>
      </c>
      <c r="T158" s="237">
        <v>251.27</v>
      </c>
      <c r="U158" s="237">
        <v>245.66</v>
      </c>
      <c r="V158" s="237">
        <v>240.06</v>
      </c>
      <c r="W158" s="237">
        <v>234.45</v>
      </c>
      <c r="X158" s="51">
        <v>154</v>
      </c>
      <c r="Y158" s="761">
        <v>200.56</v>
      </c>
      <c r="Z158" s="761">
        <v>204.52</v>
      </c>
      <c r="AA158" s="730">
        <v>208.48</v>
      </c>
      <c r="AB158" s="742">
        <v>212.44</v>
      </c>
      <c r="AC158" s="747">
        <v>216.4</v>
      </c>
      <c r="AD158" s="739">
        <f>AD157+1.41</f>
        <v>220.34999999999997</v>
      </c>
      <c r="AE158" s="742">
        <v>224.31</v>
      </c>
      <c r="AF158" s="742">
        <v>228.27</v>
      </c>
      <c r="AG158" s="783">
        <v>232.23</v>
      </c>
      <c r="AH158" s="787">
        <v>236.18</v>
      </c>
      <c r="AI158" s="237">
        <v>201.03</v>
      </c>
      <c r="AJ158" s="237">
        <v>204.99</v>
      </c>
      <c r="AK158" s="237">
        <v>208.94</v>
      </c>
      <c r="AL158" s="237">
        <v>212.9</v>
      </c>
      <c r="AM158" s="237">
        <v>216.86</v>
      </c>
      <c r="AN158" s="237">
        <v>220.82</v>
      </c>
      <c r="AO158" s="237">
        <v>224.77</v>
      </c>
      <c r="AP158" s="237">
        <v>228.73</v>
      </c>
      <c r="AQ158" s="237">
        <v>232.69</v>
      </c>
      <c r="AR158" s="237">
        <v>236.65</v>
      </c>
      <c r="AS158" s="237">
        <v>165.41</v>
      </c>
      <c r="AT158" s="237">
        <v>161.44999999999999</v>
      </c>
      <c r="AU158" s="761">
        <v>196.61</v>
      </c>
      <c r="AV158" s="237">
        <v>153.53</v>
      </c>
      <c r="AW158" s="237">
        <v>149.58000000000001</v>
      </c>
    </row>
    <row r="159" spans="1:49" ht="22.5">
      <c r="A159" s="2">
        <v>264.14999999999998</v>
      </c>
      <c r="B159" s="59">
        <v>269.79000000000002</v>
      </c>
      <c r="C159" s="3">
        <v>275.44</v>
      </c>
      <c r="D159" s="3">
        <v>281.08</v>
      </c>
      <c r="E159" s="59">
        <v>286.72000000000003</v>
      </c>
      <c r="F159" s="59">
        <v>292.36</v>
      </c>
      <c r="G159" s="59">
        <v>298</v>
      </c>
      <c r="H159" s="974">
        <v>382.18</v>
      </c>
      <c r="I159" s="237">
        <v>309.29000000000002</v>
      </c>
      <c r="J159" s="237">
        <v>314.93</v>
      </c>
      <c r="K159" s="237">
        <v>320.57</v>
      </c>
      <c r="L159" s="237">
        <v>326.20999999999998</v>
      </c>
      <c r="M159" s="237">
        <v>331.86</v>
      </c>
      <c r="N159" s="237">
        <v>337.5</v>
      </c>
      <c r="O159" s="237">
        <v>343.14</v>
      </c>
      <c r="P159" s="237">
        <v>348.78</v>
      </c>
      <c r="Q159" s="237">
        <v>354.42</v>
      </c>
      <c r="R159" s="237">
        <v>360.07</v>
      </c>
      <c r="S159" s="237">
        <v>258.51</v>
      </c>
      <c r="T159" s="237">
        <v>252.87</v>
      </c>
      <c r="U159" s="237">
        <v>247.23</v>
      </c>
      <c r="V159" s="237">
        <v>241.58</v>
      </c>
      <c r="W159" s="237">
        <v>235.94</v>
      </c>
      <c r="X159" s="51">
        <v>155</v>
      </c>
      <c r="Y159" s="761">
        <v>201.86</v>
      </c>
      <c r="Z159" s="761">
        <v>205.84</v>
      </c>
      <c r="AA159" s="730">
        <v>209.82</v>
      </c>
      <c r="AB159" s="742">
        <v>213.81</v>
      </c>
      <c r="AC159" s="747">
        <v>217.79</v>
      </c>
      <c r="AD159" s="739">
        <f>AD158+1.42</f>
        <v>221.76999999999995</v>
      </c>
      <c r="AE159" s="742">
        <v>225.76</v>
      </c>
      <c r="AF159" s="742">
        <v>229.74</v>
      </c>
      <c r="AG159" s="783">
        <v>233.72</v>
      </c>
      <c r="AH159" s="787">
        <v>237.71</v>
      </c>
      <c r="AI159" s="237">
        <v>202.33</v>
      </c>
      <c r="AJ159" s="237">
        <v>206.31</v>
      </c>
      <c r="AK159" s="237">
        <v>210.29</v>
      </c>
      <c r="AL159" s="237">
        <v>214.28</v>
      </c>
      <c r="AM159" s="237">
        <v>218.26</v>
      </c>
      <c r="AN159" s="237">
        <v>222.24</v>
      </c>
      <c r="AO159" s="237">
        <v>226.23</v>
      </c>
      <c r="AP159" s="237">
        <v>230.21</v>
      </c>
      <c r="AQ159" s="237">
        <v>234.19</v>
      </c>
      <c r="AR159" s="237">
        <v>238.18</v>
      </c>
      <c r="AS159" s="237">
        <v>166.47</v>
      </c>
      <c r="AT159" s="237">
        <v>162.49</v>
      </c>
      <c r="AU159" s="761">
        <v>197.87</v>
      </c>
      <c r="AV159" s="237">
        <v>154.52000000000001</v>
      </c>
      <c r="AW159" s="237">
        <v>150.54</v>
      </c>
    </row>
    <row r="160" spans="1:49" ht="22.5">
      <c r="A160" s="2">
        <v>265.83</v>
      </c>
      <c r="B160" s="59">
        <v>271.51</v>
      </c>
      <c r="C160" s="3">
        <v>277.19</v>
      </c>
      <c r="D160" s="3">
        <v>282.86</v>
      </c>
      <c r="E160" s="59">
        <v>288.54000000000002</v>
      </c>
      <c r="F160" s="59">
        <v>294.22000000000003</v>
      </c>
      <c r="G160" s="59">
        <v>299.89999999999998</v>
      </c>
      <c r="H160" s="974">
        <v>384.6</v>
      </c>
      <c r="I160" s="237">
        <v>311.26</v>
      </c>
      <c r="J160" s="237">
        <v>316.94</v>
      </c>
      <c r="K160" s="237">
        <v>322.61</v>
      </c>
      <c r="L160" s="237">
        <v>328.29</v>
      </c>
      <c r="M160" s="237">
        <v>333.97</v>
      </c>
      <c r="N160" s="237">
        <v>339.66500000000002</v>
      </c>
      <c r="O160" s="237">
        <v>345.33</v>
      </c>
      <c r="P160" s="237">
        <v>351.01</v>
      </c>
      <c r="Q160" s="237">
        <v>356.68</v>
      </c>
      <c r="R160" s="237">
        <v>362.36</v>
      </c>
      <c r="S160" s="237">
        <v>260.14999999999998</v>
      </c>
      <c r="T160" s="237">
        <v>254.47</v>
      </c>
      <c r="U160" s="237">
        <v>248.79</v>
      </c>
      <c r="V160" s="237">
        <v>243.12</v>
      </c>
      <c r="W160" s="237">
        <v>237.44</v>
      </c>
      <c r="X160" s="51">
        <v>156</v>
      </c>
      <c r="Y160" s="761">
        <v>203.15</v>
      </c>
      <c r="Z160" s="761">
        <v>207.16</v>
      </c>
      <c r="AA160" s="730">
        <v>211.17</v>
      </c>
      <c r="AB160" s="742">
        <v>215.17</v>
      </c>
      <c r="AC160" s="747">
        <v>219.18</v>
      </c>
      <c r="AD160" s="739">
        <f>AD159+1.42</f>
        <v>223.18999999999994</v>
      </c>
      <c r="AE160" s="742">
        <v>227.2</v>
      </c>
      <c r="AF160" s="742">
        <v>231.21</v>
      </c>
      <c r="AG160" s="783">
        <v>235.22</v>
      </c>
      <c r="AH160" s="787">
        <v>239.23</v>
      </c>
      <c r="AI160" s="237">
        <v>203.62</v>
      </c>
      <c r="AJ160" s="237">
        <v>207.63</v>
      </c>
      <c r="AK160" s="237">
        <v>211.64</v>
      </c>
      <c r="AL160" s="237">
        <v>215.65</v>
      </c>
      <c r="AM160" s="237">
        <v>219.66</v>
      </c>
      <c r="AN160" s="237">
        <v>223.67</v>
      </c>
      <c r="AO160" s="237">
        <v>227.68</v>
      </c>
      <c r="AP160" s="237">
        <v>231.69</v>
      </c>
      <c r="AQ160" s="237">
        <v>235.7</v>
      </c>
      <c r="AR160" s="237">
        <v>239.71</v>
      </c>
      <c r="AS160" s="237">
        <v>167.54</v>
      </c>
      <c r="AT160" s="237">
        <v>163.53</v>
      </c>
      <c r="AU160" s="761">
        <v>199.14</v>
      </c>
      <c r="AV160" s="237">
        <v>155.51</v>
      </c>
      <c r="AW160" s="237">
        <v>151.5</v>
      </c>
    </row>
    <row r="161" spans="1:49" ht="22.5">
      <c r="A161" s="2">
        <v>267.51</v>
      </c>
      <c r="B161" s="59">
        <v>273.22000000000003</v>
      </c>
      <c r="C161" s="3">
        <v>278.94</v>
      </c>
      <c r="D161" s="3">
        <v>284.64999999999998</v>
      </c>
      <c r="E161" s="59">
        <v>290.37</v>
      </c>
      <c r="F161" s="59">
        <v>296.08</v>
      </c>
      <c r="G161" s="59">
        <v>301.8</v>
      </c>
      <c r="H161" s="974">
        <v>387.02</v>
      </c>
      <c r="I161" s="237">
        <v>313.23</v>
      </c>
      <c r="J161" s="237">
        <v>318.94</v>
      </c>
      <c r="K161" s="237">
        <v>324.66000000000003</v>
      </c>
      <c r="L161" s="237">
        <v>330.37</v>
      </c>
      <c r="M161" s="237">
        <v>336.09</v>
      </c>
      <c r="N161" s="237">
        <v>341.8</v>
      </c>
      <c r="O161" s="237">
        <v>347.52</v>
      </c>
      <c r="P161" s="237">
        <v>353.23</v>
      </c>
      <c r="Q161" s="237">
        <v>358.95</v>
      </c>
      <c r="R161" s="237">
        <v>364.66</v>
      </c>
      <c r="S161" s="237">
        <v>261.79000000000002</v>
      </c>
      <c r="T161" s="237">
        <v>256.08</v>
      </c>
      <c r="U161" s="237">
        <v>250.36</v>
      </c>
      <c r="V161" s="237">
        <v>244.65</v>
      </c>
      <c r="W161" s="237">
        <v>238.94</v>
      </c>
      <c r="X161" s="51">
        <v>157</v>
      </c>
      <c r="Y161" s="761">
        <v>204.44</v>
      </c>
      <c r="Z161" s="761">
        <v>208.48</v>
      </c>
      <c r="AA161" s="730">
        <v>212.51</v>
      </c>
      <c r="AB161" s="742">
        <v>216.55</v>
      </c>
      <c r="AC161" s="747">
        <v>220.58</v>
      </c>
      <c r="AD161" s="739">
        <f>AD160+1.43</f>
        <v>224.61999999999995</v>
      </c>
      <c r="AE161" s="742">
        <v>228.65</v>
      </c>
      <c r="AF161" s="742">
        <v>232.68</v>
      </c>
      <c r="AG161" s="783">
        <v>236.72</v>
      </c>
      <c r="AH161" s="787">
        <v>240.75</v>
      </c>
      <c r="AI161" s="237">
        <v>204.92</v>
      </c>
      <c r="AJ161" s="237">
        <v>208.96</v>
      </c>
      <c r="AK161" s="237">
        <v>212.99</v>
      </c>
      <c r="AL161" s="237">
        <v>217.03</v>
      </c>
      <c r="AM161" s="237">
        <v>221.06</v>
      </c>
      <c r="AN161" s="237">
        <v>225.1</v>
      </c>
      <c r="AO161" s="237">
        <v>229.13</v>
      </c>
      <c r="AP161" s="237">
        <v>233.17</v>
      </c>
      <c r="AQ161" s="237">
        <v>237.2</v>
      </c>
      <c r="AR161" s="237">
        <v>241.24</v>
      </c>
      <c r="AS161" s="237">
        <v>168.61</v>
      </c>
      <c r="AT161" s="237">
        <v>164.58</v>
      </c>
      <c r="AU161" s="761">
        <v>200.41</v>
      </c>
      <c r="AV161" s="237">
        <v>156.51</v>
      </c>
      <c r="AW161" s="237">
        <v>152.47</v>
      </c>
    </row>
    <row r="162" spans="1:49" ht="22.5">
      <c r="A162" s="2">
        <v>269.43</v>
      </c>
      <c r="B162" s="59">
        <v>275.19</v>
      </c>
      <c r="C162" s="3">
        <v>280.94</v>
      </c>
      <c r="D162" s="3">
        <v>286.69</v>
      </c>
      <c r="E162" s="59">
        <v>292.44</v>
      </c>
      <c r="F162" s="59">
        <v>298.19</v>
      </c>
      <c r="G162" s="59">
        <v>303.94</v>
      </c>
      <c r="H162" s="974">
        <v>389.87</v>
      </c>
      <c r="I162" s="237">
        <v>315.44</v>
      </c>
      <c r="J162" s="237">
        <v>321.2</v>
      </c>
      <c r="K162" s="237">
        <v>326.95</v>
      </c>
      <c r="L162" s="237">
        <v>332.7</v>
      </c>
      <c r="M162" s="237">
        <v>338.45</v>
      </c>
      <c r="N162" s="237">
        <v>344.2</v>
      </c>
      <c r="O162" s="237">
        <v>349.95</v>
      </c>
      <c r="P162" s="237">
        <v>355.7</v>
      </c>
      <c r="Q162" s="237">
        <v>361.45</v>
      </c>
      <c r="R162" s="237">
        <v>367.21</v>
      </c>
      <c r="S162" s="237">
        <v>263.68</v>
      </c>
      <c r="T162" s="237">
        <v>257.93</v>
      </c>
      <c r="U162" s="237">
        <v>252.18</v>
      </c>
      <c r="V162" s="237">
        <v>246.43</v>
      </c>
      <c r="W162" s="237">
        <v>240.68</v>
      </c>
      <c r="X162" s="51">
        <v>158</v>
      </c>
      <c r="Y162" s="761">
        <v>205.74</v>
      </c>
      <c r="Z162" s="761">
        <v>209.8</v>
      </c>
      <c r="AA162" s="730">
        <v>213.86</v>
      </c>
      <c r="AB162" s="742">
        <v>217.92</v>
      </c>
      <c r="AC162" s="747">
        <v>221.98</v>
      </c>
      <c r="AD162" s="739">
        <f>AD161+1.42</f>
        <v>226.03999999999994</v>
      </c>
      <c r="AE162" s="742">
        <v>230.1</v>
      </c>
      <c r="AF162" s="742">
        <v>234.16</v>
      </c>
      <c r="AG162" s="783">
        <v>238.22</v>
      </c>
      <c r="AH162" s="787">
        <v>242.28</v>
      </c>
      <c r="AI162" s="237">
        <v>206.22</v>
      </c>
      <c r="AJ162" s="237">
        <v>210.29</v>
      </c>
      <c r="AK162" s="237">
        <v>214.35</v>
      </c>
      <c r="AL162" s="237">
        <v>218.41</v>
      </c>
      <c r="AM162" s="237">
        <v>222.47</v>
      </c>
      <c r="AN162" s="237">
        <v>226.53</v>
      </c>
      <c r="AO162" s="237">
        <v>230.59</v>
      </c>
      <c r="AP162" s="237">
        <v>234.65</v>
      </c>
      <c r="AQ162" s="237">
        <v>238.71</v>
      </c>
      <c r="AR162" s="237">
        <v>242.77</v>
      </c>
      <c r="AS162" s="237">
        <v>169.68</v>
      </c>
      <c r="AT162" s="237">
        <v>165.62</v>
      </c>
      <c r="AU162" s="761">
        <v>201.67</v>
      </c>
      <c r="AV162" s="237">
        <v>157.5</v>
      </c>
      <c r="AW162" s="237">
        <v>153.44</v>
      </c>
    </row>
    <row r="163" spans="1:49" ht="22.5">
      <c r="A163" s="2">
        <v>271.12</v>
      </c>
      <c r="B163" s="59">
        <v>276.91000000000003</v>
      </c>
      <c r="C163" s="3">
        <v>282.7</v>
      </c>
      <c r="D163" s="3">
        <v>288.49</v>
      </c>
      <c r="E163" s="59">
        <v>294.27</v>
      </c>
      <c r="F163" s="59">
        <v>300.06</v>
      </c>
      <c r="G163" s="59">
        <v>305.85000000000002</v>
      </c>
      <c r="H163" s="974">
        <v>392.31</v>
      </c>
      <c r="I163" s="237">
        <v>317.42</v>
      </c>
      <c r="J163" s="237">
        <v>323.20999999999998</v>
      </c>
      <c r="K163" s="237">
        <v>329</v>
      </c>
      <c r="L163" s="237">
        <v>334.79</v>
      </c>
      <c r="M163" s="237">
        <v>340.57</v>
      </c>
      <c r="N163" s="237">
        <v>346.36</v>
      </c>
      <c r="O163" s="237">
        <v>352.15</v>
      </c>
      <c r="P163" s="237">
        <v>357.94</v>
      </c>
      <c r="Q163" s="237">
        <v>363.72</v>
      </c>
      <c r="R163" s="237">
        <v>369.51</v>
      </c>
      <c r="S163" s="237">
        <v>265.33999999999997</v>
      </c>
      <c r="T163" s="237">
        <v>259.55</v>
      </c>
      <c r="U163" s="237">
        <v>253.76</v>
      </c>
      <c r="V163" s="237">
        <v>247.97</v>
      </c>
      <c r="W163" s="237">
        <v>242.18</v>
      </c>
      <c r="X163" s="51">
        <v>159</v>
      </c>
      <c r="Y163" s="761">
        <v>207.03</v>
      </c>
      <c r="Z163" s="761">
        <v>211.12</v>
      </c>
      <c r="AA163" s="730">
        <v>215.2</v>
      </c>
      <c r="AB163" s="742">
        <v>219.29</v>
      </c>
      <c r="AC163" s="747">
        <v>223.38</v>
      </c>
      <c r="AD163" s="739">
        <f>AD162+1.42</f>
        <v>227.45999999999992</v>
      </c>
      <c r="AE163" s="742">
        <v>231.55</v>
      </c>
      <c r="AF163" s="742">
        <v>235.63</v>
      </c>
      <c r="AG163" s="783">
        <v>239.72</v>
      </c>
      <c r="AH163" s="787">
        <v>243.81</v>
      </c>
      <c r="AI163" s="237">
        <v>207.53</v>
      </c>
      <c r="AJ163" s="237">
        <v>211.61</v>
      </c>
      <c r="AK163" s="237">
        <v>215.7</v>
      </c>
      <c r="AL163" s="237">
        <v>219.78</v>
      </c>
      <c r="AM163" s="237">
        <v>223.87</v>
      </c>
      <c r="AN163" s="237">
        <v>227.96</v>
      </c>
      <c r="AO163" s="237">
        <v>232.04</v>
      </c>
      <c r="AP163" s="237">
        <v>236.13</v>
      </c>
      <c r="AQ163" s="237">
        <v>240.22</v>
      </c>
      <c r="AR163" s="237">
        <v>244.3</v>
      </c>
      <c r="AS163" s="237">
        <v>170.75</v>
      </c>
      <c r="AT163" s="237">
        <v>166.66</v>
      </c>
      <c r="AU163" s="761">
        <v>202.94</v>
      </c>
      <c r="AV163" s="237">
        <v>158.49</v>
      </c>
      <c r="AW163" s="237">
        <v>154.4</v>
      </c>
    </row>
    <row r="164" spans="1:49" ht="22.5">
      <c r="A164" s="2">
        <v>272.81</v>
      </c>
      <c r="B164" s="59">
        <v>278.64</v>
      </c>
      <c r="C164" s="3">
        <v>284.45999999999998</v>
      </c>
      <c r="D164" s="3">
        <v>290.29000000000002</v>
      </c>
      <c r="E164" s="59">
        <v>296.11</v>
      </c>
      <c r="F164" s="59">
        <v>301.93</v>
      </c>
      <c r="G164" s="59">
        <v>307.76</v>
      </c>
      <c r="H164" s="974">
        <v>394.75</v>
      </c>
      <c r="I164" s="237">
        <v>319.41000000000003</v>
      </c>
      <c r="J164" s="237">
        <v>325.23</v>
      </c>
      <c r="K164" s="237">
        <v>331.05</v>
      </c>
      <c r="L164" s="237">
        <v>336.88</v>
      </c>
      <c r="M164" s="237">
        <v>342.7</v>
      </c>
      <c r="N164" s="237">
        <v>348.53</v>
      </c>
      <c r="O164" s="237">
        <v>354.35</v>
      </c>
      <c r="P164" s="237">
        <v>360.17</v>
      </c>
      <c r="Q164" s="237">
        <v>366</v>
      </c>
      <c r="R164" s="237">
        <v>371.82</v>
      </c>
      <c r="S164" s="237">
        <v>266.99</v>
      </c>
      <c r="T164" s="237">
        <v>261.17</v>
      </c>
      <c r="U164" s="237">
        <v>255.34</v>
      </c>
      <c r="V164" s="237">
        <v>249.52</v>
      </c>
      <c r="W164" s="237">
        <v>243.69</v>
      </c>
      <c r="X164" s="51">
        <v>160</v>
      </c>
      <c r="Y164" s="761">
        <v>208.33</v>
      </c>
      <c r="Z164" s="761">
        <v>212.44</v>
      </c>
      <c r="AA164" s="730">
        <v>216.55</v>
      </c>
      <c r="AB164" s="742">
        <v>220.66</v>
      </c>
      <c r="AC164" s="747">
        <v>224.78</v>
      </c>
      <c r="AD164" s="739">
        <f>AD163+1.43</f>
        <v>228.88999999999993</v>
      </c>
      <c r="AE164" s="742">
        <v>233</v>
      </c>
      <c r="AF164" s="742">
        <v>237.11</v>
      </c>
      <c r="AG164" s="783">
        <v>241.22</v>
      </c>
      <c r="AH164" s="787">
        <v>245.34</v>
      </c>
      <c r="AI164" s="237">
        <v>208.83</v>
      </c>
      <c r="AJ164" s="237">
        <v>212.94</v>
      </c>
      <c r="AK164" s="237">
        <v>217.05</v>
      </c>
      <c r="AL164" s="237">
        <v>221.16</v>
      </c>
      <c r="AM164" s="237">
        <v>225.28</v>
      </c>
      <c r="AN164" s="237">
        <v>229.39</v>
      </c>
      <c r="AO164" s="237">
        <v>233.5</v>
      </c>
      <c r="AP164" s="237">
        <v>237.61</v>
      </c>
      <c r="AQ164" s="237">
        <v>241.72</v>
      </c>
      <c r="AR164" s="237">
        <v>245.84</v>
      </c>
      <c r="AS164" s="237">
        <v>171.82</v>
      </c>
      <c r="AT164" s="237">
        <v>167.71</v>
      </c>
      <c r="AU164" s="761">
        <v>204.22</v>
      </c>
      <c r="AV164" s="237">
        <v>159.47999999999999</v>
      </c>
      <c r="AW164" s="237">
        <v>155.37</v>
      </c>
    </row>
    <row r="165" spans="1:49" ht="22.5">
      <c r="A165" s="2">
        <v>274.51</v>
      </c>
      <c r="B165" s="59">
        <v>280.37</v>
      </c>
      <c r="C165" s="3">
        <v>286.23</v>
      </c>
      <c r="D165" s="3">
        <v>292.08999999999997</v>
      </c>
      <c r="E165" s="59">
        <v>297.95</v>
      </c>
      <c r="F165" s="59">
        <v>303.81</v>
      </c>
      <c r="G165" s="59">
        <v>309.67</v>
      </c>
      <c r="H165" s="974">
        <v>397.2</v>
      </c>
      <c r="I165" s="237">
        <v>321.39</v>
      </c>
      <c r="J165" s="237">
        <v>327.25</v>
      </c>
      <c r="K165" s="237">
        <v>333.11</v>
      </c>
      <c r="L165" s="237">
        <v>338.97</v>
      </c>
      <c r="M165" s="237">
        <v>344.83</v>
      </c>
      <c r="N165" s="237">
        <v>350.69</v>
      </c>
      <c r="O165" s="237">
        <v>356.55</v>
      </c>
      <c r="P165" s="237">
        <v>362.41</v>
      </c>
      <c r="Q165" s="237">
        <v>368.27</v>
      </c>
      <c r="R165" s="237">
        <v>374.13</v>
      </c>
      <c r="S165" s="237">
        <v>268.64999999999998</v>
      </c>
      <c r="T165" s="237">
        <v>262.79000000000002</v>
      </c>
      <c r="U165" s="237">
        <v>256.93</v>
      </c>
      <c r="V165" s="237">
        <v>251.07</v>
      </c>
      <c r="W165" s="237">
        <v>245.21</v>
      </c>
      <c r="X165" s="51">
        <v>161</v>
      </c>
      <c r="Y165" s="761">
        <v>209.63</v>
      </c>
      <c r="Z165" s="761">
        <v>213.76</v>
      </c>
      <c r="AA165" s="730">
        <v>217.9</v>
      </c>
      <c r="AB165" s="742">
        <v>222.04</v>
      </c>
      <c r="AC165" s="747">
        <v>226.18</v>
      </c>
      <c r="AD165" s="739">
        <f>AD164+1.42</f>
        <v>230.30999999999992</v>
      </c>
      <c r="AE165" s="742">
        <v>234.45</v>
      </c>
      <c r="AF165" s="742">
        <v>238.59</v>
      </c>
      <c r="AG165" s="783">
        <v>242.73</v>
      </c>
      <c r="AH165" s="787">
        <v>246.87</v>
      </c>
      <c r="AI165" s="237">
        <v>210.13</v>
      </c>
      <c r="AJ165" s="237">
        <v>214.27</v>
      </c>
      <c r="AK165" s="237">
        <v>218.41</v>
      </c>
      <c r="AL165" s="237">
        <v>222.54</v>
      </c>
      <c r="AM165" s="237">
        <v>226.68</v>
      </c>
      <c r="AN165" s="237">
        <v>230.82</v>
      </c>
      <c r="AO165" s="237">
        <v>234.96</v>
      </c>
      <c r="AP165" s="237">
        <v>239.09</v>
      </c>
      <c r="AQ165" s="237">
        <v>243.23</v>
      </c>
      <c r="AR165" s="237">
        <v>247.37</v>
      </c>
      <c r="AS165" s="237">
        <v>172.89</v>
      </c>
      <c r="AT165" s="237">
        <v>168.75</v>
      </c>
      <c r="AU165" s="761">
        <v>205.49</v>
      </c>
      <c r="AV165" s="237">
        <v>160.47999999999999</v>
      </c>
      <c r="AW165" s="237">
        <v>156.34</v>
      </c>
    </row>
    <row r="166" spans="1:49" ht="22.5">
      <c r="A166" s="2">
        <v>276.20999999999998</v>
      </c>
      <c r="B166" s="59">
        <v>282.10000000000002</v>
      </c>
      <c r="C166" s="3">
        <v>288</v>
      </c>
      <c r="D166" s="3">
        <v>293.89999999999998</v>
      </c>
      <c r="E166" s="59">
        <v>299.79000000000002</v>
      </c>
      <c r="F166" s="59">
        <v>305.69</v>
      </c>
      <c r="G166" s="59">
        <v>311.58999999999997</v>
      </c>
      <c r="H166" s="974">
        <v>399.65</v>
      </c>
      <c r="I166" s="237">
        <v>323.38</v>
      </c>
      <c r="J166" s="237">
        <v>329.28</v>
      </c>
      <c r="K166" s="237">
        <v>335.17</v>
      </c>
      <c r="L166" s="237">
        <v>341.07</v>
      </c>
      <c r="M166" s="237">
        <v>346.97</v>
      </c>
      <c r="N166" s="237">
        <v>352.86</v>
      </c>
      <c r="O166" s="237">
        <v>358.76</v>
      </c>
      <c r="P166" s="237">
        <v>364.66</v>
      </c>
      <c r="Q166" s="237">
        <v>370.55</v>
      </c>
      <c r="R166" s="237">
        <v>376.45</v>
      </c>
      <c r="S166" s="237">
        <v>270.31</v>
      </c>
      <c r="T166" s="237">
        <v>264.41000000000003</v>
      </c>
      <c r="U166" s="237">
        <v>258.51</v>
      </c>
      <c r="V166" s="237">
        <v>252.62</v>
      </c>
      <c r="W166" s="237">
        <v>246.72</v>
      </c>
      <c r="X166" s="51">
        <v>162</v>
      </c>
      <c r="Y166" s="761">
        <v>210.93</v>
      </c>
      <c r="Z166" s="761">
        <v>215.09</v>
      </c>
      <c r="AA166" s="730">
        <v>219.25</v>
      </c>
      <c r="AB166" s="742">
        <v>223.42</v>
      </c>
      <c r="AC166" s="747">
        <v>227.58</v>
      </c>
      <c r="AD166" s="739">
        <f>AD165+1.43</f>
        <v>231.73999999999992</v>
      </c>
      <c r="AE166" s="742">
        <v>235.91</v>
      </c>
      <c r="AF166" s="742">
        <v>240.07</v>
      </c>
      <c r="AG166" s="783">
        <v>244.23</v>
      </c>
      <c r="AH166" s="787">
        <v>248.4</v>
      </c>
      <c r="AI166" s="237">
        <v>211.43</v>
      </c>
      <c r="AJ166" s="237">
        <v>215.6</v>
      </c>
      <c r="AK166" s="237">
        <v>219.76</v>
      </c>
      <c r="AL166" s="237">
        <v>23.92</v>
      </c>
      <c r="AM166" s="237">
        <v>228.09</v>
      </c>
      <c r="AN166" s="237">
        <v>232.25</v>
      </c>
      <c r="AO166" s="237">
        <v>236.42</v>
      </c>
      <c r="AP166" s="237">
        <v>240.58</v>
      </c>
      <c r="AQ166" s="237">
        <v>244.74</v>
      </c>
      <c r="AR166" s="237">
        <v>248.91</v>
      </c>
      <c r="AS166" s="237">
        <v>173.96</v>
      </c>
      <c r="AT166" s="237">
        <v>169.8</v>
      </c>
      <c r="AU166" s="761">
        <v>206.76</v>
      </c>
      <c r="AV166" s="237">
        <v>161.47</v>
      </c>
      <c r="AW166" s="237">
        <v>157.31</v>
      </c>
    </row>
    <row r="167" spans="1:49" ht="22.5">
      <c r="A167" s="2">
        <v>277.91000000000003</v>
      </c>
      <c r="B167" s="59">
        <v>283.83999999999997</v>
      </c>
      <c r="C167" s="3">
        <v>289.77</v>
      </c>
      <c r="D167" s="3">
        <v>295.7</v>
      </c>
      <c r="E167" s="59">
        <v>301.64</v>
      </c>
      <c r="F167" s="59">
        <v>307.57</v>
      </c>
      <c r="G167" s="59">
        <v>313.5</v>
      </c>
      <c r="H167" s="974">
        <v>402.11</v>
      </c>
      <c r="I167" s="237">
        <v>325.37</v>
      </c>
      <c r="J167" s="237">
        <v>331.3</v>
      </c>
      <c r="K167" s="237">
        <v>337.24</v>
      </c>
      <c r="L167" s="237">
        <v>343.17</v>
      </c>
      <c r="M167" s="237">
        <v>349.1</v>
      </c>
      <c r="N167" s="237">
        <v>355.04</v>
      </c>
      <c r="O167" s="237">
        <v>360.97</v>
      </c>
      <c r="P167" s="237">
        <v>366.9</v>
      </c>
      <c r="Q167" s="237">
        <v>372.84</v>
      </c>
      <c r="R167" s="237">
        <v>378.77</v>
      </c>
      <c r="S167" s="237">
        <v>271.97000000000003</v>
      </c>
      <c r="T167" s="237">
        <v>266.04000000000002</v>
      </c>
      <c r="U167" s="237">
        <v>260.11</v>
      </c>
      <c r="V167" s="237">
        <v>254.17</v>
      </c>
      <c r="W167" s="237">
        <v>248.24</v>
      </c>
      <c r="X167" s="51">
        <v>163</v>
      </c>
      <c r="Y167" s="761">
        <v>212.23</v>
      </c>
      <c r="Z167" s="761">
        <v>216.42</v>
      </c>
      <c r="AA167" s="730">
        <v>220.61</v>
      </c>
      <c r="AB167" s="742">
        <v>224.79</v>
      </c>
      <c r="AC167" s="747">
        <v>228.98</v>
      </c>
      <c r="AD167" s="739">
        <f>AD166+1.43</f>
        <v>233.16999999999993</v>
      </c>
      <c r="AE167" s="742">
        <v>237.36</v>
      </c>
      <c r="AF167" s="742">
        <v>241.55</v>
      </c>
      <c r="AG167" s="783">
        <v>245.74</v>
      </c>
      <c r="AH167" s="787">
        <v>249.93</v>
      </c>
      <c r="AI167" s="237">
        <v>212.74</v>
      </c>
      <c r="AJ167" s="237">
        <v>216.93</v>
      </c>
      <c r="AK167" s="237">
        <v>221.12</v>
      </c>
      <c r="AL167" s="237">
        <v>225.31</v>
      </c>
      <c r="AM167" s="237">
        <v>229.5</v>
      </c>
      <c r="AN167" s="237">
        <v>233.69</v>
      </c>
      <c r="AO167" s="237">
        <v>237.87</v>
      </c>
      <c r="AP167" s="237">
        <v>242.06</v>
      </c>
      <c r="AQ167" s="237">
        <v>246.25</v>
      </c>
      <c r="AR167" s="237">
        <v>250.44</v>
      </c>
      <c r="AS167" s="237">
        <v>175.04</v>
      </c>
      <c r="AT167" s="237">
        <v>170.85</v>
      </c>
      <c r="AU167" s="761">
        <v>208.04</v>
      </c>
      <c r="AV167" s="237">
        <v>162.47</v>
      </c>
      <c r="AW167" s="237">
        <v>158.28</v>
      </c>
    </row>
    <row r="168" spans="1:49" ht="22.5">
      <c r="A168" s="2">
        <v>279.61</v>
      </c>
      <c r="B168" s="59">
        <v>285.58</v>
      </c>
      <c r="C168" s="3">
        <v>291.55</v>
      </c>
      <c r="D168" s="3">
        <v>297.52</v>
      </c>
      <c r="E168" s="59">
        <v>303.49</v>
      </c>
      <c r="F168" s="59">
        <v>309.45999999999998</v>
      </c>
      <c r="G168" s="59">
        <v>315.43</v>
      </c>
      <c r="H168" s="974">
        <v>404.57</v>
      </c>
      <c r="I168" s="237">
        <v>327.37</v>
      </c>
      <c r="J168" s="237">
        <v>333.34</v>
      </c>
      <c r="K168" s="237">
        <v>339.3</v>
      </c>
      <c r="L168" s="237">
        <v>345.27</v>
      </c>
      <c r="M168" s="237">
        <v>351.24</v>
      </c>
      <c r="N168" s="237">
        <v>357.21</v>
      </c>
      <c r="O168" s="237">
        <v>363.18</v>
      </c>
      <c r="P168" s="237">
        <v>369.15</v>
      </c>
      <c r="Q168" s="237">
        <v>375.12</v>
      </c>
      <c r="R168" s="237">
        <v>381.09</v>
      </c>
      <c r="S168" s="237">
        <v>273.64</v>
      </c>
      <c r="T168" s="237">
        <v>267.67</v>
      </c>
      <c r="U168" s="237">
        <v>261.7</v>
      </c>
      <c r="V168" s="237">
        <v>255.73</v>
      </c>
      <c r="W168" s="237">
        <v>249.76</v>
      </c>
      <c r="X168" s="51">
        <v>164</v>
      </c>
      <c r="Y168" s="761">
        <v>213.53</v>
      </c>
      <c r="Z168" s="761">
        <v>217.75</v>
      </c>
      <c r="AA168" s="730">
        <v>221.96</v>
      </c>
      <c r="AB168" s="742">
        <v>226.17</v>
      </c>
      <c r="AC168" s="747">
        <v>230.39</v>
      </c>
      <c r="AD168" s="739">
        <f>AD167+1.43</f>
        <v>234.59999999999994</v>
      </c>
      <c r="AE168" s="742">
        <v>238.82</v>
      </c>
      <c r="AF168" s="742">
        <v>243.03</v>
      </c>
      <c r="AG168" s="783">
        <v>247.25</v>
      </c>
      <c r="AH168" s="787">
        <v>251.46</v>
      </c>
      <c r="AI168" s="237">
        <v>214.05</v>
      </c>
      <c r="AJ168" s="237">
        <v>218.26</v>
      </c>
      <c r="AK168" s="237">
        <v>222.47</v>
      </c>
      <c r="AL168" s="237">
        <v>226.69</v>
      </c>
      <c r="AM168" s="237">
        <v>230.9</v>
      </c>
      <c r="AN168" s="237">
        <v>235.12</v>
      </c>
      <c r="AO168" s="237">
        <v>239.83</v>
      </c>
      <c r="AP168" s="237">
        <v>243.55</v>
      </c>
      <c r="AQ168" s="237">
        <v>247.76</v>
      </c>
      <c r="AR168" s="237">
        <v>251.98</v>
      </c>
      <c r="AS168" s="237">
        <v>176.11</v>
      </c>
      <c r="AT168" s="237">
        <v>171.9</v>
      </c>
      <c r="AU168" s="761">
        <v>209.32</v>
      </c>
      <c r="AV168" s="237">
        <v>163.47</v>
      </c>
      <c r="AW168" s="237">
        <v>159.25</v>
      </c>
    </row>
    <row r="169" spans="1:49" ht="22.5">
      <c r="A169" s="2">
        <v>281.32</v>
      </c>
      <c r="B169" s="59">
        <v>287.32</v>
      </c>
      <c r="C169" s="3">
        <v>293.33</v>
      </c>
      <c r="D169" s="3">
        <v>299.33</v>
      </c>
      <c r="E169" s="59">
        <v>305.33999999999997</v>
      </c>
      <c r="F169" s="59">
        <v>311.35000000000002</v>
      </c>
      <c r="G169" s="59">
        <v>317.35000000000002</v>
      </c>
      <c r="H169" s="974">
        <v>407.04</v>
      </c>
      <c r="I169" s="237">
        <v>329.36</v>
      </c>
      <c r="J169" s="237">
        <v>335.37</v>
      </c>
      <c r="K169" s="237">
        <v>341.38</v>
      </c>
      <c r="L169" s="237">
        <v>347.38</v>
      </c>
      <c r="M169" s="237">
        <v>353.39</v>
      </c>
      <c r="N169" s="237">
        <v>359.39</v>
      </c>
      <c r="O169" s="237">
        <v>365.4</v>
      </c>
      <c r="P169" s="237">
        <v>371.41</v>
      </c>
      <c r="Q169" s="237">
        <v>377.41</v>
      </c>
      <c r="R169" s="237">
        <v>383.42</v>
      </c>
      <c r="S169" s="237">
        <v>275.31</v>
      </c>
      <c r="T169" s="237">
        <v>269.3</v>
      </c>
      <c r="U169" s="237">
        <v>263.3</v>
      </c>
      <c r="V169" s="237">
        <v>257.29000000000002</v>
      </c>
      <c r="W169" s="237">
        <v>251.29</v>
      </c>
      <c r="X169" s="51">
        <v>165</v>
      </c>
      <c r="Y169" s="761">
        <v>214.83</v>
      </c>
      <c r="Z169" s="761">
        <v>219.08</v>
      </c>
      <c r="AA169" s="730">
        <v>223.32</v>
      </c>
      <c r="AB169" s="742">
        <v>227.56</v>
      </c>
      <c r="AC169" s="747">
        <v>231.8</v>
      </c>
      <c r="AD169" s="739">
        <f>AD168+1.44</f>
        <v>236.03999999999994</v>
      </c>
      <c r="AE169" s="742">
        <v>240.28</v>
      </c>
      <c r="AF169" s="742">
        <v>244.52</v>
      </c>
      <c r="AG169" s="783">
        <v>248.76</v>
      </c>
      <c r="AH169" s="787">
        <v>253</v>
      </c>
      <c r="AI169" s="237">
        <v>215.35</v>
      </c>
      <c r="AJ169" s="237">
        <v>219.59</v>
      </c>
      <c r="AK169" s="237">
        <v>223.83</v>
      </c>
      <c r="AL169" s="237">
        <v>228.07</v>
      </c>
      <c r="AM169" s="237">
        <v>232.31</v>
      </c>
      <c r="AN169" s="237">
        <v>236.55</v>
      </c>
      <c r="AO169" s="237">
        <v>240.79</v>
      </c>
      <c r="AP169" s="237">
        <v>245.04</v>
      </c>
      <c r="AQ169" s="237">
        <v>249.28</v>
      </c>
      <c r="AR169" s="237">
        <v>253.52</v>
      </c>
      <c r="AS169" s="237">
        <v>177.19</v>
      </c>
      <c r="AT169" s="237">
        <v>172.95</v>
      </c>
      <c r="AU169" s="761">
        <v>210.59</v>
      </c>
      <c r="AV169" s="237">
        <v>164.47</v>
      </c>
      <c r="AW169" s="237">
        <v>160.22999999999999</v>
      </c>
    </row>
    <row r="170" spans="1:49" ht="22.5">
      <c r="A170" s="2">
        <v>283.02</v>
      </c>
      <c r="B170" s="59">
        <v>289.07</v>
      </c>
      <c r="C170" s="3">
        <v>295.11</v>
      </c>
      <c r="D170" s="3">
        <v>301.14999999999998</v>
      </c>
      <c r="E170" s="59">
        <v>307.19</v>
      </c>
      <c r="F170" s="59">
        <v>313.24</v>
      </c>
      <c r="G170" s="59">
        <v>319.27999999999997</v>
      </c>
      <c r="H170" s="974">
        <v>409.52</v>
      </c>
      <c r="I170" s="237">
        <v>331.36</v>
      </c>
      <c r="J170" s="237">
        <v>337.41</v>
      </c>
      <c r="K170" s="237">
        <v>343.45</v>
      </c>
      <c r="L170" s="237">
        <v>349.49</v>
      </c>
      <c r="M170" s="237">
        <v>353.53</v>
      </c>
      <c r="N170" s="237">
        <v>361.58</v>
      </c>
      <c r="O170" s="237">
        <v>367.62</v>
      </c>
      <c r="P170" s="237">
        <v>373.66</v>
      </c>
      <c r="Q170" s="237">
        <v>379.7</v>
      </c>
      <c r="R170" s="237">
        <v>385.75</v>
      </c>
      <c r="S170" s="237">
        <v>276.98</v>
      </c>
      <c r="T170" s="237">
        <v>270.94</v>
      </c>
      <c r="U170" s="237">
        <v>264.89999999999998</v>
      </c>
      <c r="V170" s="237">
        <v>258.86</v>
      </c>
      <c r="W170" s="237">
        <v>252.81</v>
      </c>
      <c r="X170" s="51">
        <v>166</v>
      </c>
      <c r="Y170" s="761">
        <v>216.14</v>
      </c>
      <c r="Z170" s="761">
        <v>220.41</v>
      </c>
      <c r="AA170" s="730">
        <v>224.67</v>
      </c>
      <c r="AB170" s="742">
        <v>228.94</v>
      </c>
      <c r="AC170" s="747">
        <v>233.21</v>
      </c>
      <c r="AD170" s="739">
        <f>AD169+1.43</f>
        <v>237.46999999999994</v>
      </c>
      <c r="AE170" s="742">
        <v>241.74</v>
      </c>
      <c r="AF170" s="742">
        <v>246</v>
      </c>
      <c r="AG170" s="783">
        <v>250.27</v>
      </c>
      <c r="AH170" s="787">
        <v>254.54</v>
      </c>
      <c r="AI170" s="237">
        <v>216.66</v>
      </c>
      <c r="AJ170" s="237">
        <v>220.93</v>
      </c>
      <c r="AK170" s="237">
        <v>225.19</v>
      </c>
      <c r="AL170" s="237">
        <v>229.46</v>
      </c>
      <c r="AM170" s="237">
        <v>233.72</v>
      </c>
      <c r="AN170" s="237">
        <v>237.99</v>
      </c>
      <c r="AO170" s="237">
        <v>242.26</v>
      </c>
      <c r="AP170" s="237">
        <v>246.52</v>
      </c>
      <c r="AQ170" s="237">
        <v>250.79</v>
      </c>
      <c r="AR170" s="237">
        <v>255.05</v>
      </c>
      <c r="AS170" s="237">
        <v>178.26</v>
      </c>
      <c r="AT170" s="237">
        <v>174</v>
      </c>
      <c r="AU170" s="761">
        <v>211.87</v>
      </c>
      <c r="AV170" s="237">
        <v>165.46</v>
      </c>
      <c r="AW170" s="237">
        <v>161.19999999999999</v>
      </c>
    </row>
    <row r="171" spans="1:49" ht="22.5">
      <c r="A171" s="2">
        <v>284.74</v>
      </c>
      <c r="B171" s="59">
        <v>290.82</v>
      </c>
      <c r="C171" s="3">
        <v>296.89999999999998</v>
      </c>
      <c r="D171" s="3">
        <v>302.97000000000003</v>
      </c>
      <c r="E171" s="59">
        <v>309.05</v>
      </c>
      <c r="F171" s="59">
        <v>315.13</v>
      </c>
      <c r="G171" s="59">
        <v>321.20999999999998</v>
      </c>
      <c r="H171" s="974">
        <v>412</v>
      </c>
      <c r="I171" s="237">
        <v>333.37</v>
      </c>
      <c r="J171" s="237">
        <v>339.45</v>
      </c>
      <c r="K171" s="237">
        <v>345.53</v>
      </c>
      <c r="L171" s="237">
        <v>351.6</v>
      </c>
      <c r="M171" s="237">
        <v>357.68</v>
      </c>
      <c r="N171" s="237">
        <v>363.76</v>
      </c>
      <c r="O171" s="237">
        <v>369.84</v>
      </c>
      <c r="P171" s="237">
        <v>375.92</v>
      </c>
      <c r="Q171" s="237">
        <v>382</v>
      </c>
      <c r="R171" s="237">
        <v>388.08</v>
      </c>
      <c r="S171" s="237">
        <v>278.66000000000003</v>
      </c>
      <c r="T171" s="237">
        <v>272.58</v>
      </c>
      <c r="U171" s="237">
        <v>266.5</v>
      </c>
      <c r="V171" s="237">
        <v>260.42</v>
      </c>
      <c r="W171" s="237">
        <v>254.34</v>
      </c>
      <c r="X171" s="51">
        <v>167</v>
      </c>
      <c r="Y171" s="761">
        <v>217.45</v>
      </c>
      <c r="Z171" s="761">
        <v>221.74</v>
      </c>
      <c r="AA171" s="730">
        <v>226.03</v>
      </c>
      <c r="AB171" s="742">
        <v>230.32</v>
      </c>
      <c r="AC171" s="747">
        <v>234.62</v>
      </c>
      <c r="AD171" s="739">
        <f>AD170+1.44</f>
        <v>238.90999999999994</v>
      </c>
      <c r="AE171" s="742">
        <v>243.2</v>
      </c>
      <c r="AF171" s="742">
        <v>247.49</v>
      </c>
      <c r="AG171" s="783">
        <v>251.78</v>
      </c>
      <c r="AH171" s="787">
        <v>256.07</v>
      </c>
      <c r="AI171" s="237">
        <v>217.97</v>
      </c>
      <c r="AJ171" s="237">
        <v>222.26</v>
      </c>
      <c r="AK171" s="237">
        <v>226.55</v>
      </c>
      <c r="AL171" s="237">
        <v>230.84</v>
      </c>
      <c r="AM171" s="237">
        <v>235.14</v>
      </c>
      <c r="AN171" s="237">
        <v>239.43</v>
      </c>
      <c r="AO171" s="237">
        <v>243.72</v>
      </c>
      <c r="AP171" s="237">
        <v>248.01</v>
      </c>
      <c r="AQ171" s="237">
        <v>252.3</v>
      </c>
      <c r="AR171" s="237">
        <v>256.58999999999997</v>
      </c>
      <c r="AS171" s="237">
        <v>179.34</v>
      </c>
      <c r="AT171" s="237">
        <v>175.05</v>
      </c>
      <c r="AU171" s="761">
        <v>213.16</v>
      </c>
      <c r="AV171" s="237">
        <v>166.46</v>
      </c>
      <c r="AW171" s="237">
        <v>162.16999999999999</v>
      </c>
    </row>
    <row r="172" spans="1:49" ht="22.5">
      <c r="A172" s="2">
        <v>286.45</v>
      </c>
      <c r="B172" s="59">
        <v>292.57</v>
      </c>
      <c r="C172" s="3">
        <v>298.68</v>
      </c>
      <c r="D172" s="3">
        <v>304.8</v>
      </c>
      <c r="E172" s="59">
        <v>310.92</v>
      </c>
      <c r="F172" s="59">
        <v>317.02999999999997</v>
      </c>
      <c r="G172" s="59">
        <v>323.14999999999998</v>
      </c>
      <c r="H172" s="974">
        <v>414.49</v>
      </c>
      <c r="I172" s="237">
        <v>335.38</v>
      </c>
      <c r="J172" s="237">
        <v>341.49</v>
      </c>
      <c r="K172" s="237">
        <v>347.61</v>
      </c>
      <c r="L172" s="237">
        <v>353.72</v>
      </c>
      <c r="M172" s="237">
        <v>359.84</v>
      </c>
      <c r="N172" s="237">
        <v>365.95</v>
      </c>
      <c r="O172" s="237">
        <v>372.07</v>
      </c>
      <c r="P172" s="237">
        <v>378.18</v>
      </c>
      <c r="Q172" s="237">
        <v>384.3</v>
      </c>
      <c r="R172" s="237">
        <v>390.41</v>
      </c>
      <c r="S172" s="237">
        <v>280.33999999999997</v>
      </c>
      <c r="T172" s="237">
        <v>274.22000000000003</v>
      </c>
      <c r="U172" s="237">
        <v>268.11</v>
      </c>
      <c r="V172" s="237">
        <v>261.99</v>
      </c>
      <c r="W172" s="237">
        <v>255.88</v>
      </c>
      <c r="X172" s="51">
        <v>168</v>
      </c>
      <c r="Y172" s="761">
        <v>218.76</v>
      </c>
      <c r="Z172" s="761">
        <v>223.07</v>
      </c>
      <c r="AA172" s="730">
        <v>227.39</v>
      </c>
      <c r="AB172" s="742">
        <v>231.71</v>
      </c>
      <c r="AC172" s="747">
        <v>236.03</v>
      </c>
      <c r="AD172" s="739">
        <f>AD171+1.43</f>
        <v>240.33999999999995</v>
      </c>
      <c r="AE172" s="742">
        <v>244.66</v>
      </c>
      <c r="AF172" s="742">
        <v>248.98</v>
      </c>
      <c r="AG172" s="783">
        <v>253.3</v>
      </c>
      <c r="AH172" s="787">
        <v>257.61</v>
      </c>
      <c r="AI172" s="237">
        <v>219.28</v>
      </c>
      <c r="AJ172" s="237">
        <v>223.59</v>
      </c>
      <c r="AK172" s="237">
        <v>227.91</v>
      </c>
      <c r="AL172" s="237">
        <v>232.23</v>
      </c>
      <c r="AM172" s="237">
        <v>236.55</v>
      </c>
      <c r="AN172" s="237">
        <v>240.86</v>
      </c>
      <c r="AO172" s="237">
        <v>245.18</v>
      </c>
      <c r="AP172" s="237">
        <v>249.5</v>
      </c>
      <c r="AQ172" s="237">
        <v>253.82</v>
      </c>
      <c r="AR172" s="237">
        <v>258.14</v>
      </c>
      <c r="AS172" s="237">
        <v>180.42</v>
      </c>
      <c r="AT172" s="237">
        <v>176.1</v>
      </c>
      <c r="AU172" s="761">
        <v>214.44</v>
      </c>
      <c r="AV172" s="237">
        <v>167.47</v>
      </c>
      <c r="AW172" s="237">
        <v>163.15</v>
      </c>
    </row>
    <row r="173" spans="1:49" ht="22.5">
      <c r="A173" s="2">
        <v>287.89999999999998</v>
      </c>
      <c r="B173" s="59">
        <v>294.05</v>
      </c>
      <c r="C173" s="3">
        <v>300.2</v>
      </c>
      <c r="D173" s="3">
        <v>306.35000000000002</v>
      </c>
      <c r="E173" s="59">
        <v>312.5</v>
      </c>
      <c r="F173" s="59">
        <v>318.64999999999998</v>
      </c>
      <c r="G173" s="59">
        <v>324.81</v>
      </c>
      <c r="H173" s="974">
        <v>416.5</v>
      </c>
      <c r="I173" s="237">
        <v>337.11</v>
      </c>
      <c r="J173" s="237">
        <v>343.26</v>
      </c>
      <c r="K173" s="237">
        <v>349.41</v>
      </c>
      <c r="L173" s="237">
        <v>355.56</v>
      </c>
      <c r="M173" s="237">
        <v>361.72</v>
      </c>
      <c r="N173" s="237">
        <v>367.87</v>
      </c>
      <c r="O173" s="237">
        <v>374.02</v>
      </c>
      <c r="P173" s="237">
        <v>380.17</v>
      </c>
      <c r="Q173" s="237">
        <v>386.32</v>
      </c>
      <c r="R173" s="237">
        <v>392.47</v>
      </c>
      <c r="S173" s="237">
        <v>281.75</v>
      </c>
      <c r="T173" s="237">
        <v>275.58999999999997</v>
      </c>
      <c r="U173" s="237">
        <v>269.44</v>
      </c>
      <c r="V173" s="237">
        <v>263.29000000000002</v>
      </c>
      <c r="W173" s="237">
        <v>257.14</v>
      </c>
      <c r="X173" s="51">
        <v>169</v>
      </c>
      <c r="Y173" s="761">
        <v>220.07</v>
      </c>
      <c r="Z173" s="761">
        <v>224.41</v>
      </c>
      <c r="AA173" s="730">
        <v>228.75</v>
      </c>
      <c r="AB173" s="742">
        <v>233.1</v>
      </c>
      <c r="AC173" s="747">
        <v>237.44</v>
      </c>
      <c r="AD173" s="739">
        <f>AD172+1.44</f>
        <v>241.77999999999994</v>
      </c>
      <c r="AE173" s="742">
        <v>246.13</v>
      </c>
      <c r="AF173" s="742">
        <v>250.47</v>
      </c>
      <c r="AG173" s="783">
        <v>254.81</v>
      </c>
      <c r="AH173" s="787">
        <v>259.16000000000003</v>
      </c>
      <c r="AI173" s="237">
        <v>220.59</v>
      </c>
      <c r="AJ173" s="237">
        <v>224.93</v>
      </c>
      <c r="AK173" s="237">
        <v>229.27</v>
      </c>
      <c r="AL173" s="237">
        <v>233.62</v>
      </c>
      <c r="AM173" s="237">
        <v>237.96</v>
      </c>
      <c r="AN173" s="237">
        <v>242.3</v>
      </c>
      <c r="AO173" s="237">
        <v>246.65</v>
      </c>
      <c r="AP173" s="237">
        <v>250.99</v>
      </c>
      <c r="AQ173" s="237">
        <v>255.33</v>
      </c>
      <c r="AR173" s="237">
        <v>259.68</v>
      </c>
      <c r="AS173" s="237">
        <v>181.5</v>
      </c>
      <c r="AT173" s="237">
        <v>177.15</v>
      </c>
      <c r="AU173" s="761">
        <v>215.72</v>
      </c>
      <c r="AV173" s="237">
        <v>168.47</v>
      </c>
      <c r="AW173" s="237">
        <v>164.12</v>
      </c>
    </row>
    <row r="174" spans="1:49" ht="22.5">
      <c r="A174" s="2">
        <v>289.62</v>
      </c>
      <c r="B174" s="59">
        <v>295.8</v>
      </c>
      <c r="C174" s="3">
        <v>301.99</v>
      </c>
      <c r="D174" s="3">
        <v>308.18</v>
      </c>
      <c r="E174" s="59">
        <v>314.37</v>
      </c>
      <c r="F174" s="59">
        <v>320.56</v>
      </c>
      <c r="G174" s="59">
        <v>326.74</v>
      </c>
      <c r="H174" s="974">
        <v>419</v>
      </c>
      <c r="I174" s="237">
        <v>339.12</v>
      </c>
      <c r="J174" s="237">
        <v>345.31</v>
      </c>
      <c r="K174" s="237">
        <v>351.5</v>
      </c>
      <c r="L174" s="237">
        <v>357.68</v>
      </c>
      <c r="M174" s="237">
        <v>363.87</v>
      </c>
      <c r="N174" s="237">
        <v>370.06</v>
      </c>
      <c r="O174" s="237">
        <v>376.25</v>
      </c>
      <c r="P174" s="237">
        <v>382.44</v>
      </c>
      <c r="Q174" s="237">
        <v>388.62</v>
      </c>
      <c r="R174" s="237">
        <v>394.81</v>
      </c>
      <c r="S174" s="237">
        <v>283.75</v>
      </c>
      <c r="T174" s="237">
        <v>277.24</v>
      </c>
      <c r="U174" s="237">
        <v>271.05</v>
      </c>
      <c r="V174" s="237">
        <v>264.86</v>
      </c>
      <c r="W174" s="237">
        <v>258.68</v>
      </c>
      <c r="X174" s="51">
        <v>170</v>
      </c>
      <c r="Y174" s="761">
        <v>221.38</v>
      </c>
      <c r="Z174" s="761">
        <v>225.75</v>
      </c>
      <c r="AA174" s="730">
        <v>230.12</v>
      </c>
      <c r="AB174" s="742">
        <v>234.49</v>
      </c>
      <c r="AC174" s="747">
        <v>238.85</v>
      </c>
      <c r="AD174" s="739">
        <f>AD173+1.44</f>
        <v>243.21999999999994</v>
      </c>
      <c r="AE174" s="742">
        <v>247.59</v>
      </c>
      <c r="AF174" s="742">
        <v>251.96</v>
      </c>
      <c r="AG174" s="783">
        <v>256.33</v>
      </c>
      <c r="AH174" s="787">
        <v>260.7</v>
      </c>
      <c r="AI174" s="237">
        <v>221.9</v>
      </c>
      <c r="AJ174" s="237">
        <v>226.27</v>
      </c>
      <c r="AK174" s="237">
        <v>230.64</v>
      </c>
      <c r="AL174" s="237">
        <v>235.01</v>
      </c>
      <c r="AM174" s="237">
        <v>239.37</v>
      </c>
      <c r="AN174" s="237">
        <v>243.74</v>
      </c>
      <c r="AO174" s="237">
        <v>248.11</v>
      </c>
      <c r="AP174" s="237">
        <v>252.48</v>
      </c>
      <c r="AQ174" s="237">
        <v>256.85000000000002</v>
      </c>
      <c r="AR174" s="237">
        <v>261.22000000000003</v>
      </c>
      <c r="AS174" s="237">
        <v>182.58</v>
      </c>
      <c r="AT174" s="237">
        <v>178.21</v>
      </c>
      <c r="AU174" s="761">
        <v>217.01</v>
      </c>
      <c r="AV174" s="237">
        <v>169.47</v>
      </c>
      <c r="AW174" s="237">
        <v>165.1</v>
      </c>
    </row>
    <row r="175" spans="1:49" ht="22.5">
      <c r="A175" s="2">
        <v>291.33999999999997</v>
      </c>
      <c r="B175" s="59">
        <v>297.56</v>
      </c>
      <c r="C175" s="3">
        <v>303.79000000000002</v>
      </c>
      <c r="D175" s="3">
        <v>310.01</v>
      </c>
      <c r="E175" s="59">
        <v>316.24</v>
      </c>
      <c r="F175" s="59">
        <v>322.45999999999998</v>
      </c>
      <c r="G175" s="59">
        <v>328.69</v>
      </c>
      <c r="H175" s="974">
        <v>421.5</v>
      </c>
      <c r="I175" s="237">
        <v>341.14</v>
      </c>
      <c r="J175" s="237">
        <v>347.36</v>
      </c>
      <c r="K175" s="237">
        <v>353.58</v>
      </c>
      <c r="L175" s="237">
        <v>359.81</v>
      </c>
      <c r="M175" s="237">
        <v>366.03</v>
      </c>
      <c r="N175" s="237">
        <v>372.26</v>
      </c>
      <c r="O175" s="237">
        <v>378.48</v>
      </c>
      <c r="P175" s="237">
        <v>384.71</v>
      </c>
      <c r="Q175" s="237">
        <v>390.93</v>
      </c>
      <c r="R175" s="237">
        <v>397.16</v>
      </c>
      <c r="S175" s="237">
        <v>285.12</v>
      </c>
      <c r="T175" s="237">
        <v>278.89</v>
      </c>
      <c r="U175" s="237">
        <v>272.67</v>
      </c>
      <c r="V175" s="237">
        <v>266.44</v>
      </c>
      <c r="W175" s="237">
        <v>260.22000000000003</v>
      </c>
      <c r="X175" s="51">
        <v>171</v>
      </c>
      <c r="Y175" s="761">
        <v>222.69</v>
      </c>
      <c r="Z175" s="761">
        <v>227.09</v>
      </c>
      <c r="AA175" s="730">
        <v>231.48</v>
      </c>
      <c r="AB175" s="742">
        <v>235.88</v>
      </c>
      <c r="AC175" s="747">
        <v>240.27</v>
      </c>
      <c r="AD175" s="739">
        <f>AD174+1.45</f>
        <v>244.66999999999993</v>
      </c>
      <c r="AE175" s="742">
        <v>249.06</v>
      </c>
      <c r="AF175" s="742">
        <v>253.46</v>
      </c>
      <c r="AG175" s="783">
        <v>257.85000000000002</v>
      </c>
      <c r="AH175" s="787">
        <v>262.24</v>
      </c>
      <c r="AI175" s="237">
        <v>223.21</v>
      </c>
      <c r="AJ175" s="237">
        <v>227.61</v>
      </c>
      <c r="AK175" s="237">
        <v>232</v>
      </c>
      <c r="AL175" s="237">
        <v>236.39</v>
      </c>
      <c r="AM175" s="237">
        <v>240.79</v>
      </c>
      <c r="AN175" s="237">
        <v>245.18</v>
      </c>
      <c r="AO175" s="237">
        <v>249.58</v>
      </c>
      <c r="AP175" s="237">
        <v>253.97</v>
      </c>
      <c r="AQ175" s="237">
        <v>258.37</v>
      </c>
      <c r="AR175" s="237">
        <v>262.76</v>
      </c>
      <c r="AS175" s="237">
        <v>183.66</v>
      </c>
      <c r="AT175" s="237">
        <v>179.26</v>
      </c>
      <c r="AU175" s="761">
        <v>218.3</v>
      </c>
      <c r="AV175" s="237">
        <v>170.47</v>
      </c>
      <c r="AW175" s="237">
        <v>166.08</v>
      </c>
    </row>
    <row r="176" spans="1:49" ht="22.5">
      <c r="A176" s="2">
        <v>293.07</v>
      </c>
      <c r="B176" s="59">
        <v>299.33</v>
      </c>
      <c r="C176" s="3">
        <v>305.58999999999997</v>
      </c>
      <c r="D176" s="3">
        <v>311.85000000000002</v>
      </c>
      <c r="E176" s="59">
        <v>318.11</v>
      </c>
      <c r="F176" s="59">
        <v>324.37</v>
      </c>
      <c r="G176" s="59">
        <v>330.63</v>
      </c>
      <c r="H176" s="974">
        <v>424</v>
      </c>
      <c r="I176" s="237">
        <v>343.15</v>
      </c>
      <c r="J176" s="237">
        <v>349.41</v>
      </c>
      <c r="K176" s="237">
        <v>355.68</v>
      </c>
      <c r="L176" s="237">
        <v>361.94</v>
      </c>
      <c r="M176" s="237">
        <v>368.2</v>
      </c>
      <c r="N176" s="237">
        <v>374.46</v>
      </c>
      <c r="O176" s="237">
        <v>380.72</v>
      </c>
      <c r="P176" s="237">
        <v>386.98</v>
      </c>
      <c r="Q176" s="237">
        <v>393.24</v>
      </c>
      <c r="R176" s="237">
        <v>399.5</v>
      </c>
      <c r="S176" s="237">
        <v>286.81</v>
      </c>
      <c r="T176" s="237">
        <v>280.55</v>
      </c>
      <c r="U176" s="237">
        <v>274.27999999999997</v>
      </c>
      <c r="V176" s="237">
        <v>268.02</v>
      </c>
      <c r="W176" s="237">
        <v>261.76</v>
      </c>
      <c r="X176" s="51">
        <v>172</v>
      </c>
      <c r="Y176" s="761">
        <v>224.01</v>
      </c>
      <c r="Z176" s="761">
        <v>228.43</v>
      </c>
      <c r="AA176" s="730">
        <v>232.85</v>
      </c>
      <c r="AB176" s="742">
        <v>237.27</v>
      </c>
      <c r="AC176" s="747">
        <v>241.69</v>
      </c>
      <c r="AD176" s="739">
        <f>AD175+1.44</f>
        <v>246.10999999999993</v>
      </c>
      <c r="AE176" s="742">
        <v>250.53</v>
      </c>
      <c r="AF176" s="742">
        <v>254.95</v>
      </c>
      <c r="AG176" s="783">
        <v>259.31</v>
      </c>
      <c r="AH176" s="787">
        <v>263.79000000000002</v>
      </c>
      <c r="AI176" s="237">
        <v>224.52</v>
      </c>
      <c r="AJ176" s="237">
        <v>228.94</v>
      </c>
      <c r="AK176" s="237">
        <v>233.37</v>
      </c>
      <c r="AL176" s="237">
        <v>237.79</v>
      </c>
      <c r="AM176" s="237">
        <v>242.21</v>
      </c>
      <c r="AN176" s="237">
        <v>246.63</v>
      </c>
      <c r="AO176" s="237">
        <v>251.05</v>
      </c>
      <c r="AP176" s="237">
        <v>255.47</v>
      </c>
      <c r="AQ176" s="237">
        <v>259.89</v>
      </c>
      <c r="AR176" s="237">
        <v>264.31</v>
      </c>
      <c r="AS176" s="237">
        <v>184.74</v>
      </c>
      <c r="AT176" s="237">
        <v>180.32</v>
      </c>
      <c r="AU176" s="761">
        <v>219.59</v>
      </c>
      <c r="AV176" s="237">
        <v>171.48</v>
      </c>
      <c r="AW176" s="237">
        <v>167.06</v>
      </c>
    </row>
    <row r="177" spans="1:49" ht="22.5">
      <c r="A177" s="2">
        <v>294.8</v>
      </c>
      <c r="B177" s="59">
        <v>301.10000000000002</v>
      </c>
      <c r="C177" s="3">
        <v>307.39</v>
      </c>
      <c r="D177" s="3">
        <v>313.69</v>
      </c>
      <c r="E177" s="59">
        <v>319.99</v>
      </c>
      <c r="F177" s="59">
        <v>326.27999999999997</v>
      </c>
      <c r="G177" s="59">
        <v>332.58</v>
      </c>
      <c r="H177" s="974">
        <v>426.51</v>
      </c>
      <c r="I177" s="237">
        <v>345.18</v>
      </c>
      <c r="J177" s="237">
        <v>351.47</v>
      </c>
      <c r="K177" s="237">
        <v>357.77</v>
      </c>
      <c r="L177" s="237">
        <v>364.07</v>
      </c>
      <c r="M177" s="237">
        <v>370.36</v>
      </c>
      <c r="N177" s="237">
        <v>376.66</v>
      </c>
      <c r="O177" s="237">
        <v>382.96</v>
      </c>
      <c r="P177" s="237">
        <v>389.26</v>
      </c>
      <c r="Q177" s="237">
        <v>395.55</v>
      </c>
      <c r="R177" s="237">
        <v>401.85</v>
      </c>
      <c r="S177" s="237">
        <v>288.5</v>
      </c>
      <c r="T177" s="237">
        <v>282.2</v>
      </c>
      <c r="U177" s="237">
        <v>275.91000000000003</v>
      </c>
      <c r="V177" s="237">
        <v>269.61</v>
      </c>
      <c r="W177" s="237">
        <v>263.31</v>
      </c>
      <c r="X177" s="51">
        <v>173</v>
      </c>
      <c r="Y177" s="761">
        <v>225.19</v>
      </c>
      <c r="Z177" s="761">
        <v>229.64</v>
      </c>
      <c r="AA177" s="730">
        <v>234.08</v>
      </c>
      <c r="AB177" s="742">
        <v>238.53</v>
      </c>
      <c r="AC177" s="747">
        <v>242.98</v>
      </c>
      <c r="AD177" s="739">
        <v>247.42</v>
      </c>
      <c r="AE177" s="742">
        <v>251.87</v>
      </c>
      <c r="AF177" s="742">
        <v>256.31</v>
      </c>
      <c r="AG177" s="783">
        <v>260.76</v>
      </c>
      <c r="AH177" s="787">
        <v>265.20999999999998</v>
      </c>
      <c r="AI177" s="237">
        <v>225.76</v>
      </c>
      <c r="AJ177" s="237">
        <v>230.2</v>
      </c>
      <c r="AK177" s="237">
        <v>234.65</v>
      </c>
      <c r="AL177" s="237">
        <v>239.09</v>
      </c>
      <c r="AM177" s="237">
        <v>243.54</v>
      </c>
      <c r="AN177" s="237">
        <v>247.99</v>
      </c>
      <c r="AO177" s="237">
        <v>252.43</v>
      </c>
      <c r="AP177" s="237">
        <v>256.88</v>
      </c>
      <c r="AQ177" s="237">
        <v>261.33</v>
      </c>
      <c r="AR177" s="237">
        <v>265.77</v>
      </c>
      <c r="AS177" s="237">
        <v>185.74</v>
      </c>
      <c r="AT177" s="237">
        <v>181.3</v>
      </c>
      <c r="AU177" s="761">
        <v>220.75</v>
      </c>
      <c r="AV177" s="237">
        <v>172.4</v>
      </c>
      <c r="AW177" s="237">
        <v>167.96</v>
      </c>
    </row>
    <row r="178" spans="1:49" ht="22.5">
      <c r="A178" s="2">
        <v>296.52999999999997</v>
      </c>
      <c r="B178" s="59">
        <v>302.87</v>
      </c>
      <c r="C178" s="3">
        <v>309.2</v>
      </c>
      <c r="D178" s="3">
        <v>315.52999999999997</v>
      </c>
      <c r="E178" s="59">
        <v>321.87</v>
      </c>
      <c r="F178" s="59">
        <v>328.2</v>
      </c>
      <c r="G178" s="59">
        <v>334.53</v>
      </c>
      <c r="H178" s="974">
        <v>429.03</v>
      </c>
      <c r="I178" s="237">
        <v>347.2</v>
      </c>
      <c r="J178" s="237">
        <v>353.53</v>
      </c>
      <c r="K178" s="237">
        <v>359.87</v>
      </c>
      <c r="L178" s="237">
        <v>366.2</v>
      </c>
      <c r="M178" s="237">
        <v>372.54</v>
      </c>
      <c r="N178" s="237">
        <v>378.87</v>
      </c>
      <c r="O178" s="237">
        <v>385.2</v>
      </c>
      <c r="P178" s="237">
        <v>391.54</v>
      </c>
      <c r="Q178" s="237">
        <v>397.87</v>
      </c>
      <c r="R178" s="237">
        <v>404.2</v>
      </c>
      <c r="S178" s="237">
        <v>290.2</v>
      </c>
      <c r="T178" s="237">
        <v>283.87</v>
      </c>
      <c r="U178" s="237">
        <v>277.52999999999997</v>
      </c>
      <c r="V178" s="237">
        <v>271.2</v>
      </c>
      <c r="W178" s="237">
        <v>264.86</v>
      </c>
      <c r="X178" s="51">
        <v>174</v>
      </c>
      <c r="Y178" s="761">
        <v>226.51</v>
      </c>
      <c r="Z178" s="761">
        <v>230.98</v>
      </c>
      <c r="AA178" s="730">
        <v>235.45</v>
      </c>
      <c r="AB178" s="742">
        <v>239.92</v>
      </c>
      <c r="AC178" s="747">
        <v>244.4</v>
      </c>
      <c r="AD178" s="739">
        <f>AD177+1.45</f>
        <v>248.86999999999998</v>
      </c>
      <c r="AE178" s="742">
        <v>253.34</v>
      </c>
      <c r="AF178" s="742">
        <v>257.81</v>
      </c>
      <c r="AG178" s="783">
        <v>262.27999999999997</v>
      </c>
      <c r="AH178" s="787">
        <v>266.76</v>
      </c>
      <c r="AI178" s="237">
        <v>227.07</v>
      </c>
      <c r="AJ178" s="237">
        <v>231.54</v>
      </c>
      <c r="AK178" s="237">
        <v>236.01</v>
      </c>
      <c r="AL178" s="237">
        <v>240.49</v>
      </c>
      <c r="AM178" s="237">
        <v>244.96</v>
      </c>
      <c r="AN178" s="237">
        <v>249.43</v>
      </c>
      <c r="AO178" s="237">
        <v>253.9</v>
      </c>
      <c r="AP178" s="237">
        <v>258.37</v>
      </c>
      <c r="AQ178" s="237">
        <v>262.85000000000002</v>
      </c>
      <c r="AR178" s="237">
        <v>267.32</v>
      </c>
      <c r="AS178" s="237">
        <v>186.82</v>
      </c>
      <c r="AT178" s="237">
        <v>182.35</v>
      </c>
      <c r="AU178" s="761">
        <v>222.04</v>
      </c>
      <c r="AV178" s="237">
        <v>173.41</v>
      </c>
      <c r="AW178" s="237">
        <v>168.94</v>
      </c>
    </row>
    <row r="179" spans="1:49" ht="22.5">
      <c r="A179" s="2">
        <v>298.27</v>
      </c>
      <c r="B179" s="59">
        <v>304.64</v>
      </c>
      <c r="C179" s="3">
        <v>311.01</v>
      </c>
      <c r="D179" s="3">
        <v>317.38</v>
      </c>
      <c r="E179" s="59">
        <v>323.75</v>
      </c>
      <c r="F179" s="59">
        <v>330.12</v>
      </c>
      <c r="G179" s="59">
        <v>336.49</v>
      </c>
      <c r="H179" s="974">
        <v>431.55</v>
      </c>
      <c r="I179" s="237">
        <v>349.23</v>
      </c>
      <c r="J179" s="237">
        <v>355.6</v>
      </c>
      <c r="K179" s="237">
        <v>361.97</v>
      </c>
      <c r="L179" s="237">
        <v>368.34</v>
      </c>
      <c r="M179" s="237">
        <v>374.71</v>
      </c>
      <c r="N179" s="237">
        <v>381.08</v>
      </c>
      <c r="O179" s="237">
        <v>387.45</v>
      </c>
      <c r="P179" s="237">
        <v>393.82</v>
      </c>
      <c r="Q179" s="237">
        <v>400.19</v>
      </c>
      <c r="R179" s="237">
        <v>406.56</v>
      </c>
      <c r="S179" s="237">
        <v>291.89999999999998</v>
      </c>
      <c r="T179" s="237">
        <v>285.52999999999997</v>
      </c>
      <c r="U179" s="237">
        <v>279.16000000000003</v>
      </c>
      <c r="V179" s="237">
        <v>272.79000000000002</v>
      </c>
      <c r="W179" s="237">
        <v>266.42</v>
      </c>
      <c r="X179" s="51">
        <v>175</v>
      </c>
      <c r="Y179" s="761">
        <v>227.83</v>
      </c>
      <c r="Z179" s="761">
        <v>232.33</v>
      </c>
      <c r="AA179" s="730">
        <v>236.82</v>
      </c>
      <c r="AB179" s="742">
        <v>241.32</v>
      </c>
      <c r="AC179" s="747">
        <v>245.82</v>
      </c>
      <c r="AD179" s="739">
        <f>AD178+1.45</f>
        <v>250.31999999999996</v>
      </c>
      <c r="AE179" s="742">
        <v>254.81</v>
      </c>
      <c r="AF179" s="742">
        <v>259.31</v>
      </c>
      <c r="AG179" s="783">
        <v>263.81</v>
      </c>
      <c r="AH179" s="787">
        <v>268.31</v>
      </c>
      <c r="AI179" s="237">
        <v>228.39</v>
      </c>
      <c r="AJ179" s="237">
        <v>232.88</v>
      </c>
      <c r="AK179" s="237">
        <v>237.38</v>
      </c>
      <c r="AL179" s="237">
        <v>241.88</v>
      </c>
      <c r="AM179" s="237">
        <v>246.38</v>
      </c>
      <c r="AN179" s="237">
        <v>250.87</v>
      </c>
      <c r="AO179" s="237">
        <v>255.37</v>
      </c>
      <c r="AP179" s="237">
        <v>259.87</v>
      </c>
      <c r="AQ179" s="237">
        <v>264.37</v>
      </c>
      <c r="AR179" s="237">
        <v>268.86</v>
      </c>
      <c r="AS179" s="237">
        <v>187.91</v>
      </c>
      <c r="AT179" s="237">
        <v>183.41</v>
      </c>
      <c r="AU179" s="761">
        <v>223.33</v>
      </c>
      <c r="AV179" s="237">
        <v>174.42</v>
      </c>
      <c r="AW179" s="237">
        <v>169.92</v>
      </c>
    </row>
    <row r="180" spans="1:49" ht="22.5">
      <c r="A180" s="2">
        <v>300.01</v>
      </c>
      <c r="B180" s="59">
        <v>306.42</v>
      </c>
      <c r="C180" s="3">
        <v>312.83</v>
      </c>
      <c r="D180" s="3">
        <v>319.23</v>
      </c>
      <c r="E180" s="59">
        <v>325.64</v>
      </c>
      <c r="F180" s="59">
        <v>332.04</v>
      </c>
      <c r="G180" s="59">
        <v>338.45</v>
      </c>
      <c r="H180" s="974">
        <v>434.08</v>
      </c>
      <c r="I180" s="237">
        <v>351.26</v>
      </c>
      <c r="J180" s="237">
        <v>357.67</v>
      </c>
      <c r="K180" s="237">
        <v>364.08</v>
      </c>
      <c r="L180" s="237">
        <v>370.48</v>
      </c>
      <c r="M180" s="237">
        <v>376.89</v>
      </c>
      <c r="N180" s="237">
        <v>383.3</v>
      </c>
      <c r="O180" s="237">
        <v>389.7</v>
      </c>
      <c r="P180" s="237">
        <v>396.11</v>
      </c>
      <c r="Q180" s="237">
        <v>402.52</v>
      </c>
      <c r="R180" s="237">
        <v>408.92</v>
      </c>
      <c r="S180" s="237">
        <v>293.61</v>
      </c>
      <c r="T180" s="237">
        <v>287.2</v>
      </c>
      <c r="U180" s="237">
        <v>280.79000000000002</v>
      </c>
      <c r="V180" s="237">
        <v>274.39</v>
      </c>
      <c r="W180" s="237">
        <v>267.98</v>
      </c>
      <c r="X180" s="51">
        <v>176</v>
      </c>
      <c r="Y180" s="761">
        <v>229.15</v>
      </c>
      <c r="Z180" s="761">
        <v>233.67</v>
      </c>
      <c r="AA180" s="730">
        <v>238.19</v>
      </c>
      <c r="AB180" s="742">
        <v>242.72</v>
      </c>
      <c r="AC180" s="747">
        <v>247.24</v>
      </c>
      <c r="AD180" s="739">
        <f>AD179+1.44</f>
        <v>251.75999999999996</v>
      </c>
      <c r="AE180" s="742">
        <v>256.29000000000002</v>
      </c>
      <c r="AF180" s="742">
        <v>260.81</v>
      </c>
      <c r="AG180" s="783">
        <v>265.33</v>
      </c>
      <c r="AH180" s="787">
        <v>269.86</v>
      </c>
      <c r="AI180" s="237">
        <v>229.7</v>
      </c>
      <c r="AJ180" s="237">
        <v>234.23</v>
      </c>
      <c r="AK180" s="237">
        <v>238.75</v>
      </c>
      <c r="AL180" s="237">
        <v>243.27</v>
      </c>
      <c r="AM180" s="237">
        <v>247.8</v>
      </c>
      <c r="AN180" s="237">
        <v>252.32</v>
      </c>
      <c r="AO180" s="237">
        <v>256.83999999999997</v>
      </c>
      <c r="AP180" s="237">
        <v>261.37</v>
      </c>
      <c r="AQ180" s="237">
        <v>265.89</v>
      </c>
      <c r="AR180" s="237">
        <v>270.41000000000003</v>
      </c>
      <c r="AS180" s="237">
        <v>188.99</v>
      </c>
      <c r="AT180" s="237">
        <v>184.47</v>
      </c>
      <c r="AU180" s="761">
        <v>224.63</v>
      </c>
      <c r="AV180" s="237">
        <v>175.42</v>
      </c>
      <c r="AW180" s="237">
        <v>170.9</v>
      </c>
    </row>
    <row r="181" spans="1:49" ht="22.5">
      <c r="A181" s="2">
        <v>301.76</v>
      </c>
      <c r="B181" s="59">
        <v>308.2</v>
      </c>
      <c r="C181" s="3">
        <v>314.64</v>
      </c>
      <c r="D181" s="3">
        <v>321.08999999999997</v>
      </c>
      <c r="E181" s="59">
        <v>327.52999999999997</v>
      </c>
      <c r="F181" s="59">
        <v>333.97</v>
      </c>
      <c r="G181" s="59">
        <v>340.42</v>
      </c>
      <c r="H181" s="974">
        <v>436.62</v>
      </c>
      <c r="I181" s="237">
        <v>353.3</v>
      </c>
      <c r="J181" s="237">
        <v>359.74</v>
      </c>
      <c r="K181" s="237">
        <v>366.19</v>
      </c>
      <c r="L181" s="237">
        <v>372.63</v>
      </c>
      <c r="M181" s="237">
        <v>379.07</v>
      </c>
      <c r="N181" s="237">
        <v>385.52</v>
      </c>
      <c r="O181" s="237">
        <v>391.96</v>
      </c>
      <c r="P181" s="237">
        <v>398.4</v>
      </c>
      <c r="Q181" s="237">
        <v>404.84</v>
      </c>
      <c r="R181" s="237">
        <v>411.29</v>
      </c>
      <c r="S181" s="237">
        <v>295.32</v>
      </c>
      <c r="T181" s="237">
        <v>288.87</v>
      </c>
      <c r="U181" s="237">
        <v>282.43</v>
      </c>
      <c r="V181" s="237">
        <v>275.99</v>
      </c>
      <c r="W181" s="237">
        <v>269.54000000000002</v>
      </c>
      <c r="X181" s="51">
        <v>177</v>
      </c>
      <c r="Y181" s="761">
        <v>230.47</v>
      </c>
      <c r="Z181" s="761">
        <v>235.02</v>
      </c>
      <c r="AA181" s="730">
        <v>239.57</v>
      </c>
      <c r="AB181" s="742">
        <v>244.12</v>
      </c>
      <c r="AC181" s="747">
        <v>248.67</v>
      </c>
      <c r="AD181" s="739">
        <f>AD180+1.45</f>
        <v>253.20999999999995</v>
      </c>
      <c r="AE181" s="742">
        <v>257.67</v>
      </c>
      <c r="AF181" s="742">
        <v>262.31</v>
      </c>
      <c r="AG181" s="783">
        <v>266.86</v>
      </c>
      <c r="AH181" s="787">
        <v>271.41000000000003</v>
      </c>
      <c r="AI181" s="237">
        <v>231.02</v>
      </c>
      <c r="AJ181" s="237">
        <v>235.57</v>
      </c>
      <c r="AK181" s="237">
        <v>240.12</v>
      </c>
      <c r="AL181" s="237">
        <v>244.67</v>
      </c>
      <c r="AM181" s="237">
        <v>249.22</v>
      </c>
      <c r="AN181" s="237">
        <v>253.77</v>
      </c>
      <c r="AO181" s="237">
        <v>258.31</v>
      </c>
      <c r="AP181" s="237">
        <v>262.86</v>
      </c>
      <c r="AQ181" s="237">
        <v>267.41000000000003</v>
      </c>
      <c r="AR181" s="237">
        <v>271.95999999999998</v>
      </c>
      <c r="AS181" s="237">
        <v>190.08</v>
      </c>
      <c r="AT181" s="237">
        <v>185.53</v>
      </c>
      <c r="AU181" s="761">
        <v>225.92</v>
      </c>
      <c r="AV181" s="237">
        <v>176.43</v>
      </c>
      <c r="AW181" s="237">
        <v>171.89</v>
      </c>
    </row>
    <row r="182" spans="1:49" ht="22.5">
      <c r="A182" s="2">
        <v>303.2</v>
      </c>
      <c r="B182" s="59">
        <v>309.68</v>
      </c>
      <c r="C182" s="3">
        <v>316.16000000000003</v>
      </c>
      <c r="D182" s="3">
        <v>322.64</v>
      </c>
      <c r="E182" s="59">
        <v>329.12</v>
      </c>
      <c r="F182" s="59">
        <v>335.6</v>
      </c>
      <c r="G182" s="59">
        <v>342.08</v>
      </c>
      <c r="H182" s="974">
        <v>438.64</v>
      </c>
      <c r="I182" s="237">
        <v>355.03</v>
      </c>
      <c r="J182" s="237">
        <v>361.51</v>
      </c>
      <c r="K182" s="237">
        <v>367.99</v>
      </c>
      <c r="L182" s="237">
        <v>374.47</v>
      </c>
      <c r="M182" s="237">
        <v>380.95</v>
      </c>
      <c r="N182" s="237">
        <v>387.43</v>
      </c>
      <c r="O182" s="237">
        <v>393.91</v>
      </c>
      <c r="P182" s="237">
        <v>400.39</v>
      </c>
      <c r="Q182" s="237">
        <v>406.87</v>
      </c>
      <c r="R182" s="237">
        <v>413.35</v>
      </c>
      <c r="S182" s="237">
        <v>296.72000000000003</v>
      </c>
      <c r="T182" s="237">
        <v>290.24</v>
      </c>
      <c r="U182" s="237">
        <v>283.76</v>
      </c>
      <c r="V182" s="237">
        <v>277.27999999999997</v>
      </c>
      <c r="W182" s="237">
        <v>270.81</v>
      </c>
      <c r="X182" s="51">
        <v>178</v>
      </c>
      <c r="Y182" s="761">
        <v>231.79</v>
      </c>
      <c r="Z182" s="761">
        <v>236.37</v>
      </c>
      <c r="AA182" s="730">
        <v>240.94</v>
      </c>
      <c r="AB182" s="742">
        <v>245.52</v>
      </c>
      <c r="AC182" s="747">
        <v>250.09</v>
      </c>
      <c r="AD182" s="739">
        <v>254.67</v>
      </c>
      <c r="AE182" s="742">
        <v>259.24</v>
      </c>
      <c r="AF182" s="742">
        <v>263.82</v>
      </c>
      <c r="AG182" s="783">
        <v>268.39</v>
      </c>
      <c r="AH182" s="787">
        <v>272.97000000000003</v>
      </c>
      <c r="AI182" s="237">
        <v>232.34</v>
      </c>
      <c r="AJ182" s="237">
        <v>236.91</v>
      </c>
      <c r="AK182" s="237">
        <v>241.49</v>
      </c>
      <c r="AL182" s="237">
        <v>246.06</v>
      </c>
      <c r="AM182" s="237">
        <v>250.64</v>
      </c>
      <c r="AN182" s="237">
        <v>255.21</v>
      </c>
      <c r="AO182" s="237">
        <v>259.79000000000002</v>
      </c>
      <c r="AP182" s="237">
        <v>264.36</v>
      </c>
      <c r="AQ182" s="237">
        <v>268.94</v>
      </c>
      <c r="AR182" s="237">
        <v>273.51</v>
      </c>
      <c r="AS182" s="237">
        <v>191.17</v>
      </c>
      <c r="AT182" s="237">
        <v>186.59</v>
      </c>
      <c r="AU182" s="761">
        <v>227.22</v>
      </c>
      <c r="AV182" s="237">
        <v>177.44</v>
      </c>
      <c r="AW182" s="237">
        <v>172.87</v>
      </c>
    </row>
    <row r="183" spans="1:49" ht="22.5">
      <c r="A183" s="2">
        <v>304.95</v>
      </c>
      <c r="B183" s="59">
        <v>311.47000000000003</v>
      </c>
      <c r="C183" s="3">
        <v>317.98</v>
      </c>
      <c r="D183" s="3">
        <v>324.5</v>
      </c>
      <c r="E183" s="59">
        <v>331.01</v>
      </c>
      <c r="F183" s="59">
        <v>337.53</v>
      </c>
      <c r="G183" s="59">
        <v>344.04</v>
      </c>
      <c r="H183" s="974">
        <v>441.18</v>
      </c>
      <c r="I183" s="237">
        <v>357.08</v>
      </c>
      <c r="J183" s="237">
        <v>363.59</v>
      </c>
      <c r="K183" s="237">
        <v>370.11</v>
      </c>
      <c r="L183" s="237">
        <v>376.62</v>
      </c>
      <c r="M183" s="237">
        <v>383.14</v>
      </c>
      <c r="N183" s="237">
        <v>389.65</v>
      </c>
      <c r="O183" s="237">
        <v>396.17</v>
      </c>
      <c r="P183" s="237">
        <v>402.69</v>
      </c>
      <c r="Q183" s="237">
        <v>409.2</v>
      </c>
      <c r="R183" s="237">
        <v>415.72</v>
      </c>
      <c r="S183" s="237">
        <v>298.44</v>
      </c>
      <c r="T183" s="237">
        <v>291.92</v>
      </c>
      <c r="U183" s="237">
        <v>285.39999999999998</v>
      </c>
      <c r="V183" s="237">
        <v>278.89</v>
      </c>
      <c r="W183" s="237">
        <v>272.37</v>
      </c>
      <c r="X183" s="51">
        <v>179</v>
      </c>
      <c r="Y183" s="761">
        <v>323.98</v>
      </c>
      <c r="Z183" s="761">
        <v>237.58</v>
      </c>
      <c r="AA183" s="730">
        <v>242.18</v>
      </c>
      <c r="AB183" s="742">
        <v>246.78</v>
      </c>
      <c r="AC183" s="747">
        <v>251.38</v>
      </c>
      <c r="AD183" s="739">
        <v>255.98</v>
      </c>
      <c r="AE183" s="742">
        <v>260.58</v>
      </c>
      <c r="AF183" s="742">
        <v>265.18</v>
      </c>
      <c r="AG183" s="783">
        <v>269.77999999999997</v>
      </c>
      <c r="AH183" s="787">
        <v>274.38</v>
      </c>
      <c r="AI183" s="237">
        <v>233.57</v>
      </c>
      <c r="AJ183" s="237">
        <v>238.17</v>
      </c>
      <c r="AK183" s="237">
        <v>242.77</v>
      </c>
      <c r="AL183" s="237">
        <v>247.37</v>
      </c>
      <c r="AM183" s="237">
        <v>251.97</v>
      </c>
      <c r="AN183" s="237">
        <v>256.57</v>
      </c>
      <c r="AO183" s="237">
        <v>261.17</v>
      </c>
      <c r="AP183" s="237">
        <v>265.77</v>
      </c>
      <c r="AQ183" s="237">
        <v>270.37</v>
      </c>
      <c r="AR183" s="237">
        <v>274.97000000000003</v>
      </c>
      <c r="AS183" s="237">
        <v>192.17</v>
      </c>
      <c r="AT183" s="237">
        <v>187.57</v>
      </c>
      <c r="AU183" s="761">
        <v>228.38</v>
      </c>
      <c r="AV183" s="237">
        <v>178.37</v>
      </c>
      <c r="AW183" s="237">
        <v>173.77</v>
      </c>
    </row>
    <row r="184" spans="1:49" ht="22.5">
      <c r="A184" s="2">
        <v>306.70999999999998</v>
      </c>
      <c r="B184" s="59">
        <v>313.26</v>
      </c>
      <c r="C184" s="3">
        <v>319.81</v>
      </c>
      <c r="D184" s="3">
        <v>326.36</v>
      </c>
      <c r="E184" s="59">
        <v>332.91</v>
      </c>
      <c r="F184" s="59">
        <v>339.47</v>
      </c>
      <c r="G184" s="59">
        <v>346.02</v>
      </c>
      <c r="H184" s="974">
        <v>443.73</v>
      </c>
      <c r="I184" s="237">
        <v>359.12</v>
      </c>
      <c r="J184" s="237">
        <v>365.67</v>
      </c>
      <c r="K184" s="237">
        <v>372.23</v>
      </c>
      <c r="L184" s="237">
        <v>378.78</v>
      </c>
      <c r="M184" s="237">
        <v>385.33</v>
      </c>
      <c r="N184" s="237">
        <v>391.88</v>
      </c>
      <c r="O184" s="237">
        <v>398.43</v>
      </c>
      <c r="P184" s="237">
        <v>404.99</v>
      </c>
      <c r="Q184" s="237">
        <v>411.54</v>
      </c>
      <c r="R184" s="237">
        <v>418.09</v>
      </c>
      <c r="S184" s="237">
        <v>300.14999999999998</v>
      </c>
      <c r="T184" s="237">
        <v>293.60000000000002</v>
      </c>
      <c r="U184" s="237">
        <v>287.05</v>
      </c>
      <c r="V184" s="237">
        <v>280.5</v>
      </c>
      <c r="W184" s="237">
        <v>273.95</v>
      </c>
      <c r="X184" s="51">
        <v>180</v>
      </c>
      <c r="Y184" s="761">
        <v>234.31</v>
      </c>
      <c r="Z184" s="761">
        <v>238.93</v>
      </c>
      <c r="AA184" s="730">
        <v>243.56</v>
      </c>
      <c r="AB184" s="742">
        <v>248.18</v>
      </c>
      <c r="AC184" s="747">
        <v>252.81</v>
      </c>
      <c r="AD184" s="739">
        <f>AD183+1.46</f>
        <v>257.44</v>
      </c>
      <c r="AE184" s="742">
        <v>262.06</v>
      </c>
      <c r="AF184" s="742">
        <v>266.69</v>
      </c>
      <c r="AG184" s="783">
        <v>271.31</v>
      </c>
      <c r="AH184" s="787">
        <v>275.94</v>
      </c>
      <c r="AI184" s="237">
        <v>234.89</v>
      </c>
      <c r="AJ184" s="237">
        <v>239.52</v>
      </c>
      <c r="AK184" s="237">
        <v>244.14</v>
      </c>
      <c r="AL184" s="237">
        <v>248.77</v>
      </c>
      <c r="AM184" s="237">
        <v>253.4</v>
      </c>
      <c r="AN184" s="237">
        <v>258.02</v>
      </c>
      <c r="AO184" s="237">
        <v>262.64999999999998</v>
      </c>
      <c r="AP184" s="237">
        <v>267.27</v>
      </c>
      <c r="AQ184" s="237">
        <v>271.89999999999998</v>
      </c>
      <c r="AR184" s="237">
        <v>276.52999999999997</v>
      </c>
      <c r="AS184" s="237">
        <v>193.26</v>
      </c>
      <c r="AT184" s="237">
        <v>188.63</v>
      </c>
      <c r="AU184" s="761">
        <v>229.68</v>
      </c>
      <c r="AV184" s="237">
        <v>179.38</v>
      </c>
      <c r="AW184" s="237">
        <v>174.75</v>
      </c>
    </row>
    <row r="185" spans="1:49" ht="22.5">
      <c r="A185" s="2">
        <v>308.45999999999998</v>
      </c>
      <c r="B185" s="59">
        <v>315.05</v>
      </c>
      <c r="C185" s="3">
        <v>321.64</v>
      </c>
      <c r="D185" s="3">
        <v>328.23</v>
      </c>
      <c r="E185" s="59">
        <v>334.82</v>
      </c>
      <c r="F185" s="59">
        <v>341.41</v>
      </c>
      <c r="G185" s="59">
        <v>347.99</v>
      </c>
      <c r="H185" s="974">
        <v>446.29</v>
      </c>
      <c r="I185" s="237">
        <v>361.17</v>
      </c>
      <c r="J185" s="237">
        <v>367.76</v>
      </c>
      <c r="K185" s="237">
        <v>374.35</v>
      </c>
      <c r="L185" s="237">
        <v>380.94</v>
      </c>
      <c r="M185" s="237">
        <v>387.52</v>
      </c>
      <c r="N185" s="237">
        <v>394.11</v>
      </c>
      <c r="O185" s="237">
        <v>400.7</v>
      </c>
      <c r="P185" s="237">
        <v>407.29</v>
      </c>
      <c r="Q185" s="237">
        <v>413.88</v>
      </c>
      <c r="R185" s="237">
        <v>420.47</v>
      </c>
      <c r="S185" s="237">
        <v>301.88</v>
      </c>
      <c r="T185" s="237">
        <v>295.29000000000002</v>
      </c>
      <c r="U185" s="237">
        <v>288.7</v>
      </c>
      <c r="V185" s="237">
        <v>282.11</v>
      </c>
      <c r="W185" s="237">
        <v>275.52</v>
      </c>
      <c r="X185" s="51">
        <v>181</v>
      </c>
      <c r="Y185" s="761">
        <v>235.63</v>
      </c>
      <c r="Z185" s="761">
        <v>240.29</v>
      </c>
      <c r="AA185" s="730">
        <v>244.94</v>
      </c>
      <c r="AB185" s="742">
        <v>249.59</v>
      </c>
      <c r="AC185" s="747">
        <v>254.24</v>
      </c>
      <c r="AD185" s="739">
        <f>AD184+1.45</f>
        <v>258.89</v>
      </c>
      <c r="AE185" s="742">
        <v>263.54000000000002</v>
      </c>
      <c r="AF185" s="742">
        <v>268.2</v>
      </c>
      <c r="AG185" s="783">
        <v>272.85000000000002</v>
      </c>
      <c r="AH185" s="787">
        <v>277.5</v>
      </c>
      <c r="AI185" s="237">
        <v>236.21</v>
      </c>
      <c r="AJ185" s="237">
        <v>240.87</v>
      </c>
      <c r="AK185" s="237">
        <v>245.52</v>
      </c>
      <c r="AL185" s="237">
        <v>250.17</v>
      </c>
      <c r="AM185" s="237">
        <v>254.82</v>
      </c>
      <c r="AN185" s="237">
        <v>259.47000000000003</v>
      </c>
      <c r="AO185" s="237">
        <v>264.12</v>
      </c>
      <c r="AP185" s="237">
        <v>268.77999999999997</v>
      </c>
      <c r="AQ185" s="237">
        <v>273.43</v>
      </c>
      <c r="AR185" s="237">
        <v>278.08</v>
      </c>
      <c r="AS185" s="237">
        <v>194.35</v>
      </c>
      <c r="AT185" s="237">
        <v>189.7</v>
      </c>
      <c r="AU185" s="761">
        <v>230.98</v>
      </c>
      <c r="AV185" s="237">
        <v>180.39</v>
      </c>
      <c r="AW185" s="237">
        <v>175.74</v>
      </c>
    </row>
    <row r="186" spans="1:49" ht="22.5">
      <c r="A186" s="2">
        <v>310.23</v>
      </c>
      <c r="B186" s="59">
        <v>316.85000000000002</v>
      </c>
      <c r="C186" s="3">
        <v>323.48</v>
      </c>
      <c r="D186" s="3">
        <v>330.1</v>
      </c>
      <c r="E186" s="59">
        <v>336.73</v>
      </c>
      <c r="F186" s="59">
        <v>343.35</v>
      </c>
      <c r="G186" s="59">
        <v>349.98</v>
      </c>
      <c r="H186" s="974">
        <v>448.86</v>
      </c>
      <c r="I186" s="237">
        <v>363.22</v>
      </c>
      <c r="J186" s="237">
        <v>369.85</v>
      </c>
      <c r="K186" s="237">
        <v>376.47</v>
      </c>
      <c r="L186" s="237">
        <v>383.1</v>
      </c>
      <c r="M186" s="237">
        <v>389.72</v>
      </c>
      <c r="N186" s="237">
        <v>396.35</v>
      </c>
      <c r="O186" s="237">
        <v>402.97</v>
      </c>
      <c r="P186" s="237">
        <v>409.5</v>
      </c>
      <c r="Q186" s="237">
        <v>416.22</v>
      </c>
      <c r="R186" s="237">
        <v>422.85</v>
      </c>
      <c r="S186" s="237">
        <v>303.60000000000002</v>
      </c>
      <c r="T186" s="237">
        <v>296.98</v>
      </c>
      <c r="U186" s="237">
        <v>290.35000000000002</v>
      </c>
      <c r="V186" s="237">
        <v>283.73</v>
      </c>
      <c r="W186" s="237">
        <v>277.10000000000002</v>
      </c>
      <c r="X186" s="51">
        <v>182</v>
      </c>
      <c r="Y186" s="761">
        <v>236.96</v>
      </c>
      <c r="Z186" s="761">
        <v>242.64</v>
      </c>
      <c r="AA186" s="730">
        <v>246.32</v>
      </c>
      <c r="AB186" s="742">
        <v>251</v>
      </c>
      <c r="AC186" s="747">
        <v>255.67</v>
      </c>
      <c r="AD186" s="739">
        <f>AD185+1.46</f>
        <v>260.34999999999997</v>
      </c>
      <c r="AE186" s="742">
        <v>265.02999999999997</v>
      </c>
      <c r="AF186" s="742">
        <v>269.70999999999998</v>
      </c>
      <c r="AG186" s="783">
        <v>274.38</v>
      </c>
      <c r="AH186" s="787">
        <v>279.06</v>
      </c>
      <c r="AI186" s="237">
        <v>237.54</v>
      </c>
      <c r="AJ186" s="237">
        <v>242.21</v>
      </c>
      <c r="AK186" s="237">
        <v>246.89</v>
      </c>
      <c r="AL186" s="237">
        <v>251.57</v>
      </c>
      <c r="AM186" s="237">
        <v>256.25</v>
      </c>
      <c r="AN186" s="237">
        <v>260.92</v>
      </c>
      <c r="AO186" s="237">
        <v>265.60000000000002</v>
      </c>
      <c r="AP186" s="237">
        <v>270.27999999999997</v>
      </c>
      <c r="AQ186" s="237">
        <v>274.95999999999998</v>
      </c>
      <c r="AR186" s="237">
        <v>279.63</v>
      </c>
      <c r="AS186" s="237">
        <v>195.44</v>
      </c>
      <c r="AT186" s="237">
        <v>190.76</v>
      </c>
      <c r="AU186" s="761">
        <v>232.29</v>
      </c>
      <c r="AV186" s="237">
        <v>181.41</v>
      </c>
      <c r="AW186" s="237">
        <v>176.73</v>
      </c>
    </row>
    <row r="187" spans="1:49" ht="22.5">
      <c r="A187" s="2">
        <v>311.99</v>
      </c>
      <c r="B187" s="59">
        <v>318.64999999999998</v>
      </c>
      <c r="C187" s="3">
        <v>325.32</v>
      </c>
      <c r="D187" s="3">
        <v>331.98</v>
      </c>
      <c r="E187" s="59">
        <v>338.64</v>
      </c>
      <c r="F187" s="59">
        <v>345.3</v>
      </c>
      <c r="G187" s="59">
        <v>351.96</v>
      </c>
      <c r="H187" s="974">
        <v>451.43</v>
      </c>
      <c r="I187" s="237">
        <v>365.28</v>
      </c>
      <c r="J187" s="237">
        <v>371.94</v>
      </c>
      <c r="K187" s="237">
        <v>378.61</v>
      </c>
      <c r="L187" s="237">
        <v>385.27</v>
      </c>
      <c r="M187" s="237">
        <v>391.93</v>
      </c>
      <c r="N187" s="237">
        <v>398.59</v>
      </c>
      <c r="O187" s="237">
        <v>405.25</v>
      </c>
      <c r="P187" s="237">
        <v>411.91</v>
      </c>
      <c r="Q187" s="237">
        <v>418.57</v>
      </c>
      <c r="R187" s="237">
        <v>425.23</v>
      </c>
      <c r="S187" s="237">
        <v>305.33</v>
      </c>
      <c r="T187" s="237">
        <v>298.67</v>
      </c>
      <c r="U187" s="237">
        <v>292.01</v>
      </c>
      <c r="V187" s="237">
        <v>285.35000000000002</v>
      </c>
      <c r="W187" s="237">
        <v>278.69</v>
      </c>
      <c r="X187" s="51">
        <v>183</v>
      </c>
      <c r="Y187" s="761">
        <v>238.3</v>
      </c>
      <c r="Z187" s="761">
        <v>243</v>
      </c>
      <c r="AA187" s="730">
        <v>247.7</v>
      </c>
      <c r="AB187" s="742">
        <v>252.4</v>
      </c>
      <c r="AC187" s="747">
        <v>257.11</v>
      </c>
      <c r="AD187" s="739">
        <f>AD186+1.46</f>
        <v>261.80999999999995</v>
      </c>
      <c r="AE187" s="742">
        <v>266.51</v>
      </c>
      <c r="AF187" s="742">
        <v>271.22000000000003</v>
      </c>
      <c r="AG187" s="783">
        <v>275.92</v>
      </c>
      <c r="AH187" s="787">
        <v>280.62</v>
      </c>
      <c r="AI187" s="237">
        <v>238.86</v>
      </c>
      <c r="AJ187" s="237">
        <v>243.56</v>
      </c>
      <c r="AK187" s="237">
        <v>248.27</v>
      </c>
      <c r="AL187" s="237">
        <v>252.97</v>
      </c>
      <c r="AM187" s="237">
        <v>257.67</v>
      </c>
      <c r="AN187" s="237">
        <v>262.38</v>
      </c>
      <c r="AO187" s="237">
        <v>267.08</v>
      </c>
      <c r="AP187" s="237">
        <v>271.77999999999997</v>
      </c>
      <c r="AQ187" s="237">
        <v>276.48</v>
      </c>
      <c r="AR187" s="237">
        <v>281.19</v>
      </c>
      <c r="AS187" s="237">
        <v>196.53</v>
      </c>
      <c r="AT187" s="237">
        <v>191.83</v>
      </c>
      <c r="AU187" s="761">
        <v>233.59</v>
      </c>
      <c r="AV187" s="237">
        <v>182.42</v>
      </c>
      <c r="AW187" s="237">
        <v>177.72</v>
      </c>
    </row>
    <row r="188" spans="1:49" ht="22.5">
      <c r="A188" s="2">
        <v>313.44</v>
      </c>
      <c r="B188" s="59">
        <v>320.13</v>
      </c>
      <c r="C188" s="3">
        <v>326.83</v>
      </c>
      <c r="D188" s="3">
        <v>333.53</v>
      </c>
      <c r="E188" s="59">
        <v>340.23</v>
      </c>
      <c r="F188" s="59">
        <v>346.92</v>
      </c>
      <c r="G188" s="59">
        <v>353.62</v>
      </c>
      <c r="H188" s="974">
        <v>453.45</v>
      </c>
      <c r="I188" s="237">
        <v>367.02</v>
      </c>
      <c r="J188" s="237">
        <v>373.71</v>
      </c>
      <c r="K188" s="237">
        <v>380.41</v>
      </c>
      <c r="L188" s="237">
        <v>387.11</v>
      </c>
      <c r="M188" s="237">
        <v>393.81</v>
      </c>
      <c r="N188" s="237">
        <v>400.5</v>
      </c>
      <c r="O188" s="237">
        <v>407.2</v>
      </c>
      <c r="P188" s="237">
        <v>413.9</v>
      </c>
      <c r="Q188" s="237">
        <v>420.6</v>
      </c>
      <c r="R188" s="237">
        <v>427.29</v>
      </c>
      <c r="S188" s="237">
        <v>306.74</v>
      </c>
      <c r="T188" s="237">
        <v>300.04000000000002</v>
      </c>
      <c r="U188" s="237">
        <v>293.33999999999997</v>
      </c>
      <c r="V188" s="237">
        <v>286.64999999999998</v>
      </c>
      <c r="W188" s="237">
        <v>279.95</v>
      </c>
      <c r="X188" s="51">
        <v>184</v>
      </c>
      <c r="Y188" s="761">
        <v>239.48</v>
      </c>
      <c r="Z188" s="761">
        <v>244.21</v>
      </c>
      <c r="AA188" s="730">
        <v>248.94</v>
      </c>
      <c r="AB188" s="742">
        <v>253.67</v>
      </c>
      <c r="AC188" s="747">
        <v>258.39999999999998</v>
      </c>
      <c r="AD188" s="739">
        <v>263.12</v>
      </c>
      <c r="AE188" s="742">
        <v>267.85000000000002</v>
      </c>
      <c r="AF188" s="742">
        <v>272.58</v>
      </c>
      <c r="AG188" s="783">
        <v>277.31</v>
      </c>
      <c r="AH188" s="787">
        <v>282.04000000000002</v>
      </c>
      <c r="AI188" s="237">
        <v>240.09</v>
      </c>
      <c r="AJ188" s="237">
        <v>244.82</v>
      </c>
      <c r="AK188" s="237">
        <v>249.55</v>
      </c>
      <c r="AL188" s="237">
        <v>254.28</v>
      </c>
      <c r="AM188" s="237">
        <v>259.01</v>
      </c>
      <c r="AN188" s="237">
        <v>263.74</v>
      </c>
      <c r="AO188" s="237">
        <v>268.45999999999998</v>
      </c>
      <c r="AP188" s="237">
        <v>273.19</v>
      </c>
      <c r="AQ188" s="237">
        <v>277.92</v>
      </c>
      <c r="AR188" s="237">
        <v>282.64999999999998</v>
      </c>
      <c r="AS188" s="237">
        <v>197.53</v>
      </c>
      <c r="AT188" s="237">
        <v>192.8</v>
      </c>
      <c r="AU188" s="761">
        <v>234.75</v>
      </c>
      <c r="AV188" s="237">
        <v>183.35</v>
      </c>
      <c r="AW188" s="237">
        <v>178.62</v>
      </c>
    </row>
    <row r="189" spans="1:49" ht="22.5">
      <c r="A189" s="2">
        <v>315.20999999999998</v>
      </c>
      <c r="B189" s="59">
        <v>321.94</v>
      </c>
      <c r="C189" s="3">
        <v>328.68</v>
      </c>
      <c r="D189" s="3">
        <v>335.41</v>
      </c>
      <c r="E189" s="59">
        <v>342.14</v>
      </c>
      <c r="F189" s="59">
        <v>348.88</v>
      </c>
      <c r="G189" s="59">
        <v>355.61</v>
      </c>
      <c r="H189" s="974">
        <v>456.03</v>
      </c>
      <c r="I189" s="237">
        <v>369.08</v>
      </c>
      <c r="J189" s="237">
        <v>375.81</v>
      </c>
      <c r="K189" s="237">
        <v>382.55</v>
      </c>
      <c r="L189" s="237">
        <v>389.28</v>
      </c>
      <c r="M189" s="237">
        <v>396.02</v>
      </c>
      <c r="N189" s="237">
        <v>402.75</v>
      </c>
      <c r="O189" s="237">
        <v>409.48</v>
      </c>
      <c r="P189" s="237">
        <v>416.22</v>
      </c>
      <c r="Q189" s="237">
        <v>422.95</v>
      </c>
      <c r="R189" s="237">
        <v>429.69</v>
      </c>
      <c r="S189" s="237">
        <v>308.47000000000003</v>
      </c>
      <c r="T189" s="237">
        <v>301.74</v>
      </c>
      <c r="U189" s="237">
        <v>295.01</v>
      </c>
      <c r="V189" s="237">
        <v>288.27</v>
      </c>
      <c r="W189" s="237">
        <v>281.54000000000002</v>
      </c>
      <c r="X189" s="51">
        <v>185</v>
      </c>
      <c r="Y189" s="761">
        <v>240.81</v>
      </c>
      <c r="Z189" s="761">
        <v>245.51</v>
      </c>
      <c r="AA189" s="730">
        <v>250.32</v>
      </c>
      <c r="AB189" s="742">
        <v>255.08</v>
      </c>
      <c r="AC189" s="747">
        <v>259.83</v>
      </c>
      <c r="AD189" s="739">
        <v>264.58999999999997</v>
      </c>
      <c r="AE189" s="742">
        <v>269.33999999999997</v>
      </c>
      <c r="AF189" s="742">
        <v>274.10000000000002</v>
      </c>
      <c r="AG189" s="783">
        <v>278.85000000000002</v>
      </c>
      <c r="AH189" s="787">
        <v>283.60000000000002</v>
      </c>
      <c r="AI189" s="237">
        <v>241.42</v>
      </c>
      <c r="AJ189" s="237">
        <v>246.17</v>
      </c>
      <c r="AK189" s="237">
        <v>250.93</v>
      </c>
      <c r="AL189" s="237">
        <v>255.68</v>
      </c>
      <c r="AM189" s="237">
        <v>260.43</v>
      </c>
      <c r="AN189" s="237">
        <v>265.19</v>
      </c>
      <c r="AO189" s="237">
        <v>269.94</v>
      </c>
      <c r="AP189" s="237">
        <v>274.7</v>
      </c>
      <c r="AQ189" s="237">
        <v>279.45</v>
      </c>
      <c r="AR189" s="237">
        <v>284.20999999999998</v>
      </c>
      <c r="AS189" s="237">
        <v>198.63</v>
      </c>
      <c r="AT189" s="237">
        <v>193.87</v>
      </c>
      <c r="AU189" s="761">
        <v>236.06</v>
      </c>
      <c r="AV189" s="237">
        <v>184.36</v>
      </c>
      <c r="AW189" s="237">
        <v>179.61</v>
      </c>
    </row>
    <row r="190" spans="1:49" ht="22.5">
      <c r="A190" s="2">
        <v>316.98</v>
      </c>
      <c r="B190" s="59">
        <v>323.75</v>
      </c>
      <c r="C190" s="3">
        <v>330.52</v>
      </c>
      <c r="D190" s="3">
        <v>337.29</v>
      </c>
      <c r="E190" s="59">
        <v>344.06</v>
      </c>
      <c r="F190" s="59">
        <v>350.83</v>
      </c>
      <c r="G190" s="59">
        <v>357.61</v>
      </c>
      <c r="H190" s="974">
        <v>458.62</v>
      </c>
      <c r="I190" s="237">
        <v>371.15</v>
      </c>
      <c r="J190" s="237">
        <v>377.92</v>
      </c>
      <c r="K190" s="237">
        <v>384.69</v>
      </c>
      <c r="L190" s="237">
        <v>391.46</v>
      </c>
      <c r="M190" s="237">
        <v>398.23</v>
      </c>
      <c r="N190" s="237">
        <v>405</v>
      </c>
      <c r="O190" s="237">
        <v>411.77</v>
      </c>
      <c r="P190" s="237">
        <v>418.54</v>
      </c>
      <c r="Q190" s="237">
        <v>425.31</v>
      </c>
      <c r="R190" s="237">
        <v>432.08</v>
      </c>
      <c r="S190" s="237">
        <v>310.20999999999998</v>
      </c>
      <c r="T190" s="237">
        <v>303.44</v>
      </c>
      <c r="U190" s="237">
        <v>296.67</v>
      </c>
      <c r="V190" s="237">
        <v>289.89999999999998</v>
      </c>
      <c r="W190" s="237">
        <v>283.13</v>
      </c>
      <c r="X190" s="51">
        <v>186</v>
      </c>
      <c r="Y190" s="761">
        <v>242.15</v>
      </c>
      <c r="Z190" s="761">
        <v>246.93</v>
      </c>
      <c r="AA190" s="730">
        <v>251.71</v>
      </c>
      <c r="AB190" s="742">
        <v>256.49</v>
      </c>
      <c r="AC190" s="747">
        <v>261.27</v>
      </c>
      <c r="AD190" s="739">
        <v>266.05</v>
      </c>
      <c r="AE190" s="742">
        <v>270.83</v>
      </c>
      <c r="AF190" s="742">
        <v>275.61</v>
      </c>
      <c r="AG190" s="783">
        <v>280.39</v>
      </c>
      <c r="AH190" s="787">
        <v>285.17</v>
      </c>
      <c r="AI190" s="237">
        <v>242.74</v>
      </c>
      <c r="AJ190" s="237">
        <v>247.52</v>
      </c>
      <c r="AK190" s="237">
        <v>252.3</v>
      </c>
      <c r="AL190" s="237">
        <v>257.08</v>
      </c>
      <c r="AM190" s="237">
        <v>261.86</v>
      </c>
      <c r="AN190" s="237">
        <v>266.64</v>
      </c>
      <c r="AO190" s="237">
        <v>271.42</v>
      </c>
      <c r="AP190" s="237">
        <v>276.2</v>
      </c>
      <c r="AQ190" s="237">
        <v>280.98</v>
      </c>
      <c r="AR190" s="237">
        <v>285.76</v>
      </c>
      <c r="AS190" s="237">
        <v>199.72</v>
      </c>
      <c r="AT190" s="237">
        <v>194.94</v>
      </c>
      <c r="AU190" s="761">
        <v>237.37</v>
      </c>
      <c r="AV190" s="237">
        <v>185.38</v>
      </c>
      <c r="AW190" s="237">
        <v>180.6</v>
      </c>
    </row>
    <row r="191" spans="1:49" ht="22.5">
      <c r="A191" s="2">
        <v>318.76</v>
      </c>
      <c r="B191" s="59">
        <v>325.57</v>
      </c>
      <c r="C191" s="3">
        <v>332.38</v>
      </c>
      <c r="D191" s="3">
        <v>339.18</v>
      </c>
      <c r="E191" s="59">
        <v>345.99</v>
      </c>
      <c r="F191" s="59">
        <v>352.8</v>
      </c>
      <c r="G191" s="59">
        <v>359.6</v>
      </c>
      <c r="H191" s="974">
        <v>461.21</v>
      </c>
      <c r="I191" s="237">
        <v>373.22</v>
      </c>
      <c r="J191" s="237">
        <v>380.02</v>
      </c>
      <c r="K191" s="237">
        <v>386.83</v>
      </c>
      <c r="L191" s="237">
        <v>393.64</v>
      </c>
      <c r="M191" s="237">
        <v>400.45</v>
      </c>
      <c r="N191" s="237">
        <v>407.25</v>
      </c>
      <c r="O191" s="237">
        <v>414.06</v>
      </c>
      <c r="P191" s="237">
        <v>420.87</v>
      </c>
      <c r="Q191" s="237">
        <v>427.67</v>
      </c>
      <c r="R191" s="237">
        <v>434.48</v>
      </c>
      <c r="S191" s="237">
        <v>311.95999999999998</v>
      </c>
      <c r="T191" s="237">
        <v>305.14999999999998</v>
      </c>
      <c r="U191" s="237">
        <v>298.33999999999997</v>
      </c>
      <c r="V191" s="237">
        <v>291.54000000000002</v>
      </c>
      <c r="W191" s="237">
        <v>284.73</v>
      </c>
      <c r="X191" s="51">
        <v>187</v>
      </c>
      <c r="Y191" s="761">
        <v>243.49</v>
      </c>
      <c r="Z191" s="761">
        <v>248.29</v>
      </c>
      <c r="AA191" s="730">
        <v>253.1</v>
      </c>
      <c r="AB191" s="742">
        <v>257.91000000000003</v>
      </c>
      <c r="AC191" s="747">
        <v>262.70999999999998</v>
      </c>
      <c r="AD191" s="739">
        <v>267.52</v>
      </c>
      <c r="AE191" s="742">
        <v>272.32</v>
      </c>
      <c r="AF191" s="742">
        <v>277.13</v>
      </c>
      <c r="AG191" s="783">
        <v>281.94</v>
      </c>
      <c r="AH191" s="787">
        <v>286.74</v>
      </c>
      <c r="AI191" s="237">
        <v>244.07</v>
      </c>
      <c r="AJ191" s="237">
        <v>248.88</v>
      </c>
      <c r="AK191" s="237">
        <v>253.68</v>
      </c>
      <c r="AL191" s="237">
        <v>258.49</v>
      </c>
      <c r="AM191" s="237">
        <v>263.29000000000002</v>
      </c>
      <c r="AN191" s="237">
        <v>268.10000000000002</v>
      </c>
      <c r="AO191" s="237">
        <v>272.91000000000003</v>
      </c>
      <c r="AP191" s="237">
        <v>277.70999999999998</v>
      </c>
      <c r="AQ191" s="237">
        <v>282.52</v>
      </c>
      <c r="AR191" s="237">
        <v>287.32</v>
      </c>
      <c r="AS191" s="237">
        <v>200.82</v>
      </c>
      <c r="AT191" s="237">
        <v>196.01</v>
      </c>
      <c r="AU191" s="761">
        <v>238.68</v>
      </c>
      <c r="AV191" s="237">
        <v>186.4</v>
      </c>
      <c r="AW191" s="237">
        <v>181.59</v>
      </c>
    </row>
    <row r="192" spans="1:49" ht="22.5">
      <c r="A192" s="2">
        <v>320.20999999999998</v>
      </c>
      <c r="B192" s="59">
        <v>327.05</v>
      </c>
      <c r="C192" s="3">
        <v>333.89</v>
      </c>
      <c r="D192" s="3">
        <v>340.74</v>
      </c>
      <c r="E192" s="59">
        <v>347.58</v>
      </c>
      <c r="F192" s="59">
        <v>354.42</v>
      </c>
      <c r="G192" s="59">
        <v>361.27</v>
      </c>
      <c r="H192" s="974">
        <v>463.23</v>
      </c>
      <c r="I192" s="237">
        <v>374.95</v>
      </c>
      <c r="J192" s="237">
        <v>381.79</v>
      </c>
      <c r="K192" s="237">
        <v>388.64</v>
      </c>
      <c r="L192" s="237">
        <v>395.48</v>
      </c>
      <c r="M192" s="237">
        <v>402.32</v>
      </c>
      <c r="N192" s="237">
        <v>409.17</v>
      </c>
      <c r="O192" s="237">
        <v>416.01</v>
      </c>
      <c r="P192" s="237">
        <v>422.85</v>
      </c>
      <c r="Q192" s="237">
        <v>429.7</v>
      </c>
      <c r="R192" s="237">
        <v>436.54</v>
      </c>
      <c r="S192" s="237">
        <v>313.36</v>
      </c>
      <c r="T192" s="237">
        <v>306.52</v>
      </c>
      <c r="U192" s="237">
        <v>299.68</v>
      </c>
      <c r="V192" s="237">
        <v>292.83</v>
      </c>
      <c r="W192" s="237">
        <v>285.99</v>
      </c>
      <c r="X192" s="51">
        <v>188</v>
      </c>
      <c r="Y192" s="761">
        <v>244.67</v>
      </c>
      <c r="Z192" s="761">
        <v>249.5</v>
      </c>
      <c r="AA192" s="730">
        <v>254.34</v>
      </c>
      <c r="AB192" s="742">
        <v>259.17</v>
      </c>
      <c r="AC192" s="747">
        <v>264</v>
      </c>
      <c r="AD192" s="739">
        <v>268.83</v>
      </c>
      <c r="AE192" s="742">
        <v>273.66000000000003</v>
      </c>
      <c r="AF192" s="742">
        <v>278.49</v>
      </c>
      <c r="AG192" s="783">
        <v>283.33</v>
      </c>
      <c r="AH192" s="787">
        <v>288.16000000000003</v>
      </c>
      <c r="AI192" s="237">
        <v>245.3</v>
      </c>
      <c r="AJ192" s="237">
        <v>250.13</v>
      </c>
      <c r="AK192" s="237">
        <v>254.97</v>
      </c>
      <c r="AL192" s="237">
        <v>259.8</v>
      </c>
      <c r="AM192" s="237">
        <v>264.63</v>
      </c>
      <c r="AN192" s="237">
        <v>269.45999999999998</v>
      </c>
      <c r="AO192" s="237">
        <v>274.29000000000002</v>
      </c>
      <c r="AP192" s="237">
        <v>279.12</v>
      </c>
      <c r="AQ192" s="237">
        <v>283.95999999999998</v>
      </c>
      <c r="AR192" s="237">
        <v>288.79000000000002</v>
      </c>
      <c r="AS192" s="237">
        <v>201.82</v>
      </c>
      <c r="AT192" s="237">
        <v>196.99</v>
      </c>
      <c r="AU192" s="761">
        <v>239.84</v>
      </c>
      <c r="AV192" s="237">
        <v>187.32</v>
      </c>
      <c r="AW192" s="237">
        <v>182.49</v>
      </c>
    </row>
    <row r="193" spans="1:49" ht="22.5">
      <c r="A193" s="2">
        <v>321.99</v>
      </c>
      <c r="B193" s="59">
        <v>328.87</v>
      </c>
      <c r="C193" s="3">
        <v>335.75</v>
      </c>
      <c r="D193" s="3">
        <v>342.63</v>
      </c>
      <c r="E193" s="59">
        <v>349.51</v>
      </c>
      <c r="F193" s="59">
        <v>356.39</v>
      </c>
      <c r="G193" s="59">
        <v>363.27</v>
      </c>
      <c r="H193" s="974">
        <v>465.84</v>
      </c>
      <c r="I193" s="237">
        <v>377.03</v>
      </c>
      <c r="J193" s="237">
        <v>383.91</v>
      </c>
      <c r="K193" s="237">
        <v>390.79</v>
      </c>
      <c r="L193" s="237">
        <v>397.67</v>
      </c>
      <c r="M193" s="237">
        <v>404.55</v>
      </c>
      <c r="N193" s="237">
        <v>411.43</v>
      </c>
      <c r="O193" s="237">
        <v>418.31</v>
      </c>
      <c r="P193" s="237">
        <v>425.19</v>
      </c>
      <c r="Q193" s="237">
        <v>432.06</v>
      </c>
      <c r="R193" s="237">
        <v>438.94</v>
      </c>
      <c r="S193" s="237">
        <v>315.11</v>
      </c>
      <c r="T193" s="237">
        <v>308.23</v>
      </c>
      <c r="U193" s="237">
        <v>301.35000000000002</v>
      </c>
      <c r="V193" s="237">
        <v>294.47000000000003</v>
      </c>
      <c r="W193" s="237">
        <v>287.58999999999997</v>
      </c>
      <c r="X193" s="51">
        <v>189</v>
      </c>
      <c r="Y193" s="761">
        <v>246.01</v>
      </c>
      <c r="Z193" s="761">
        <v>250.87</v>
      </c>
      <c r="AA193" s="730">
        <v>255.73</v>
      </c>
      <c r="AB193" s="742">
        <v>260.58999999999997</v>
      </c>
      <c r="AC193" s="747">
        <v>265.44</v>
      </c>
      <c r="AD193" s="739">
        <v>270.3</v>
      </c>
      <c r="AE193" s="742">
        <v>275.16000000000003</v>
      </c>
      <c r="AF193" s="742">
        <v>280.01</v>
      </c>
      <c r="AG193" s="783">
        <v>284.87</v>
      </c>
      <c r="AH193" s="787">
        <v>289.73</v>
      </c>
      <c r="AI193" s="237">
        <v>246.63</v>
      </c>
      <c r="AJ193" s="237">
        <v>251.49</v>
      </c>
      <c r="AK193" s="237">
        <v>256.35000000000002</v>
      </c>
      <c r="AL193" s="237">
        <v>261.2</v>
      </c>
      <c r="AM193" s="237">
        <v>266.06</v>
      </c>
      <c r="AN193" s="237">
        <v>270.92</v>
      </c>
      <c r="AO193" s="237">
        <v>275.77999999999997</v>
      </c>
      <c r="AP193" s="237">
        <v>280.63</v>
      </c>
      <c r="AQ193" s="237">
        <v>285.49</v>
      </c>
      <c r="AR193" s="237">
        <v>290.35000000000002</v>
      </c>
      <c r="AS193" s="237">
        <v>202.92</v>
      </c>
      <c r="AT193" s="237">
        <v>198.06</v>
      </c>
      <c r="AU193" s="761">
        <v>241.16</v>
      </c>
      <c r="AV193" s="237">
        <v>188.34</v>
      </c>
      <c r="AW193" s="237">
        <v>183.49</v>
      </c>
    </row>
    <row r="194" spans="1:49" ht="22.5">
      <c r="A194" s="2">
        <v>323.77999999999997</v>
      </c>
      <c r="B194" s="59">
        <v>330.7</v>
      </c>
      <c r="C194" s="3">
        <v>337.61</v>
      </c>
      <c r="D194" s="3">
        <v>344.53</v>
      </c>
      <c r="E194" s="59">
        <v>351.45</v>
      </c>
      <c r="F194" s="59">
        <v>358.36</v>
      </c>
      <c r="G194" s="59">
        <v>365.28</v>
      </c>
      <c r="H194" s="974">
        <v>468.45</v>
      </c>
      <c r="I194" s="237">
        <v>379.11</v>
      </c>
      <c r="J194" s="237">
        <v>386.03</v>
      </c>
      <c r="K194" s="237">
        <v>392.94</v>
      </c>
      <c r="L194" s="237">
        <v>399.86</v>
      </c>
      <c r="M194" s="237">
        <v>406.77</v>
      </c>
      <c r="N194" s="237">
        <v>413.69</v>
      </c>
      <c r="O194" s="237">
        <v>420.61</v>
      </c>
      <c r="P194" s="237">
        <v>427.52</v>
      </c>
      <c r="Q194" s="237">
        <v>434.44</v>
      </c>
      <c r="R194" s="237">
        <v>441.35</v>
      </c>
      <c r="S194" s="237">
        <v>316.87</v>
      </c>
      <c r="T194" s="237">
        <v>309.95</v>
      </c>
      <c r="U194" s="237">
        <v>303.02999999999997</v>
      </c>
      <c r="V194" s="237">
        <v>296.12</v>
      </c>
      <c r="W194" s="237">
        <v>289.2</v>
      </c>
      <c r="X194" s="51">
        <v>190</v>
      </c>
      <c r="Y194" s="761">
        <v>247.36</v>
      </c>
      <c r="Z194" s="761">
        <v>252.24</v>
      </c>
      <c r="AA194" s="730">
        <v>257.12</v>
      </c>
      <c r="AB194" s="742">
        <v>262</v>
      </c>
      <c r="AC194" s="747">
        <v>266.89</v>
      </c>
      <c r="AD194" s="739">
        <v>271.77</v>
      </c>
      <c r="AE194" s="742">
        <v>276.64999999999998</v>
      </c>
      <c r="AF194" s="742">
        <v>281.54000000000002</v>
      </c>
      <c r="AG194" s="783">
        <v>286.42</v>
      </c>
      <c r="AH194" s="787">
        <v>291.3</v>
      </c>
      <c r="AI194" s="237">
        <v>247.96</v>
      </c>
      <c r="AJ194" s="237">
        <v>252.85</v>
      </c>
      <c r="AK194" s="237">
        <v>257.73</v>
      </c>
      <c r="AL194" s="237">
        <v>262.61</v>
      </c>
      <c r="AM194" s="237">
        <v>267.49</v>
      </c>
      <c r="AN194" s="237">
        <v>272.38</v>
      </c>
      <c r="AO194" s="237">
        <v>277.26</v>
      </c>
      <c r="AP194" s="237">
        <v>282.14</v>
      </c>
      <c r="AQ194" s="237">
        <v>287.02999999999997</v>
      </c>
      <c r="AR194" s="237">
        <v>291.91000000000003</v>
      </c>
      <c r="AS194" s="237">
        <v>204.02</v>
      </c>
      <c r="AT194" s="237">
        <v>199.13</v>
      </c>
      <c r="AU194" s="761">
        <v>242.47</v>
      </c>
      <c r="AV194" s="237">
        <v>189.37</v>
      </c>
      <c r="AW194" s="237">
        <v>184.48</v>
      </c>
    </row>
    <row r="195" spans="1:49" ht="22.5">
      <c r="A195" s="2">
        <v>325.58</v>
      </c>
      <c r="B195" s="59">
        <v>332.53</v>
      </c>
      <c r="C195" s="3">
        <v>339.48</v>
      </c>
      <c r="D195" s="3">
        <v>346.43</v>
      </c>
      <c r="E195" s="59">
        <v>353.39</v>
      </c>
      <c r="F195" s="59">
        <v>360.34</v>
      </c>
      <c r="G195" s="59">
        <v>367.29</v>
      </c>
      <c r="H195" s="974">
        <v>471.07</v>
      </c>
      <c r="I195" s="237">
        <v>381.2</v>
      </c>
      <c r="J195" s="237">
        <v>388.15</v>
      </c>
      <c r="K195" s="237">
        <v>395.1</v>
      </c>
      <c r="L195" s="237">
        <v>402.05</v>
      </c>
      <c r="M195" s="237">
        <v>409.01</v>
      </c>
      <c r="N195" s="237">
        <v>415.96</v>
      </c>
      <c r="O195" s="237">
        <v>422.91</v>
      </c>
      <c r="P195" s="237">
        <v>429.86</v>
      </c>
      <c r="Q195" s="237">
        <v>436.81</v>
      </c>
      <c r="R195" s="237">
        <v>443.77</v>
      </c>
      <c r="S195" s="237">
        <v>318.62</v>
      </c>
      <c r="T195" s="237">
        <v>311.67</v>
      </c>
      <c r="U195" s="237">
        <v>304.72000000000003</v>
      </c>
      <c r="V195" s="237">
        <v>297.77</v>
      </c>
      <c r="W195" s="237">
        <v>290.81</v>
      </c>
      <c r="X195" s="51">
        <v>191</v>
      </c>
      <c r="Y195" s="761">
        <v>248.7</v>
      </c>
      <c r="Z195" s="761">
        <v>253.61</v>
      </c>
      <c r="AA195" s="730">
        <v>258.52</v>
      </c>
      <c r="AB195" s="742">
        <v>263.43</v>
      </c>
      <c r="AC195" s="747">
        <v>268.33999999999997</v>
      </c>
      <c r="AD195" s="739">
        <v>273.24</v>
      </c>
      <c r="AE195" s="742">
        <v>278.14999999999998</v>
      </c>
      <c r="AF195" s="742">
        <v>283.06</v>
      </c>
      <c r="AG195" s="783">
        <v>287.97000000000003</v>
      </c>
      <c r="AH195" s="787">
        <v>292.88</v>
      </c>
      <c r="AI195" s="237">
        <v>249.29</v>
      </c>
      <c r="AJ195" s="237">
        <v>254.2</v>
      </c>
      <c r="AK195" s="237">
        <v>259.11</v>
      </c>
      <c r="AL195" s="237">
        <v>264.02</v>
      </c>
      <c r="AM195" s="237">
        <v>268.93</v>
      </c>
      <c r="AN195" s="237">
        <v>233.84</v>
      </c>
      <c r="AO195" s="237">
        <v>278.75</v>
      </c>
      <c r="AP195" s="237">
        <v>283.66000000000003</v>
      </c>
      <c r="AQ195" s="237">
        <v>288.56</v>
      </c>
      <c r="AR195" s="237">
        <v>293.47000000000003</v>
      </c>
      <c r="AS195" s="237">
        <v>205.12</v>
      </c>
      <c r="AT195" s="237">
        <v>200.21</v>
      </c>
      <c r="AU195" s="761">
        <v>234.79</v>
      </c>
      <c r="AV195" s="237">
        <v>190.39</v>
      </c>
      <c r="AW195" s="237">
        <v>185.48</v>
      </c>
    </row>
    <row r="196" spans="1:49" ht="22.5">
      <c r="A196" s="2">
        <v>327.02</v>
      </c>
      <c r="B196" s="59">
        <v>334.01</v>
      </c>
      <c r="C196" s="3">
        <v>341</v>
      </c>
      <c r="D196" s="3">
        <v>347.99</v>
      </c>
      <c r="E196" s="59">
        <v>354.97</v>
      </c>
      <c r="F196" s="59">
        <v>361.96</v>
      </c>
      <c r="G196" s="59">
        <v>368.95</v>
      </c>
      <c r="H196" s="974">
        <v>473.09</v>
      </c>
      <c r="I196" s="237">
        <v>382.93</v>
      </c>
      <c r="J196" s="237">
        <v>389.92</v>
      </c>
      <c r="K196" s="237">
        <v>396.91</v>
      </c>
      <c r="L196" s="237">
        <v>403.9</v>
      </c>
      <c r="M196" s="237">
        <v>410.88</v>
      </c>
      <c r="N196" s="237">
        <v>417.87</v>
      </c>
      <c r="O196" s="237">
        <v>424.86</v>
      </c>
      <c r="P196" s="237">
        <v>431.85</v>
      </c>
      <c r="Q196" s="237">
        <v>438.84</v>
      </c>
      <c r="R196" s="237">
        <v>445.83</v>
      </c>
      <c r="S196" s="237">
        <v>320.02999999999997</v>
      </c>
      <c r="T196" s="237">
        <v>313.04000000000002</v>
      </c>
      <c r="U196" s="237">
        <v>306.05</v>
      </c>
      <c r="V196" s="237">
        <v>299.06</v>
      </c>
      <c r="W196" s="237">
        <v>292.07</v>
      </c>
      <c r="X196" s="51">
        <v>192</v>
      </c>
      <c r="Y196" s="761">
        <v>249.89</v>
      </c>
      <c r="Z196" s="761">
        <v>254.82</v>
      </c>
      <c r="AA196" s="730">
        <v>259.75</v>
      </c>
      <c r="AB196" s="742">
        <v>264.69</v>
      </c>
      <c r="AC196" s="747">
        <v>269.62</v>
      </c>
      <c r="AD196" s="739">
        <v>274.56</v>
      </c>
      <c r="AE196" s="742">
        <v>279.49</v>
      </c>
      <c r="AF196" s="742">
        <v>284.43</v>
      </c>
      <c r="AG196" s="783">
        <v>289.36</v>
      </c>
      <c r="AH196" s="787">
        <v>294.3</v>
      </c>
      <c r="AI196" s="237">
        <v>250.53</v>
      </c>
      <c r="AJ196" s="237">
        <v>255.46</v>
      </c>
      <c r="AK196" s="237">
        <v>260.39999999999998</v>
      </c>
      <c r="AL196" s="237">
        <v>265.33</v>
      </c>
      <c r="AM196" s="237">
        <v>270.26</v>
      </c>
      <c r="AN196" s="237">
        <v>275.2</v>
      </c>
      <c r="AO196" s="237">
        <v>280.13</v>
      </c>
      <c r="AP196" s="237">
        <v>285.07</v>
      </c>
      <c r="AQ196" s="237">
        <v>290</v>
      </c>
      <c r="AR196" s="237">
        <v>294.94</v>
      </c>
      <c r="AS196" s="237">
        <v>206.12</v>
      </c>
      <c r="AT196" s="237">
        <v>201.18</v>
      </c>
      <c r="AU196" s="761">
        <v>244.95</v>
      </c>
      <c r="AV196" s="237">
        <v>191.31</v>
      </c>
      <c r="AW196" s="237">
        <v>186.38</v>
      </c>
    </row>
    <row r="197" spans="1:49" ht="22.5">
      <c r="A197" s="2">
        <v>328.82</v>
      </c>
      <c r="B197" s="59">
        <v>335.84</v>
      </c>
      <c r="C197" s="3">
        <v>342.87</v>
      </c>
      <c r="D197" s="3">
        <v>349.89</v>
      </c>
      <c r="E197" s="59">
        <v>356.92</v>
      </c>
      <c r="F197" s="59">
        <v>363.94</v>
      </c>
      <c r="G197" s="59">
        <v>370.97</v>
      </c>
      <c r="H197" s="974">
        <v>475.72</v>
      </c>
      <c r="I197" s="237">
        <v>385.02</v>
      </c>
      <c r="J197" s="237">
        <v>392.05</v>
      </c>
      <c r="K197" s="237">
        <v>399.07</v>
      </c>
      <c r="L197" s="237">
        <v>406.1</v>
      </c>
      <c r="M197" s="237">
        <v>413.12</v>
      </c>
      <c r="N197" s="237">
        <v>420.15</v>
      </c>
      <c r="O197" s="237">
        <v>427.17</v>
      </c>
      <c r="P197" s="237">
        <v>434.2</v>
      </c>
      <c r="Q197" s="237">
        <v>441.22</v>
      </c>
      <c r="R197" s="237">
        <v>448.25</v>
      </c>
      <c r="S197" s="237">
        <v>321.79000000000002</v>
      </c>
      <c r="T197" s="237">
        <v>314.77</v>
      </c>
      <c r="U197" s="237">
        <v>307.74</v>
      </c>
      <c r="V197" s="237">
        <v>300.72000000000003</v>
      </c>
      <c r="W197" s="237">
        <v>293.69</v>
      </c>
      <c r="X197" s="51">
        <v>193</v>
      </c>
      <c r="Y197" s="761">
        <v>251.23</v>
      </c>
      <c r="Z197" s="761">
        <v>256.19</v>
      </c>
      <c r="AA197" s="730">
        <v>261.14999999999998</v>
      </c>
      <c r="AB197" s="742">
        <v>266.11</v>
      </c>
      <c r="AC197" s="747">
        <v>271.07</v>
      </c>
      <c r="AD197" s="739">
        <v>276.02999999999997</v>
      </c>
      <c r="AE197" s="742">
        <v>280.99</v>
      </c>
      <c r="AF197" s="742">
        <v>285.95</v>
      </c>
      <c r="AG197" s="783">
        <v>290.91000000000003</v>
      </c>
      <c r="AH197" s="787">
        <v>295.77999999999997</v>
      </c>
      <c r="AI197" s="237">
        <v>251.86</v>
      </c>
      <c r="AJ197" s="237">
        <v>256.82</v>
      </c>
      <c r="AK197" s="237">
        <v>261.77999999999997</v>
      </c>
      <c r="AL197" s="237">
        <v>266.74</v>
      </c>
      <c r="AM197" s="237">
        <v>271.7</v>
      </c>
      <c r="AN197" s="237">
        <v>276.66000000000003</v>
      </c>
      <c r="AO197" s="237">
        <v>281.62</v>
      </c>
      <c r="AP197" s="237">
        <v>286.58</v>
      </c>
      <c r="AQ197" s="237">
        <v>291.54000000000002</v>
      </c>
      <c r="AR197" s="237">
        <v>296.5</v>
      </c>
      <c r="AS197" s="237">
        <v>207.22</v>
      </c>
      <c r="AT197" s="237">
        <v>202.26</v>
      </c>
      <c r="AU197" s="761">
        <v>246.27</v>
      </c>
      <c r="AV197" s="237">
        <v>192.34</v>
      </c>
      <c r="AW197" s="237">
        <v>187.38</v>
      </c>
    </row>
    <row r="198" spans="1:49" ht="22.5">
      <c r="A198" s="2">
        <v>330.62</v>
      </c>
      <c r="B198" s="59">
        <v>337.69</v>
      </c>
      <c r="C198" s="3">
        <v>344.75</v>
      </c>
      <c r="D198" s="3">
        <v>351.81</v>
      </c>
      <c r="E198" s="59">
        <v>358.87</v>
      </c>
      <c r="F198" s="59">
        <v>365.93</v>
      </c>
      <c r="G198" s="59">
        <v>372.99</v>
      </c>
      <c r="H198" s="974">
        <v>478.36</v>
      </c>
      <c r="I198" s="237">
        <v>387.12</v>
      </c>
      <c r="J198" s="237">
        <v>394.18</v>
      </c>
      <c r="K198" s="237">
        <v>401.24</v>
      </c>
      <c r="L198" s="237">
        <v>408.3</v>
      </c>
      <c r="M198" s="237">
        <v>415.36</v>
      </c>
      <c r="N198" s="237">
        <v>422.43</v>
      </c>
      <c r="O198" s="237">
        <v>429.49</v>
      </c>
      <c r="P198" s="237">
        <v>436.55</v>
      </c>
      <c r="Q198" s="237">
        <v>443.61</v>
      </c>
      <c r="R198" s="237">
        <v>450.67</v>
      </c>
      <c r="S198" s="237">
        <v>323.56</v>
      </c>
      <c r="T198" s="237">
        <v>316.5</v>
      </c>
      <c r="U198" s="237">
        <v>309.44</v>
      </c>
      <c r="V198" s="237">
        <v>302.38</v>
      </c>
      <c r="W198" s="237">
        <v>295.32</v>
      </c>
      <c r="X198" s="51">
        <v>194</v>
      </c>
      <c r="Y198" s="761">
        <v>252.58</v>
      </c>
      <c r="Z198" s="761">
        <v>257.57</v>
      </c>
      <c r="AA198" s="730">
        <v>262.55</v>
      </c>
      <c r="AB198" s="742">
        <v>267.54000000000002</v>
      </c>
      <c r="AC198" s="747">
        <v>272.52999999999997</v>
      </c>
      <c r="AD198" s="739">
        <v>277.51</v>
      </c>
      <c r="AE198" s="742">
        <v>282.5</v>
      </c>
      <c r="AF198" s="742">
        <v>287.48</v>
      </c>
      <c r="AG198" s="783">
        <v>292.47000000000003</v>
      </c>
      <c r="AH198" s="787">
        <v>297.45</v>
      </c>
      <c r="AI198" s="237">
        <v>253.19</v>
      </c>
      <c r="AJ198" s="237">
        <v>258.18</v>
      </c>
      <c r="AK198" s="237">
        <v>263.17</v>
      </c>
      <c r="AL198" s="237">
        <v>268.14999999999998</v>
      </c>
      <c r="AM198" s="237">
        <v>273.14</v>
      </c>
      <c r="AN198" s="237">
        <v>278.12</v>
      </c>
      <c r="AO198" s="237">
        <v>283.11</v>
      </c>
      <c r="AP198" s="237">
        <v>288.08999999999997</v>
      </c>
      <c r="AQ198" s="237">
        <v>293.08</v>
      </c>
      <c r="AR198" s="237">
        <v>298.07</v>
      </c>
      <c r="AS198" s="237">
        <v>208.32</v>
      </c>
      <c r="AT198" s="237">
        <v>203.34</v>
      </c>
      <c r="AU198" s="761">
        <v>247.6</v>
      </c>
      <c r="AV198" s="237">
        <v>193.36</v>
      </c>
      <c r="AW198" s="237">
        <v>188.38</v>
      </c>
    </row>
    <row r="199" spans="1:49" ht="22.5">
      <c r="A199" s="2">
        <v>332.43</v>
      </c>
      <c r="B199" s="59">
        <v>339.53</v>
      </c>
      <c r="C199" s="3">
        <v>346.63</v>
      </c>
      <c r="D199" s="3">
        <v>353.73</v>
      </c>
      <c r="E199" s="59">
        <v>360.83</v>
      </c>
      <c r="F199" s="59">
        <v>367.92</v>
      </c>
      <c r="G199" s="59">
        <v>375.02</v>
      </c>
      <c r="H199" s="974">
        <v>481</v>
      </c>
      <c r="I199" s="237">
        <v>389.22</v>
      </c>
      <c r="J199" s="237">
        <v>396.32</v>
      </c>
      <c r="K199" s="237">
        <v>403.41</v>
      </c>
      <c r="L199" s="237">
        <v>410.51</v>
      </c>
      <c r="M199" s="237">
        <v>417.61</v>
      </c>
      <c r="N199" s="237">
        <v>424.71</v>
      </c>
      <c r="O199" s="237">
        <v>431.81</v>
      </c>
      <c r="P199" s="237">
        <v>438.9</v>
      </c>
      <c r="Q199" s="237">
        <v>446</v>
      </c>
      <c r="R199" s="237">
        <v>453.1</v>
      </c>
      <c r="S199" s="237">
        <v>325.33999999999997</v>
      </c>
      <c r="T199" s="237">
        <v>318.24</v>
      </c>
      <c r="U199" s="237">
        <v>311.14</v>
      </c>
      <c r="V199" s="237">
        <v>304.04000000000002</v>
      </c>
      <c r="W199" s="237">
        <v>296.94</v>
      </c>
      <c r="X199" s="51">
        <v>195</v>
      </c>
      <c r="Y199" s="761">
        <v>253.77</v>
      </c>
      <c r="Z199" s="761">
        <v>258.77999999999997</v>
      </c>
      <c r="AA199" s="730">
        <v>263.79000000000002</v>
      </c>
      <c r="AB199" s="742">
        <v>268.8</v>
      </c>
      <c r="AC199" s="747">
        <v>273.81</v>
      </c>
      <c r="AD199" s="739">
        <f>AD198+1.43</f>
        <v>278.94</v>
      </c>
      <c r="AE199" s="742">
        <v>283.83999999999997</v>
      </c>
      <c r="AF199" s="742">
        <v>288.85000000000002</v>
      </c>
      <c r="AG199" s="783">
        <v>293.86</v>
      </c>
      <c r="AH199" s="787">
        <v>298.87</v>
      </c>
      <c r="AI199" s="237">
        <v>254.43</v>
      </c>
      <c r="AJ199" s="237">
        <v>259.44</v>
      </c>
      <c r="AK199" s="237">
        <v>264.45</v>
      </c>
      <c r="AL199" s="237">
        <v>269.45999999999998</v>
      </c>
      <c r="AM199" s="237">
        <v>274.47000000000003</v>
      </c>
      <c r="AN199" s="237">
        <v>279.39999999999998</v>
      </c>
      <c r="AO199" s="237">
        <v>284.5</v>
      </c>
      <c r="AP199" s="237">
        <v>289.51</v>
      </c>
      <c r="AQ199" s="237">
        <v>294.52</v>
      </c>
      <c r="AR199" s="237">
        <v>299.52999999999997</v>
      </c>
      <c r="AS199" s="237">
        <v>209.32</v>
      </c>
      <c r="AT199" s="237">
        <v>204.31</v>
      </c>
      <c r="AU199" s="761">
        <v>248.76</v>
      </c>
      <c r="AV199" s="237">
        <v>194.29</v>
      </c>
      <c r="AW199" s="237">
        <v>189.28</v>
      </c>
    </row>
    <row r="200" spans="1:49" ht="22.5">
      <c r="A200" s="2">
        <v>333.88</v>
      </c>
      <c r="B200" s="59">
        <v>341.01</v>
      </c>
      <c r="C200" s="3">
        <v>348.15</v>
      </c>
      <c r="D200" s="3">
        <v>355.28</v>
      </c>
      <c r="E200" s="59">
        <v>362.41</v>
      </c>
      <c r="F200" s="59">
        <v>369.55</v>
      </c>
      <c r="G200" s="59">
        <v>376.68</v>
      </c>
      <c r="H200" s="974">
        <v>483.02</v>
      </c>
      <c r="I200" s="237">
        <v>390.95</v>
      </c>
      <c r="J200" s="237">
        <v>398.09</v>
      </c>
      <c r="K200" s="237">
        <v>405.22</v>
      </c>
      <c r="L200" s="237">
        <v>412.36</v>
      </c>
      <c r="M200" s="237">
        <v>419.49</v>
      </c>
      <c r="N200" s="237">
        <v>426.62</v>
      </c>
      <c r="O200" s="237">
        <v>433.76</v>
      </c>
      <c r="P200" s="237">
        <v>440.89</v>
      </c>
      <c r="Q200" s="237">
        <v>448.03</v>
      </c>
      <c r="R200" s="237">
        <v>455.16</v>
      </c>
      <c r="S200" s="237">
        <v>326.74</v>
      </c>
      <c r="T200" s="237">
        <v>319.61</v>
      </c>
      <c r="U200" s="237">
        <v>312.47000000000003</v>
      </c>
      <c r="V200" s="237">
        <v>305.33999999999997</v>
      </c>
      <c r="W200" s="237">
        <v>298.20999999999998</v>
      </c>
      <c r="X200" s="51">
        <v>196</v>
      </c>
      <c r="Y200" s="761">
        <v>255.12</v>
      </c>
      <c r="Z200" s="761">
        <v>260.16000000000003</v>
      </c>
      <c r="AA200" s="730">
        <v>265.19</v>
      </c>
      <c r="AB200" s="742">
        <v>270.23</v>
      </c>
      <c r="AC200" s="747">
        <v>275.27</v>
      </c>
      <c r="AD200" s="739">
        <v>280.31</v>
      </c>
      <c r="AE200" s="742">
        <v>285.33999999999997</v>
      </c>
      <c r="AF200" s="742">
        <v>290.38</v>
      </c>
      <c r="AG200" s="783">
        <v>295.42</v>
      </c>
      <c r="AH200" s="787">
        <v>300.45</v>
      </c>
      <c r="AI200" s="237">
        <v>255.76</v>
      </c>
      <c r="AJ200" s="237">
        <v>260.8</v>
      </c>
      <c r="AK200" s="237">
        <v>265.83999999999997</v>
      </c>
      <c r="AL200" s="237">
        <v>270.87</v>
      </c>
      <c r="AM200" s="237">
        <v>275.91000000000003</v>
      </c>
      <c r="AN200" s="237">
        <v>280.95</v>
      </c>
      <c r="AO200" s="237">
        <v>285.99</v>
      </c>
      <c r="AP200" s="237">
        <v>291.02</v>
      </c>
      <c r="AQ200" s="237">
        <v>296.06</v>
      </c>
      <c r="AR200" s="237">
        <v>301.10000000000002</v>
      </c>
      <c r="AS200" s="237">
        <v>210.43</v>
      </c>
      <c r="AT200" s="237">
        <v>205.39</v>
      </c>
      <c r="AU200" s="761">
        <v>250.08</v>
      </c>
      <c r="AV200" s="237">
        <v>195.32</v>
      </c>
      <c r="AW200" s="237">
        <v>190.28</v>
      </c>
    </row>
    <row r="201" spans="1:49" ht="22.5">
      <c r="A201" s="2">
        <v>335.69</v>
      </c>
      <c r="B201" s="59">
        <v>342.86</v>
      </c>
      <c r="C201" s="3">
        <v>350.03</v>
      </c>
      <c r="D201" s="3">
        <v>357.21</v>
      </c>
      <c r="E201" s="59">
        <v>364.38</v>
      </c>
      <c r="F201" s="59">
        <v>371.55</v>
      </c>
      <c r="G201" s="59">
        <v>378.72</v>
      </c>
      <c r="H201" s="974">
        <v>485.68</v>
      </c>
      <c r="I201" s="237">
        <v>393.06</v>
      </c>
      <c r="J201" s="237">
        <v>400.23</v>
      </c>
      <c r="K201" s="237">
        <v>407.4</v>
      </c>
      <c r="L201" s="237">
        <v>414.57</v>
      </c>
      <c r="M201" s="237">
        <v>421.74</v>
      </c>
      <c r="N201" s="237">
        <v>428.91</v>
      </c>
      <c r="O201" s="237">
        <v>436.08</v>
      </c>
      <c r="P201" s="237">
        <v>443.25</v>
      </c>
      <c r="Q201" s="237">
        <v>450.43</v>
      </c>
      <c r="R201" s="237">
        <v>457.6</v>
      </c>
      <c r="S201" s="237">
        <v>328.52</v>
      </c>
      <c r="T201" s="237">
        <v>321.35000000000002</v>
      </c>
      <c r="U201" s="237">
        <v>314.18</v>
      </c>
      <c r="V201" s="237">
        <v>307.01</v>
      </c>
      <c r="W201" s="237">
        <v>299.83999999999997</v>
      </c>
      <c r="X201" s="51">
        <v>197</v>
      </c>
      <c r="Y201" s="761">
        <v>256.47000000000003</v>
      </c>
      <c r="Z201" s="761">
        <v>261.54000000000002</v>
      </c>
      <c r="AA201" s="730">
        <v>266.60000000000002</v>
      </c>
      <c r="AB201" s="742">
        <v>271.66000000000003</v>
      </c>
      <c r="AC201" s="747">
        <v>276.73</v>
      </c>
      <c r="AD201" s="739">
        <v>281.79000000000002</v>
      </c>
      <c r="AE201" s="742">
        <v>286.85000000000002</v>
      </c>
      <c r="AF201" s="742">
        <v>291.91000000000003</v>
      </c>
      <c r="AG201" s="783">
        <v>296.98</v>
      </c>
      <c r="AH201" s="787">
        <v>302.04000000000002</v>
      </c>
      <c r="AI201" s="237">
        <v>257.10000000000002</v>
      </c>
      <c r="AJ201" s="237">
        <v>262.16000000000003</v>
      </c>
      <c r="AK201" s="237">
        <v>267.23</v>
      </c>
      <c r="AL201" s="237">
        <v>272.29000000000002</v>
      </c>
      <c r="AM201" s="237">
        <v>277.35000000000002</v>
      </c>
      <c r="AN201" s="237">
        <v>282.42</v>
      </c>
      <c r="AO201" s="237">
        <v>287.48</v>
      </c>
      <c r="AP201" s="237">
        <v>292.54000000000002</v>
      </c>
      <c r="AQ201" s="237">
        <v>297.60000000000002</v>
      </c>
      <c r="AR201" s="237">
        <v>302.67</v>
      </c>
      <c r="AS201" s="237">
        <v>211.53</v>
      </c>
      <c r="AT201" s="237">
        <v>206.47</v>
      </c>
      <c r="AU201" s="761">
        <v>251.41</v>
      </c>
      <c r="AV201" s="237">
        <v>196.35</v>
      </c>
      <c r="AW201" s="237">
        <v>191.28</v>
      </c>
    </row>
    <row r="202" spans="1:49" ht="22.5">
      <c r="A202" s="130">
        <v>337.51</v>
      </c>
      <c r="B202" s="124">
        <v>344.72</v>
      </c>
      <c r="C202" s="125">
        <v>351.93</v>
      </c>
      <c r="D202" s="125">
        <v>359.14</v>
      </c>
      <c r="E202" s="124">
        <v>366.34</v>
      </c>
      <c r="F202" s="124">
        <v>373.55</v>
      </c>
      <c r="G202" s="124">
        <v>380.76</v>
      </c>
      <c r="H202" s="974">
        <v>488.34</v>
      </c>
      <c r="I202" s="237">
        <v>395.17</v>
      </c>
      <c r="J202" s="237">
        <v>402.38</v>
      </c>
      <c r="K202" s="237">
        <v>409.59</v>
      </c>
      <c r="L202" s="237">
        <v>416.79</v>
      </c>
      <c r="M202" s="237">
        <v>424</v>
      </c>
      <c r="N202" s="237">
        <v>431.21</v>
      </c>
      <c r="O202" s="237">
        <v>438.42</v>
      </c>
      <c r="P202" s="237">
        <v>445.62</v>
      </c>
      <c r="Q202" s="237">
        <v>452.83</v>
      </c>
      <c r="R202" s="237">
        <v>460.04</v>
      </c>
      <c r="S202" s="237">
        <v>330.31</v>
      </c>
      <c r="T202" s="237">
        <v>323.10000000000002</v>
      </c>
      <c r="U202" s="237">
        <v>315.89</v>
      </c>
      <c r="V202" s="237">
        <v>308.69</v>
      </c>
      <c r="W202" s="237">
        <v>301.48</v>
      </c>
      <c r="X202" s="51">
        <v>198</v>
      </c>
      <c r="Y202" s="761">
        <v>257.66000000000003</v>
      </c>
      <c r="Z202" s="761">
        <v>262.75</v>
      </c>
      <c r="AA202" s="731">
        <v>267.83999999999997</v>
      </c>
      <c r="AB202" s="743">
        <v>272.92</v>
      </c>
      <c r="AC202" s="748">
        <v>278.01</v>
      </c>
      <c r="AD202" s="739">
        <v>283.10000000000002</v>
      </c>
      <c r="AE202" s="743">
        <v>288.19</v>
      </c>
      <c r="AF202" s="742">
        <v>293.27999999999997</v>
      </c>
      <c r="AG202" s="783">
        <v>298.37</v>
      </c>
      <c r="AH202" s="788">
        <v>303.45999999999998</v>
      </c>
      <c r="AI202" s="237">
        <v>258.33</v>
      </c>
      <c r="AJ202" s="237">
        <v>263.42</v>
      </c>
      <c r="AK202" s="237">
        <v>268.51</v>
      </c>
      <c r="AL202" s="237">
        <v>273.60000000000002</v>
      </c>
      <c r="AM202" s="237">
        <v>278.69</v>
      </c>
      <c r="AN202" s="237">
        <v>283.77999999999997</v>
      </c>
      <c r="AO202" s="237">
        <v>288.86</v>
      </c>
      <c r="AP202" s="237">
        <v>293.95</v>
      </c>
      <c r="AQ202" s="237">
        <v>299.04000000000002</v>
      </c>
      <c r="AR202" s="237">
        <v>304.13</v>
      </c>
      <c r="AS202" s="237">
        <v>212.54</v>
      </c>
      <c r="AT202" s="237">
        <v>207.45</v>
      </c>
      <c r="AU202" s="761">
        <v>252.57</v>
      </c>
      <c r="AV202" s="237">
        <v>197.27</v>
      </c>
      <c r="AW202" s="237">
        <v>192.18</v>
      </c>
    </row>
    <row r="203" spans="1:49" ht="22.5">
      <c r="A203" s="131">
        <v>338.96</v>
      </c>
      <c r="B203" s="122">
        <v>346.2</v>
      </c>
      <c r="C203" s="123">
        <v>353.44</v>
      </c>
      <c r="D203" s="123">
        <v>360.69</v>
      </c>
      <c r="E203" s="122">
        <v>367.93</v>
      </c>
      <c r="F203" s="122">
        <v>375.17</v>
      </c>
      <c r="G203" s="122">
        <v>382.42</v>
      </c>
      <c r="H203" s="974">
        <v>490.36</v>
      </c>
      <c r="I203" s="237">
        <v>396.91</v>
      </c>
      <c r="J203" s="237">
        <v>404.15</v>
      </c>
      <c r="K203" s="237">
        <v>411.39</v>
      </c>
      <c r="L203" s="237">
        <v>418.64</v>
      </c>
      <c r="M203" s="237">
        <v>425.88</v>
      </c>
      <c r="N203" s="237">
        <v>433.12</v>
      </c>
      <c r="O203" s="237">
        <v>440.37</v>
      </c>
      <c r="P203" s="237">
        <v>447.61</v>
      </c>
      <c r="Q203" s="237">
        <v>454.85</v>
      </c>
      <c r="R203" s="237">
        <v>462.1</v>
      </c>
      <c r="S203" s="237">
        <v>331.71</v>
      </c>
      <c r="T203" s="237">
        <v>324.47000000000003</v>
      </c>
      <c r="U203" s="237">
        <v>317.23</v>
      </c>
      <c r="V203" s="237">
        <v>309.38</v>
      </c>
      <c r="W203" s="237">
        <v>302.74</v>
      </c>
      <c r="X203" s="51">
        <v>199</v>
      </c>
      <c r="Y203" s="761">
        <v>259.02</v>
      </c>
      <c r="Z203" s="761">
        <v>264.13</v>
      </c>
      <c r="AA203" s="728">
        <v>269.24</v>
      </c>
      <c r="AB203" s="739">
        <v>274.36</v>
      </c>
      <c r="AC203" s="745">
        <v>279.47000000000003</v>
      </c>
      <c r="AD203" s="739">
        <v>284.58999999999997</v>
      </c>
      <c r="AE203" s="739">
        <v>289.7</v>
      </c>
      <c r="AF203" s="743">
        <v>294.82</v>
      </c>
      <c r="AG203" s="783">
        <v>299.93</v>
      </c>
      <c r="AH203" s="785">
        <v>305.04000000000002</v>
      </c>
      <c r="AI203" s="237">
        <v>159.66999999999999</v>
      </c>
      <c r="AJ203" s="237">
        <v>264.79000000000002</v>
      </c>
      <c r="AK203" s="237">
        <v>269.89999999999998</v>
      </c>
      <c r="AL203" s="237">
        <v>275.01</v>
      </c>
      <c r="AM203" s="237">
        <v>280.13</v>
      </c>
      <c r="AN203" s="237">
        <v>285.24</v>
      </c>
      <c r="AO203" s="237">
        <v>290.36</v>
      </c>
      <c r="AP203" s="237">
        <v>295.47000000000003</v>
      </c>
      <c r="AQ203" s="237">
        <v>300.58999999999997</v>
      </c>
      <c r="AR203" s="237">
        <v>305.7</v>
      </c>
      <c r="AS203" s="237">
        <v>213.64</v>
      </c>
      <c r="AT203" s="237">
        <v>208.53</v>
      </c>
      <c r="AU203" s="761">
        <v>253.9</v>
      </c>
      <c r="AV203" s="237">
        <v>198.3</v>
      </c>
      <c r="AW203" s="237">
        <v>193.19</v>
      </c>
    </row>
    <row r="204" spans="1:49" ht="23.25" thickBot="1">
      <c r="A204" s="154">
        <v>340.78</v>
      </c>
      <c r="B204" s="126">
        <v>348.06</v>
      </c>
      <c r="C204" s="127">
        <v>355.34</v>
      </c>
      <c r="D204" s="127">
        <v>362.62</v>
      </c>
      <c r="E204" s="126">
        <v>369.9</v>
      </c>
      <c r="F204" s="126">
        <v>377.18</v>
      </c>
      <c r="G204" s="126">
        <v>384.46</v>
      </c>
      <c r="H204" s="974">
        <v>493.04</v>
      </c>
      <c r="I204" s="238">
        <v>399.02</v>
      </c>
      <c r="J204" s="238">
        <v>406.3</v>
      </c>
      <c r="K204" s="238">
        <v>413.58</v>
      </c>
      <c r="L204" s="238">
        <v>420.86</v>
      </c>
      <c r="M204" s="238">
        <v>428.14</v>
      </c>
      <c r="N204" s="238">
        <v>435.42</v>
      </c>
      <c r="O204" s="238">
        <v>442.7</v>
      </c>
      <c r="P204" s="238">
        <v>449.98</v>
      </c>
      <c r="Q204" s="238">
        <v>457.26</v>
      </c>
      <c r="R204" s="238">
        <v>464.54</v>
      </c>
      <c r="S204" s="237">
        <v>333.5</v>
      </c>
      <c r="T204" s="237">
        <v>326.22000000000003</v>
      </c>
      <c r="U204" s="237">
        <v>318.94</v>
      </c>
      <c r="V204" s="237">
        <v>311.66000000000003</v>
      </c>
      <c r="W204" s="237">
        <v>304.38</v>
      </c>
      <c r="X204" s="52">
        <v>200</v>
      </c>
      <c r="Y204" s="761">
        <v>260.37</v>
      </c>
      <c r="Z204" s="761">
        <v>265.51</v>
      </c>
      <c r="AA204" s="732">
        <v>270.64999999999998</v>
      </c>
      <c r="AB204" s="744">
        <v>275.79000000000002</v>
      </c>
      <c r="AC204" s="749">
        <v>280.93</v>
      </c>
      <c r="AD204" s="739">
        <v>286.07</v>
      </c>
      <c r="AE204" s="744">
        <v>291.20999999999998</v>
      </c>
      <c r="AF204" s="739">
        <v>296.35000000000002</v>
      </c>
      <c r="AG204" s="784">
        <v>301.49</v>
      </c>
      <c r="AH204" s="789">
        <v>306.63</v>
      </c>
      <c r="AI204" s="238">
        <v>261.01</v>
      </c>
      <c r="AJ204" s="238">
        <v>266.14999999999998</v>
      </c>
      <c r="AK204" s="238">
        <v>271.29000000000002</v>
      </c>
      <c r="AL204" s="238">
        <v>276.43</v>
      </c>
      <c r="AM204" s="238">
        <v>281.57</v>
      </c>
      <c r="AN204" s="238">
        <v>286.70999999999998</v>
      </c>
      <c r="AO204" s="238">
        <v>291.85000000000002</v>
      </c>
      <c r="AP204" s="238">
        <v>296.99</v>
      </c>
      <c r="AQ204" s="238">
        <v>302.13</v>
      </c>
      <c r="AR204" s="238">
        <v>307.27</v>
      </c>
      <c r="AS204" s="237">
        <v>214.75</v>
      </c>
      <c r="AT204" s="237">
        <v>209.61</v>
      </c>
      <c r="AU204" s="761">
        <v>255.23</v>
      </c>
      <c r="AV204" s="237">
        <v>199.33</v>
      </c>
      <c r="AW204" s="237">
        <v>194.19</v>
      </c>
    </row>
    <row r="205" spans="1:49" ht="21.75" thickBot="1">
      <c r="A205" s="137">
        <v>1.7</v>
      </c>
      <c r="B205" s="152">
        <v>1.74</v>
      </c>
      <c r="C205" s="129">
        <v>1.78</v>
      </c>
      <c r="D205" s="129">
        <v>1.81</v>
      </c>
      <c r="E205" s="152">
        <v>1.85</v>
      </c>
      <c r="F205" s="152">
        <v>1.89</v>
      </c>
      <c r="G205" s="152">
        <v>1.92</v>
      </c>
      <c r="H205" s="708">
        <v>1.96</v>
      </c>
      <c r="I205" s="152">
        <v>2</v>
      </c>
      <c r="J205" s="152">
        <v>2.0299999999999998</v>
      </c>
      <c r="K205" s="152">
        <v>2.0699999999999998</v>
      </c>
      <c r="L205" s="152">
        <v>2.1</v>
      </c>
      <c r="M205" s="152">
        <v>2.14</v>
      </c>
      <c r="N205" s="152">
        <v>2.1800000000000002</v>
      </c>
      <c r="O205" s="152">
        <v>2.21</v>
      </c>
      <c r="P205" s="152">
        <v>2.25</v>
      </c>
      <c r="Q205" s="152">
        <v>2.29</v>
      </c>
      <c r="R205" s="153">
        <v>2.3199999999999998</v>
      </c>
      <c r="S205" s="246">
        <v>1.67</v>
      </c>
      <c r="T205" s="240">
        <v>1.63</v>
      </c>
      <c r="U205" s="240">
        <v>1.6</v>
      </c>
      <c r="V205" s="240">
        <v>1.56</v>
      </c>
      <c r="W205" s="246">
        <v>1.52</v>
      </c>
      <c r="X205" s="246"/>
      <c r="Y205" s="762">
        <v>1.3</v>
      </c>
      <c r="Z205" s="768">
        <v>1.33</v>
      </c>
      <c r="AA205" s="750">
        <v>1.35</v>
      </c>
      <c r="AB205" s="751">
        <v>1.38</v>
      </c>
      <c r="AC205" s="751">
        <v>1.41</v>
      </c>
      <c r="AD205" s="751">
        <v>1.43</v>
      </c>
      <c r="AE205" s="129">
        <v>1.46</v>
      </c>
      <c r="AF205" s="152">
        <v>1.48</v>
      </c>
      <c r="AG205" s="152">
        <v>1.25</v>
      </c>
      <c r="AH205" s="790">
        <v>1.54</v>
      </c>
      <c r="AI205" s="709">
        <v>1.3</v>
      </c>
      <c r="AJ205" s="239">
        <v>1.33</v>
      </c>
      <c r="AK205" s="239">
        <v>1.36</v>
      </c>
      <c r="AL205" s="239">
        <v>1.38</v>
      </c>
      <c r="AM205" s="239">
        <v>1.41</v>
      </c>
      <c r="AN205" s="239">
        <v>1.43</v>
      </c>
      <c r="AO205" s="239">
        <v>1.46</v>
      </c>
      <c r="AP205" s="239">
        <v>1.48</v>
      </c>
      <c r="AQ205" s="239">
        <v>1.51</v>
      </c>
      <c r="AR205" s="240">
        <v>1.54</v>
      </c>
      <c r="AS205" s="246">
        <v>1.07</v>
      </c>
      <c r="AT205" s="247">
        <v>1.05</v>
      </c>
      <c r="AU205" s="762">
        <v>1.28</v>
      </c>
      <c r="AV205" s="247">
        <v>1</v>
      </c>
      <c r="AW205" s="246">
        <v>0.97</v>
      </c>
    </row>
    <row r="206" spans="1:49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S206" s="4"/>
      <c r="AT206" s="4"/>
      <c r="AU206" s="4"/>
      <c r="AV206" s="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"/>
  <dimension ref="A1:AR185"/>
  <sheetViews>
    <sheetView topLeftCell="A7" zoomScale="130" zoomScaleNormal="130" zoomScaleSheetLayoutView="100" workbookViewId="0">
      <selection activeCell="Y19" sqref="Y19"/>
    </sheetView>
  </sheetViews>
  <sheetFormatPr defaultColWidth="9.140625" defaultRowHeight="16.5"/>
  <cols>
    <col min="1" max="1" width="3.28515625" style="318" customWidth="1"/>
    <col min="2" max="2" width="8.5703125" style="318" customWidth="1"/>
    <col min="3" max="3" width="9.85546875" style="318" customWidth="1"/>
    <col min="4" max="4" width="3.7109375" style="318" customWidth="1"/>
    <col min="5" max="5" width="6.85546875" style="318" customWidth="1"/>
    <col min="6" max="6" width="7.5703125" style="318" customWidth="1"/>
    <col min="7" max="7" width="14.42578125" style="318" customWidth="1"/>
    <col min="8" max="8" width="9.85546875" style="318" customWidth="1"/>
    <col min="9" max="9" width="8" style="318" customWidth="1"/>
    <col min="10" max="10" width="4.140625" style="318" customWidth="1"/>
    <col min="11" max="11" width="4" style="318" customWidth="1"/>
    <col min="12" max="12" width="8.5703125" style="318" customWidth="1"/>
    <col min="13" max="13" width="7.28515625" style="318" customWidth="1"/>
    <col min="14" max="14" width="6.140625" style="343" customWidth="1"/>
    <col min="15" max="15" width="3.85546875" style="343" customWidth="1"/>
    <col min="16" max="16" width="8.5703125" style="343" customWidth="1"/>
    <col min="17" max="29" width="3.85546875" style="343" customWidth="1"/>
    <col min="30" max="35" width="0.140625" style="343" customWidth="1"/>
    <col min="36" max="37" width="9.140625" style="343"/>
    <col min="38" max="16384" width="9.140625" style="318"/>
  </cols>
  <sheetData>
    <row r="1" spans="1:44">
      <c r="B1" s="1393" t="s">
        <v>3</v>
      </c>
      <c r="C1" s="1393"/>
      <c r="D1" s="1393"/>
      <c r="E1" s="1393"/>
      <c r="F1" s="1393"/>
      <c r="G1" s="1393"/>
      <c r="H1" s="1393"/>
      <c r="I1" s="1393"/>
      <c r="J1" s="1393"/>
      <c r="K1" s="1393"/>
      <c r="L1" s="1393"/>
      <c r="P1" s="608" t="s">
        <v>596</v>
      </c>
      <c r="Q1" s="609"/>
      <c r="AL1" s="343"/>
      <c r="AM1" s="343"/>
      <c r="AN1" s="343"/>
      <c r="AO1" s="343"/>
      <c r="AP1" s="343"/>
      <c r="AQ1" s="343"/>
      <c r="AR1" s="343"/>
    </row>
    <row r="2" spans="1:44" s="320" customFormat="1">
      <c r="A2" s="319"/>
      <c r="B2" s="1394" t="s">
        <v>533</v>
      </c>
      <c r="C2" s="1394"/>
      <c r="D2" s="1394"/>
      <c r="E2" s="1394"/>
      <c r="F2" s="1394"/>
      <c r="G2" s="1394"/>
      <c r="H2" s="1394"/>
      <c r="I2" s="1394"/>
      <c r="J2" s="1394"/>
      <c r="K2" s="1394"/>
      <c r="L2" s="1394"/>
      <c r="N2" s="343"/>
      <c r="O2" s="583"/>
      <c r="P2" s="610" t="s">
        <v>597</v>
      </c>
      <c r="Q2" s="610"/>
      <c r="R2" s="611"/>
      <c r="S2" s="610"/>
      <c r="T2" s="582"/>
      <c r="U2" s="343"/>
      <c r="V2" s="343"/>
      <c r="W2" s="583"/>
      <c r="X2" s="583"/>
      <c r="Y2" s="583"/>
      <c r="Z2" s="583"/>
      <c r="AA2" s="583"/>
      <c r="AB2" s="583"/>
      <c r="AC2" s="583"/>
      <c r="AD2" s="583"/>
      <c r="AE2" s="583"/>
      <c r="AF2" s="583"/>
      <c r="AG2" s="583"/>
      <c r="AH2" s="583"/>
      <c r="AI2" s="583"/>
      <c r="AJ2" s="583"/>
      <c r="AK2" s="583"/>
      <c r="AL2" s="583"/>
      <c r="AM2" s="583"/>
      <c r="AN2" s="583"/>
      <c r="AO2" s="583"/>
      <c r="AP2" s="583"/>
      <c r="AQ2" s="583"/>
      <c r="AR2" s="583"/>
    </row>
    <row r="3" spans="1:44" s="320" customFormat="1" ht="17.25" customHeight="1">
      <c r="A3" s="318"/>
      <c r="B3" s="318"/>
      <c r="C3" s="318"/>
      <c r="D3" s="318"/>
      <c r="E3" s="318"/>
      <c r="F3" s="318"/>
      <c r="G3" s="318"/>
      <c r="I3" s="656"/>
      <c r="J3" s="318"/>
      <c r="K3" s="318"/>
      <c r="L3" s="318"/>
      <c r="M3" s="318"/>
      <c r="N3" s="343" t="s">
        <v>591</v>
      </c>
      <c r="O3" s="612">
        <f>+Data!D28</f>
        <v>2</v>
      </c>
      <c r="P3" s="343" t="s">
        <v>75</v>
      </c>
      <c r="Q3" s="593">
        <f>+Data!D29</f>
        <v>2</v>
      </c>
      <c r="R3" s="590" t="s">
        <v>153</v>
      </c>
      <c r="S3" s="343" t="s">
        <v>156</v>
      </c>
      <c r="T3" s="584"/>
      <c r="U3" s="583"/>
      <c r="V3" s="583"/>
      <c r="W3" s="583"/>
      <c r="X3" s="583"/>
      <c r="Y3" s="583"/>
      <c r="Z3" s="583"/>
      <c r="AA3" s="583"/>
      <c r="AB3" s="583"/>
      <c r="AC3" s="583"/>
      <c r="AD3" s="583"/>
      <c r="AE3" s="583"/>
      <c r="AF3" s="583"/>
      <c r="AG3" s="583"/>
      <c r="AH3" s="583"/>
      <c r="AI3" s="583"/>
      <c r="AJ3" s="583"/>
      <c r="AK3" s="583"/>
      <c r="AL3" s="583"/>
      <c r="AM3" s="583"/>
      <c r="AN3" s="583"/>
      <c r="AO3" s="583"/>
      <c r="AP3" s="583"/>
      <c r="AQ3" s="583"/>
      <c r="AR3" s="583"/>
    </row>
    <row r="4" spans="1:44" ht="17.25" customHeight="1">
      <c r="B4" s="322" t="s">
        <v>547</v>
      </c>
      <c r="C4" s="1395" t="s">
        <v>828</v>
      </c>
      <c r="D4" s="1395"/>
      <c r="E4" s="1395"/>
      <c r="F4" s="1395"/>
      <c r="G4" s="1395"/>
      <c r="H4" s="318" t="s">
        <v>535</v>
      </c>
      <c r="J4" s="1389">
        <v>5.8</v>
      </c>
      <c r="K4" s="1389"/>
      <c r="L4" s="318" t="s">
        <v>46</v>
      </c>
      <c r="M4" s="324"/>
      <c r="P4" s="343" t="s">
        <v>77</v>
      </c>
      <c r="Q4" s="593">
        <f>+Data!D30</f>
        <v>2</v>
      </c>
      <c r="R4" s="590" t="s">
        <v>153</v>
      </c>
      <c r="S4" s="343" t="s">
        <v>173</v>
      </c>
      <c r="T4" s="584"/>
      <c r="U4" s="583"/>
      <c r="V4" s="583"/>
      <c r="AL4" s="343"/>
      <c r="AM4" s="343"/>
      <c r="AN4" s="343"/>
      <c r="AO4" s="343"/>
      <c r="AP4" s="343"/>
      <c r="AQ4" s="343"/>
      <c r="AR4" s="343"/>
    </row>
    <row r="5" spans="1:44" ht="17.25" customHeight="1">
      <c r="B5" s="322" t="s">
        <v>548</v>
      </c>
      <c r="C5" s="1395" t="s">
        <v>534</v>
      </c>
      <c r="D5" s="1395"/>
      <c r="E5" s="1395"/>
      <c r="F5" s="1395"/>
      <c r="G5" s="1395"/>
      <c r="H5" s="318" t="s">
        <v>295</v>
      </c>
      <c r="J5" s="1389">
        <v>5.8</v>
      </c>
      <c r="K5" s="1389"/>
      <c r="L5" s="318" t="s">
        <v>46</v>
      </c>
      <c r="P5" s="613" t="s">
        <v>79</v>
      </c>
      <c r="Q5" s="614">
        <v>1</v>
      </c>
      <c r="R5" s="590" t="s">
        <v>153</v>
      </c>
      <c r="S5" s="615" t="s">
        <v>154</v>
      </c>
      <c r="T5" s="585"/>
      <c r="AL5" s="343"/>
      <c r="AM5" s="343"/>
      <c r="AN5" s="343"/>
      <c r="AO5" s="343"/>
      <c r="AP5" s="343"/>
      <c r="AQ5" s="343"/>
      <c r="AR5" s="343"/>
    </row>
    <row r="6" spans="1:44" ht="17.25" customHeight="1">
      <c r="B6" s="318" t="s">
        <v>51</v>
      </c>
      <c r="C6" s="323" t="str">
        <f>'ปร.5 (2)'!A4</f>
        <v>โครงการ</v>
      </c>
      <c r="E6" s="323"/>
      <c r="F6" s="323"/>
      <c r="G6" s="323"/>
      <c r="H6" s="323"/>
      <c r="I6" s="323"/>
      <c r="R6" s="590" t="s">
        <v>153</v>
      </c>
      <c r="S6" s="615" t="s">
        <v>155</v>
      </c>
      <c r="AL6" s="343"/>
      <c r="AM6" s="343"/>
      <c r="AN6" s="343"/>
      <c r="AO6" s="343"/>
      <c r="AP6" s="343"/>
      <c r="AQ6" s="343"/>
      <c r="AR6" s="343"/>
    </row>
    <row r="7" spans="1:44" ht="17.25" customHeight="1">
      <c r="B7" s="318" t="s">
        <v>52</v>
      </c>
      <c r="C7" s="1395">
        <f>+'ปร.5 (2)'!C5</f>
        <v>0</v>
      </c>
      <c r="D7" s="1395"/>
      <c r="E7" s="1395"/>
      <c r="F7" s="1395"/>
      <c r="G7" s="1395"/>
      <c r="H7" s="1395"/>
      <c r="I7" s="1395"/>
      <c r="J7" s="1395"/>
      <c r="K7" s="1395"/>
      <c r="L7" s="1395"/>
      <c r="M7" s="325"/>
      <c r="P7" s="343" t="s">
        <v>157</v>
      </c>
      <c r="Q7" s="593">
        <v>7</v>
      </c>
      <c r="R7" s="584" t="s">
        <v>74</v>
      </c>
      <c r="S7" s="343" t="s">
        <v>158</v>
      </c>
      <c r="T7" s="586"/>
      <c r="AL7" s="343"/>
      <c r="AM7" s="343"/>
      <c r="AN7" s="343"/>
      <c r="AO7" s="343"/>
      <c r="AP7" s="343"/>
      <c r="AQ7" s="343"/>
      <c r="AR7" s="343"/>
    </row>
    <row r="8" spans="1:44" ht="17.25" customHeight="1">
      <c r="B8" s="327"/>
      <c r="G8" s="391" t="s">
        <v>152</v>
      </c>
      <c r="I8" s="321" t="s">
        <v>164</v>
      </c>
      <c r="N8" s="583"/>
      <c r="P8" s="343" t="s">
        <v>76</v>
      </c>
      <c r="Q8" s="593">
        <v>0</v>
      </c>
      <c r="R8" s="584" t="s">
        <v>74</v>
      </c>
      <c r="S8" s="586"/>
      <c r="T8" s="586"/>
      <c r="AL8" s="343"/>
      <c r="AM8" s="343"/>
      <c r="AN8" s="343"/>
      <c r="AO8" s="343"/>
      <c r="AP8" s="343"/>
      <c r="AQ8" s="343"/>
      <c r="AR8" s="343"/>
    </row>
    <row r="9" spans="1:44" ht="17.25" customHeight="1">
      <c r="A9" s="318">
        <v>1</v>
      </c>
      <c r="B9" s="329" t="s">
        <v>318</v>
      </c>
      <c r="D9" s="318">
        <v>9</v>
      </c>
      <c r="E9" s="318" t="s">
        <v>62</v>
      </c>
      <c r="G9" s="330">
        <f>+ราคาวัสดุ!E8</f>
        <v>90.75</v>
      </c>
      <c r="H9" s="331" t="s">
        <v>4</v>
      </c>
      <c r="I9" s="318" t="s">
        <v>5</v>
      </c>
      <c r="J9" s="332">
        <v>5</v>
      </c>
      <c r="K9" s="321" t="s">
        <v>6</v>
      </c>
      <c r="L9" s="333">
        <v>14.42</v>
      </c>
      <c r="M9" s="318" t="s">
        <v>19</v>
      </c>
      <c r="N9" s="583"/>
      <c r="P9" s="343" t="s">
        <v>78</v>
      </c>
      <c r="Q9" s="593">
        <v>7</v>
      </c>
      <c r="R9" s="584" t="s">
        <v>74</v>
      </c>
      <c r="S9" s="586"/>
      <c r="T9" s="583"/>
      <c r="AL9" s="343"/>
      <c r="AM9" s="343"/>
      <c r="AN9" s="343"/>
      <c r="AO9" s="343"/>
      <c r="AP9" s="343"/>
      <c r="AQ9" s="343"/>
      <c r="AR9" s="343"/>
    </row>
    <row r="10" spans="1:44" ht="17.25" customHeight="1">
      <c r="A10" s="318">
        <v>2</v>
      </c>
      <c r="B10" s="329" t="s">
        <v>318</v>
      </c>
      <c r="D10" s="318">
        <v>10</v>
      </c>
      <c r="F10" s="318" t="s">
        <v>853</v>
      </c>
      <c r="G10" s="330"/>
      <c r="H10" s="331"/>
      <c r="I10" s="318" t="s">
        <v>5</v>
      </c>
      <c r="J10" s="332">
        <v>30</v>
      </c>
      <c r="K10" s="321" t="s">
        <v>6</v>
      </c>
      <c r="L10" s="333">
        <v>68.349999999999994</v>
      </c>
      <c r="M10" s="318" t="s">
        <v>19</v>
      </c>
      <c r="P10" s="343" t="s">
        <v>80</v>
      </c>
      <c r="Q10" s="593">
        <v>0</v>
      </c>
      <c r="R10" s="584" t="s">
        <v>74</v>
      </c>
      <c r="S10" s="586"/>
      <c r="T10" s="586"/>
      <c r="AL10" s="343"/>
      <c r="AM10" s="343"/>
      <c r="AN10" s="343"/>
      <c r="AO10" s="343"/>
      <c r="AP10" s="343"/>
      <c r="AQ10" s="343"/>
      <c r="AR10" s="343"/>
    </row>
    <row r="11" spans="1:44" ht="17.25" customHeight="1">
      <c r="A11" s="318">
        <v>3</v>
      </c>
      <c r="B11" s="329" t="s">
        <v>318</v>
      </c>
      <c r="D11" s="318">
        <v>11</v>
      </c>
      <c r="E11" s="318" t="s">
        <v>148</v>
      </c>
      <c r="G11" s="330">
        <v>290</v>
      </c>
      <c r="H11" s="331" t="s">
        <v>4</v>
      </c>
      <c r="I11" s="318" t="s">
        <v>7</v>
      </c>
      <c r="J11" s="332">
        <f>Data!E5</f>
        <v>15</v>
      </c>
      <c r="K11" s="321" t="s">
        <v>6</v>
      </c>
      <c r="L11" s="333">
        <v>34.61</v>
      </c>
      <c r="M11" s="318" t="s">
        <v>19</v>
      </c>
      <c r="P11" s="343" t="s">
        <v>81</v>
      </c>
      <c r="Q11" s="593">
        <v>7</v>
      </c>
      <c r="R11" s="584" t="s">
        <v>74</v>
      </c>
      <c r="S11" s="586"/>
      <c r="T11" s="586"/>
      <c r="U11" s="584"/>
      <c r="V11" s="584"/>
      <c r="AL11" s="343"/>
      <c r="AM11" s="343"/>
      <c r="AN11" s="343"/>
      <c r="AO11" s="343"/>
      <c r="AP11" s="343"/>
      <c r="AQ11" s="343"/>
      <c r="AR11" s="343"/>
    </row>
    <row r="12" spans="1:44" ht="17.25" customHeight="1">
      <c r="A12" s="318">
        <v>4</v>
      </c>
      <c r="B12" s="329" t="s">
        <v>318</v>
      </c>
      <c r="D12" s="318">
        <v>12</v>
      </c>
      <c r="E12" s="318" t="s">
        <v>149</v>
      </c>
      <c r="G12" s="330">
        <f>+G11</f>
        <v>290</v>
      </c>
      <c r="H12" s="331" t="s">
        <v>4</v>
      </c>
      <c r="I12" s="318" t="s">
        <v>7</v>
      </c>
      <c r="J12" s="332">
        <f>J11</f>
        <v>15</v>
      </c>
      <c r="K12" s="321" t="s">
        <v>6</v>
      </c>
      <c r="L12" s="333">
        <v>34.61</v>
      </c>
      <c r="M12" s="318" t="s">
        <v>19</v>
      </c>
      <c r="O12" s="586"/>
      <c r="P12" s="587" t="s">
        <v>82</v>
      </c>
      <c r="Q12" s="594">
        <f>+Data!G2</f>
        <v>32.11</v>
      </c>
      <c r="R12" s="595"/>
      <c r="S12" s="596" t="s">
        <v>593</v>
      </c>
      <c r="T12" s="587"/>
      <c r="U12" s="584"/>
      <c r="V12" s="584"/>
      <c r="AL12" s="343"/>
      <c r="AM12" s="343"/>
      <c r="AN12" s="343"/>
      <c r="AO12" s="343"/>
      <c r="AP12" s="343"/>
      <c r="AQ12" s="343"/>
      <c r="AR12" s="343"/>
    </row>
    <row r="13" spans="1:44" ht="17.25" customHeight="1">
      <c r="A13" s="318">
        <v>5</v>
      </c>
      <c r="B13" s="329" t="s">
        <v>318</v>
      </c>
      <c r="D13" s="318">
        <v>13</v>
      </c>
      <c r="E13" s="318" t="s">
        <v>150</v>
      </c>
      <c r="G13" s="330">
        <f>+ราคาวัสดุ!E7</f>
        <v>180</v>
      </c>
      <c r="H13" s="331" t="s">
        <v>4</v>
      </c>
      <c r="I13" s="318" t="s">
        <v>7</v>
      </c>
      <c r="J13" s="332">
        <f>J12</f>
        <v>15</v>
      </c>
      <c r="K13" s="321" t="s">
        <v>6</v>
      </c>
      <c r="L13" s="333">
        <v>34.61</v>
      </c>
      <c r="M13" s="318" t="s">
        <v>19</v>
      </c>
      <c r="O13" s="586"/>
      <c r="P13" s="597" t="s">
        <v>83</v>
      </c>
      <c r="Q13" s="598">
        <v>0</v>
      </c>
      <c r="R13" s="599">
        <v>0</v>
      </c>
      <c r="S13" s="587" t="s">
        <v>84</v>
      </c>
      <c r="T13" s="588"/>
      <c r="U13" s="584"/>
      <c r="V13" s="584"/>
      <c r="AL13" s="343"/>
      <c r="AM13" s="343"/>
      <c r="AN13" s="343"/>
      <c r="AO13" s="343"/>
      <c r="AP13" s="343"/>
      <c r="AQ13" s="343"/>
      <c r="AR13" s="343"/>
    </row>
    <row r="14" spans="1:44" ht="17.25" customHeight="1">
      <c r="A14" s="318">
        <v>6</v>
      </c>
      <c r="B14" s="329" t="s">
        <v>318</v>
      </c>
      <c r="D14" s="318">
        <v>14</v>
      </c>
      <c r="E14" s="318" t="s">
        <v>151</v>
      </c>
      <c r="G14" s="334">
        <f>+H106</f>
        <v>191.27595000000002</v>
      </c>
      <c r="H14" s="331" t="s">
        <v>4</v>
      </c>
      <c r="I14" s="318" t="s">
        <v>7</v>
      </c>
      <c r="J14" s="332">
        <f>J13</f>
        <v>15</v>
      </c>
      <c r="K14" s="321" t="s">
        <v>6</v>
      </c>
      <c r="L14" s="333">
        <v>34.61</v>
      </c>
      <c r="M14" s="318" t="s">
        <v>19</v>
      </c>
      <c r="O14" s="586"/>
      <c r="P14" s="600"/>
      <c r="Q14" s="601"/>
      <c r="R14" s="599">
        <v>1</v>
      </c>
      <c r="S14" s="602" t="s">
        <v>314</v>
      </c>
      <c r="T14" s="1397"/>
      <c r="U14" s="1397"/>
      <c r="V14" s="1397"/>
      <c r="W14" s="1397"/>
      <c r="X14" s="1397"/>
      <c r="AL14" s="343"/>
      <c r="AM14" s="343"/>
      <c r="AN14" s="343"/>
      <c r="AO14" s="343"/>
      <c r="AP14" s="343"/>
      <c r="AQ14" s="343"/>
      <c r="AR14" s="343"/>
    </row>
    <row r="15" spans="1:44" ht="17.25" customHeight="1">
      <c r="A15" s="318">
        <v>7</v>
      </c>
      <c r="B15" s="329" t="s">
        <v>318</v>
      </c>
      <c r="D15" s="318">
        <v>15</v>
      </c>
      <c r="E15" s="318" t="s">
        <v>226</v>
      </c>
      <c r="G15" s="335">
        <f>+ราคาวัสดุ!E2</f>
        <v>46.73</v>
      </c>
      <c r="H15" s="331" t="s">
        <v>4</v>
      </c>
      <c r="I15" s="318" t="s">
        <v>7</v>
      </c>
      <c r="J15" s="332">
        <v>5</v>
      </c>
      <c r="K15" s="321" t="s">
        <v>6</v>
      </c>
      <c r="L15" s="333">
        <v>22.17</v>
      </c>
      <c r="M15" s="318" t="s">
        <v>19</v>
      </c>
      <c r="O15" s="586"/>
      <c r="R15" s="599">
        <v>2</v>
      </c>
      <c r="S15" s="602" t="s">
        <v>315</v>
      </c>
      <c r="U15" s="584"/>
      <c r="V15" s="584"/>
      <c r="AL15" s="343"/>
      <c r="AM15" s="343"/>
      <c r="AN15" s="343"/>
      <c r="AO15" s="343"/>
      <c r="AP15" s="343"/>
      <c r="AQ15" s="343"/>
      <c r="AR15" s="343"/>
    </row>
    <row r="16" spans="1:44" ht="17.25" customHeight="1">
      <c r="A16" s="318">
        <v>8</v>
      </c>
      <c r="B16" s="329" t="s">
        <v>318</v>
      </c>
      <c r="D16" s="318">
        <v>16</v>
      </c>
      <c r="E16" s="318" t="s">
        <v>8</v>
      </c>
      <c r="G16" s="335">
        <f>+ราคาวัสดุ!E10</f>
        <v>46.73</v>
      </c>
      <c r="H16" s="331" t="s">
        <v>4</v>
      </c>
      <c r="I16" s="318" t="s">
        <v>7</v>
      </c>
      <c r="J16" s="332">
        <f>+Data!E6</f>
        <v>5</v>
      </c>
      <c r="K16" s="321" t="s">
        <v>6</v>
      </c>
      <c r="L16" s="333">
        <v>22.17</v>
      </c>
      <c r="M16" s="318" t="s">
        <v>19</v>
      </c>
      <c r="O16" s="586"/>
      <c r="P16" s="584" t="s">
        <v>594</v>
      </c>
      <c r="Q16" s="595"/>
      <c r="R16" s="602"/>
      <c r="U16" s="584"/>
      <c r="V16" s="584"/>
      <c r="AL16" s="343"/>
      <c r="AM16" s="343"/>
      <c r="AN16" s="343"/>
      <c r="AO16" s="343"/>
      <c r="AP16" s="343"/>
      <c r="AQ16" s="343"/>
      <c r="AR16" s="343"/>
    </row>
    <row r="17" spans="1:44" ht="17.25" customHeight="1">
      <c r="A17" s="318">
        <v>9</v>
      </c>
      <c r="B17" s="329" t="s">
        <v>318</v>
      </c>
      <c r="D17" s="318">
        <v>17</v>
      </c>
      <c r="E17" s="318" t="s">
        <v>178</v>
      </c>
      <c r="G17" s="336">
        <f>+ราคาวัสดุ!E3</f>
        <v>46.73</v>
      </c>
      <c r="H17" s="331" t="s">
        <v>4</v>
      </c>
      <c r="I17" s="318" t="s">
        <v>7</v>
      </c>
      <c r="J17" s="332">
        <v>15</v>
      </c>
      <c r="K17" s="321" t="s">
        <v>6</v>
      </c>
      <c r="L17" s="333">
        <v>34.61</v>
      </c>
      <c r="M17" s="318" t="s">
        <v>19</v>
      </c>
      <c r="O17" s="586"/>
      <c r="P17" s="584" t="s">
        <v>595</v>
      </c>
      <c r="Q17" s="603"/>
      <c r="R17" s="595"/>
      <c r="U17" s="584"/>
      <c r="V17" s="584"/>
      <c r="AL17" s="343"/>
      <c r="AM17" s="343"/>
      <c r="AN17" s="343"/>
      <c r="AO17" s="343"/>
      <c r="AP17" s="343"/>
      <c r="AQ17" s="343"/>
      <c r="AR17" s="343"/>
    </row>
    <row r="18" spans="1:44" ht="17.25" customHeight="1">
      <c r="A18" s="318">
        <v>10</v>
      </c>
      <c r="B18" s="329" t="s">
        <v>318</v>
      </c>
      <c r="D18" s="318">
        <v>18</v>
      </c>
      <c r="G18" s="1396" t="s">
        <v>879</v>
      </c>
      <c r="H18" s="1396"/>
      <c r="I18" s="318" t="s">
        <v>13</v>
      </c>
      <c r="J18" s="332">
        <v>1</v>
      </c>
      <c r="K18" s="321" t="s">
        <v>6</v>
      </c>
      <c r="L18" s="333">
        <v>8.2100000000000009</v>
      </c>
      <c r="M18" s="318" t="s">
        <v>10</v>
      </c>
      <c r="O18" s="590"/>
      <c r="P18" s="604"/>
      <c r="R18" s="595"/>
      <c r="T18" s="587"/>
      <c r="U18" s="584"/>
      <c r="V18" s="584"/>
      <c r="AL18" s="343"/>
      <c r="AM18" s="343"/>
      <c r="AN18" s="343"/>
      <c r="AO18" s="343"/>
      <c r="AP18" s="343"/>
      <c r="AQ18" s="343"/>
      <c r="AR18" s="343"/>
    </row>
    <row r="19" spans="1:44" ht="17.25" customHeight="1">
      <c r="A19" s="318">
        <v>10</v>
      </c>
      <c r="B19" s="329" t="s">
        <v>318</v>
      </c>
      <c r="D19" s="318">
        <v>19</v>
      </c>
      <c r="G19" s="1396" t="s">
        <v>529</v>
      </c>
      <c r="H19" s="1396"/>
      <c r="I19" s="318" t="s">
        <v>13</v>
      </c>
      <c r="J19" s="332">
        <f>Data!D26</f>
        <v>120</v>
      </c>
      <c r="K19" s="321" t="s">
        <v>6</v>
      </c>
      <c r="L19" s="333">
        <f>IF(Q$4=1,IF(J19&lt;=200,VLOOKUP(J19,'S2'!B$5:'S2'!F$204,2),IF(J19&gt;200,(J19-200)*'S2'!C$205+'S2'!C$204)),IF(Q$4=2,IF(J19&lt;=200,VLOOKUP(J19,'S2'!B$5:'S2'!F$204,4),IF(J19&gt;200,(J19-200)*'S2'!E$205+'S2'!E$204))))</f>
        <v>199.57</v>
      </c>
      <c r="M19" s="318" t="s">
        <v>10</v>
      </c>
      <c r="O19" s="590"/>
      <c r="P19" s="604"/>
      <c r="R19" s="595"/>
      <c r="T19" s="587"/>
      <c r="U19" s="584"/>
      <c r="V19" s="584"/>
      <c r="AL19" s="343"/>
      <c r="AM19" s="343"/>
      <c r="AN19" s="343"/>
      <c r="AO19" s="343"/>
      <c r="AP19" s="343"/>
      <c r="AQ19" s="343"/>
      <c r="AR19" s="343"/>
    </row>
    <row r="20" spans="1:44" ht="17.25" customHeight="1">
      <c r="A20" s="318">
        <v>11</v>
      </c>
      <c r="B20" s="329" t="s">
        <v>318</v>
      </c>
      <c r="D20" s="318">
        <v>20</v>
      </c>
      <c r="E20" s="318" t="s">
        <v>551</v>
      </c>
      <c r="G20" s="336">
        <f>ราคาวัสดุ!E15</f>
        <v>2903.43</v>
      </c>
      <c r="H20" s="331" t="s">
        <v>9</v>
      </c>
      <c r="I20" s="318" t="s">
        <v>12</v>
      </c>
      <c r="J20" s="332">
        <f>Data!E7</f>
        <v>15</v>
      </c>
      <c r="K20" s="321" t="s">
        <v>6</v>
      </c>
      <c r="L20" s="333">
        <v>39.76</v>
      </c>
      <c r="M20" s="318" t="s">
        <v>10</v>
      </c>
      <c r="O20" s="605"/>
      <c r="P20" s="604"/>
      <c r="R20" s="606"/>
      <c r="S20" s="590"/>
      <c r="AL20" s="343"/>
      <c r="AM20" s="343"/>
      <c r="AN20" s="343"/>
      <c r="AO20" s="343"/>
      <c r="AP20" s="343"/>
      <c r="AQ20" s="343"/>
      <c r="AR20" s="343"/>
    </row>
    <row r="21" spans="1:44" ht="17.25" customHeight="1">
      <c r="A21" s="318">
        <v>12</v>
      </c>
      <c r="B21" s="329" t="s">
        <v>318</v>
      </c>
      <c r="D21" s="318">
        <v>21</v>
      </c>
      <c r="E21" s="318" t="s">
        <v>146</v>
      </c>
      <c r="G21" s="336">
        <f>+ราคาวัสดุ!E11</f>
        <v>25000</v>
      </c>
      <c r="H21" s="331" t="s">
        <v>9</v>
      </c>
      <c r="I21" s="318" t="s">
        <v>11</v>
      </c>
      <c r="J21" s="332">
        <f>J18</f>
        <v>1</v>
      </c>
      <c r="K21" s="321" t="s">
        <v>6</v>
      </c>
      <c r="L21" s="333">
        <v>4.55</v>
      </c>
      <c r="M21" s="318" t="s">
        <v>10</v>
      </c>
      <c r="O21" s="605"/>
      <c r="R21" s="606"/>
      <c r="W21" s="589"/>
      <c r="Y21" s="590"/>
      <c r="AL21" s="343"/>
      <c r="AM21" s="343"/>
      <c r="AN21" s="343"/>
      <c r="AO21" s="343"/>
      <c r="AP21" s="343"/>
      <c r="AQ21" s="343"/>
      <c r="AR21" s="343"/>
    </row>
    <row r="22" spans="1:44" ht="17.25" customHeight="1">
      <c r="A22" s="318">
        <v>13</v>
      </c>
      <c r="B22" s="329" t="s">
        <v>318</v>
      </c>
      <c r="D22" s="318">
        <v>22</v>
      </c>
      <c r="E22" s="318" t="s">
        <v>147</v>
      </c>
      <c r="G22" s="336">
        <f>+ราคาวัสดุ!E14</f>
        <v>25900</v>
      </c>
      <c r="H22" s="331" t="s">
        <v>9</v>
      </c>
      <c r="I22" s="318" t="s">
        <v>13</v>
      </c>
      <c r="J22" s="332">
        <f>J18</f>
        <v>1</v>
      </c>
      <c r="K22" s="321" t="s">
        <v>6</v>
      </c>
      <c r="L22" s="333">
        <v>4.55</v>
      </c>
      <c r="M22" s="318" t="s">
        <v>10</v>
      </c>
      <c r="O22" s="605"/>
      <c r="Q22" s="607"/>
      <c r="R22" s="596"/>
      <c r="W22" s="591"/>
      <c r="Y22" s="590"/>
      <c r="AL22" s="343"/>
      <c r="AM22" s="343"/>
      <c r="AN22" s="343"/>
      <c r="AO22" s="343"/>
      <c r="AP22" s="343"/>
      <c r="AQ22" s="343"/>
      <c r="AR22" s="343"/>
    </row>
    <row r="23" spans="1:44" ht="17.25" customHeight="1">
      <c r="B23" s="329"/>
      <c r="D23" s="318">
        <v>23</v>
      </c>
      <c r="E23" s="318" t="s">
        <v>885</v>
      </c>
      <c r="G23" s="336"/>
      <c r="H23" s="331"/>
      <c r="I23" s="318" t="s">
        <v>13</v>
      </c>
      <c r="J23" s="332">
        <f>Data!E7</f>
        <v>15</v>
      </c>
      <c r="K23" s="321" t="s">
        <v>6</v>
      </c>
      <c r="L23" s="333">
        <f>L20</f>
        <v>39.76</v>
      </c>
      <c r="M23" s="318" t="s">
        <v>10</v>
      </c>
      <c r="O23" s="605"/>
      <c r="Q23" s="607"/>
      <c r="R23" s="596"/>
      <c r="W23" s="591"/>
      <c r="Y23" s="590"/>
      <c r="AL23" s="343"/>
      <c r="AM23" s="343"/>
      <c r="AN23" s="343"/>
      <c r="AO23" s="343"/>
      <c r="AP23" s="343"/>
      <c r="AQ23" s="343"/>
      <c r="AR23" s="343"/>
    </row>
    <row r="24" spans="1:44" ht="17.25" customHeight="1">
      <c r="G24" s="328" t="s">
        <v>14</v>
      </c>
      <c r="H24" s="327"/>
      <c r="O24" s="604"/>
      <c r="Q24" s="607"/>
      <c r="R24" s="596"/>
      <c r="S24" s="590"/>
      <c r="W24" s="591"/>
      <c r="Y24" s="590"/>
      <c r="AL24" s="343"/>
      <c r="AM24" s="343"/>
      <c r="AN24" s="343"/>
      <c r="AO24" s="343"/>
      <c r="AP24" s="343"/>
      <c r="AQ24" s="343"/>
      <c r="AR24" s="343"/>
    </row>
    <row r="25" spans="1:44" ht="17.25" customHeight="1">
      <c r="B25" s="337" t="s">
        <v>227</v>
      </c>
      <c r="C25" s="338"/>
      <c r="Q25" s="607"/>
      <c r="R25" s="596"/>
      <c r="W25" s="591"/>
      <c r="AL25" s="343"/>
      <c r="AM25" s="343"/>
      <c r="AN25" s="343"/>
      <c r="AO25" s="343"/>
      <c r="AP25" s="343"/>
      <c r="AQ25" s="343"/>
      <c r="AR25" s="343"/>
    </row>
    <row r="26" spans="1:44" ht="17.25" customHeight="1">
      <c r="B26" s="339" t="s">
        <v>131</v>
      </c>
      <c r="C26" s="339"/>
      <c r="K26" s="321" t="s">
        <v>15</v>
      </c>
      <c r="L26" s="333">
        <f>+ราคาวัสดุ!E2</f>
        <v>46.73</v>
      </c>
      <c r="M26" s="318" t="s">
        <v>63</v>
      </c>
      <c r="Q26" s="616"/>
      <c r="R26" s="596"/>
      <c r="W26" s="592"/>
      <c r="AL26" s="343"/>
      <c r="AM26" s="343"/>
      <c r="AN26" s="343"/>
      <c r="AO26" s="343"/>
      <c r="AP26" s="343"/>
      <c r="AQ26" s="343"/>
      <c r="AR26" s="343"/>
    </row>
    <row r="27" spans="1:44" ht="17.25" customHeight="1">
      <c r="B27" s="339" t="s">
        <v>132</v>
      </c>
      <c r="C27" s="339"/>
      <c r="F27" s="327"/>
      <c r="K27" s="321" t="s">
        <v>15</v>
      </c>
      <c r="L27" s="333">
        <v>0</v>
      </c>
      <c r="M27" s="318" t="s">
        <v>63</v>
      </c>
      <c r="Q27" s="590"/>
      <c r="W27" s="589"/>
      <c r="AL27" s="343"/>
      <c r="AM27" s="343"/>
      <c r="AN27" s="343"/>
      <c r="AO27" s="343"/>
      <c r="AP27" s="343"/>
      <c r="AQ27" s="343"/>
      <c r="AR27" s="343"/>
    </row>
    <row r="28" spans="1:44" ht="17.25" customHeight="1">
      <c r="B28" s="339" t="s">
        <v>133</v>
      </c>
      <c r="C28" s="339"/>
      <c r="K28" s="321" t="s">
        <v>15</v>
      </c>
      <c r="L28" s="333">
        <f>+L15</f>
        <v>22.17</v>
      </c>
      <c r="M28" s="318" t="s">
        <v>63</v>
      </c>
      <c r="Q28" s="607"/>
      <c r="R28" s="596"/>
      <c r="W28" s="591"/>
    </row>
    <row r="29" spans="1:44" ht="17.25" customHeight="1">
      <c r="B29" s="339" t="s">
        <v>249</v>
      </c>
      <c r="C29" s="326"/>
      <c r="K29" s="321" t="s">
        <v>15</v>
      </c>
      <c r="L29" s="340">
        <f>ROUND(SUM(L25:L28),2)</f>
        <v>68.900000000000006</v>
      </c>
      <c r="M29" s="318" t="s">
        <v>63</v>
      </c>
      <c r="Q29" s="607"/>
      <c r="R29" s="596"/>
      <c r="W29" s="591"/>
    </row>
    <row r="30" spans="1:44" ht="17.25" customHeight="1">
      <c r="B30" s="339"/>
      <c r="C30" s="326"/>
      <c r="G30" s="339" t="s">
        <v>244</v>
      </c>
      <c r="H30" s="341">
        <v>1.6</v>
      </c>
      <c r="K30" s="321" t="s">
        <v>15</v>
      </c>
      <c r="L30" s="342">
        <f>ROUND(H30*L29,2)</f>
        <v>110.24</v>
      </c>
      <c r="M30" s="318" t="s">
        <v>68</v>
      </c>
      <c r="Q30" s="607"/>
      <c r="R30" s="596"/>
      <c r="W30" s="591"/>
    </row>
    <row r="31" spans="1:44" ht="17.25" customHeight="1">
      <c r="B31" s="339" t="s">
        <v>134</v>
      </c>
      <c r="C31" s="339"/>
      <c r="K31" s="321" t="s">
        <v>15</v>
      </c>
      <c r="L31" s="333">
        <f>+'S2'!$BJ$35</f>
        <v>46.84</v>
      </c>
      <c r="M31" s="318" t="s">
        <v>68</v>
      </c>
      <c r="Q31" s="616"/>
      <c r="R31" s="596"/>
      <c r="W31" s="592"/>
    </row>
    <row r="32" spans="1:44" ht="17.25" customHeight="1">
      <c r="B32" s="339" t="s">
        <v>250</v>
      </c>
      <c r="C32" s="326"/>
      <c r="K32" s="321" t="s">
        <v>15</v>
      </c>
      <c r="L32" s="340">
        <f>ROUND(SUM(L30:L31),2)</f>
        <v>157.08000000000001</v>
      </c>
      <c r="M32" s="318" t="s">
        <v>68</v>
      </c>
      <c r="Q32" s="590"/>
      <c r="W32" s="589"/>
    </row>
    <row r="33" spans="2:24" ht="17.25" customHeight="1">
      <c r="B33" s="337" t="s">
        <v>228</v>
      </c>
      <c r="C33" s="338"/>
      <c r="Q33" s="607"/>
      <c r="R33" s="596"/>
      <c r="W33" s="591"/>
    </row>
    <row r="34" spans="2:24" ht="17.25" customHeight="1">
      <c r="B34" s="339" t="s">
        <v>530</v>
      </c>
      <c r="C34" s="339"/>
      <c r="K34" s="321" t="s">
        <v>15</v>
      </c>
      <c r="L34" s="333">
        <f>+ราคาวัสดุ!E3</f>
        <v>46.73</v>
      </c>
      <c r="M34" s="318" t="s">
        <v>63</v>
      </c>
      <c r="Q34" s="607"/>
      <c r="R34" s="596"/>
      <c r="W34" s="591"/>
    </row>
    <row r="35" spans="2:24" ht="17.25" customHeight="1">
      <c r="B35" s="339" t="s">
        <v>132</v>
      </c>
      <c r="C35" s="339"/>
      <c r="F35" s="327"/>
      <c r="K35" s="321" t="s">
        <v>15</v>
      </c>
      <c r="L35" s="333">
        <v>0</v>
      </c>
      <c r="M35" s="318" t="s">
        <v>63</v>
      </c>
      <c r="Q35" s="607"/>
      <c r="R35" s="596"/>
      <c r="W35" s="591"/>
    </row>
    <row r="36" spans="2:24" ht="17.25" customHeight="1">
      <c r="B36" s="339" t="s">
        <v>133</v>
      </c>
      <c r="C36" s="339"/>
      <c r="K36" s="321" t="s">
        <v>15</v>
      </c>
      <c r="L36" s="333">
        <f>+L17</f>
        <v>34.61</v>
      </c>
      <c r="M36" s="318" t="s">
        <v>63</v>
      </c>
      <c r="Q36" s="616"/>
      <c r="R36" s="596"/>
      <c r="W36" s="592"/>
    </row>
    <row r="37" spans="2:24" ht="17.25" customHeight="1">
      <c r="B37" s="339" t="s">
        <v>249</v>
      </c>
      <c r="C37" s="326"/>
      <c r="K37" s="321" t="s">
        <v>15</v>
      </c>
      <c r="L37" s="340">
        <f>ROUND(SUM(L34:L36),2)</f>
        <v>81.34</v>
      </c>
      <c r="M37" s="318" t="s">
        <v>63</v>
      </c>
      <c r="P37" s="604"/>
    </row>
    <row r="38" spans="2:24" ht="17.25" customHeight="1">
      <c r="B38" s="339"/>
      <c r="C38" s="326"/>
      <c r="G38" s="339" t="s">
        <v>244</v>
      </c>
      <c r="H38" s="341">
        <v>1.6</v>
      </c>
      <c r="K38" s="321" t="s">
        <v>15</v>
      </c>
      <c r="L38" s="342">
        <f>ROUND(H38*L37,2)</f>
        <v>130.13999999999999</v>
      </c>
      <c r="M38" s="318" t="s">
        <v>68</v>
      </c>
      <c r="S38" s="617"/>
      <c r="T38" s="618"/>
      <c r="U38" s="619"/>
      <c r="V38" s="596"/>
      <c r="W38" s="617"/>
      <c r="X38" s="590"/>
    </row>
    <row r="39" spans="2:24" ht="17.25" customHeight="1">
      <c r="B39" s="339" t="s">
        <v>134</v>
      </c>
      <c r="C39" s="339"/>
      <c r="K39" s="321" t="s">
        <v>15</v>
      </c>
      <c r="L39" s="333">
        <f>+'S2'!$BJ$7</f>
        <v>56.21</v>
      </c>
      <c r="M39" s="318" t="s">
        <v>68</v>
      </c>
      <c r="S39" s="617"/>
      <c r="T39" s="618"/>
      <c r="U39" s="619"/>
      <c r="V39" s="596"/>
      <c r="W39" s="617"/>
      <c r="X39" s="590"/>
    </row>
    <row r="40" spans="2:24" ht="17.25" customHeight="1">
      <c r="B40" s="339" t="s">
        <v>250</v>
      </c>
      <c r="C40" s="326"/>
      <c r="K40" s="321" t="s">
        <v>15</v>
      </c>
      <c r="L40" s="340">
        <f>ROUND(SUM(L38:L39),2)</f>
        <v>186.35</v>
      </c>
      <c r="M40" s="318" t="s">
        <v>68</v>
      </c>
      <c r="S40" s="617"/>
      <c r="T40" s="618"/>
      <c r="U40" s="619"/>
      <c r="V40" s="596"/>
      <c r="W40" s="617"/>
      <c r="X40" s="590"/>
    </row>
    <row r="41" spans="2:24" ht="17.25" customHeight="1">
      <c r="B41" s="337" t="s">
        <v>229</v>
      </c>
      <c r="C41" s="338"/>
      <c r="G41" s="318" t="s">
        <v>552</v>
      </c>
    </row>
    <row r="42" spans="2:24" ht="17.25" customHeight="1">
      <c r="B42" s="339" t="s">
        <v>530</v>
      </c>
      <c r="C42" s="339"/>
      <c r="K42" s="321" t="s">
        <v>15</v>
      </c>
      <c r="L42" s="333">
        <f>+ราคาวัสดุ!E10</f>
        <v>46.73</v>
      </c>
      <c r="M42" s="318" t="s">
        <v>63</v>
      </c>
    </row>
    <row r="43" spans="2:24" ht="17.25" customHeight="1">
      <c r="B43" s="339" t="s">
        <v>132</v>
      </c>
      <c r="C43" s="339"/>
      <c r="F43" s="327"/>
      <c r="K43" s="321" t="s">
        <v>15</v>
      </c>
      <c r="L43" s="333">
        <v>0</v>
      </c>
      <c r="M43" s="318" t="s">
        <v>63</v>
      </c>
    </row>
    <row r="44" spans="2:24" ht="17.25" customHeight="1">
      <c r="B44" s="339" t="s">
        <v>133</v>
      </c>
      <c r="C44" s="339"/>
      <c r="K44" s="321" t="s">
        <v>15</v>
      </c>
      <c r="L44" s="333">
        <f>L16</f>
        <v>22.17</v>
      </c>
      <c r="M44" s="318" t="s">
        <v>63</v>
      </c>
    </row>
    <row r="45" spans="2:24" ht="17.25" customHeight="1">
      <c r="B45" s="339" t="s">
        <v>251</v>
      </c>
      <c r="C45" s="326"/>
      <c r="K45" s="321" t="s">
        <v>15</v>
      </c>
      <c r="L45" s="340">
        <f>ROUND(SUM(L42:L44),2)</f>
        <v>68.900000000000006</v>
      </c>
      <c r="M45" s="318" t="s">
        <v>63</v>
      </c>
    </row>
    <row r="46" spans="2:24" ht="17.25" customHeight="1">
      <c r="B46" s="339"/>
      <c r="C46" s="326"/>
      <c r="G46" s="339" t="s">
        <v>244</v>
      </c>
      <c r="H46" s="341">
        <v>1.6</v>
      </c>
      <c r="K46" s="321" t="s">
        <v>15</v>
      </c>
      <c r="L46" s="342">
        <f>ROUND(H46*L45,2)</f>
        <v>110.24</v>
      </c>
      <c r="M46" s="318" t="s">
        <v>68</v>
      </c>
    </row>
    <row r="47" spans="2:24" ht="17.25" customHeight="1">
      <c r="B47" s="339" t="s">
        <v>134</v>
      </c>
      <c r="C47" s="339"/>
      <c r="K47" s="321" t="s">
        <v>15</v>
      </c>
      <c r="L47" s="333">
        <f>'S2'!$BJ$7</f>
        <v>56.21</v>
      </c>
      <c r="M47" s="318" t="s">
        <v>68</v>
      </c>
    </row>
    <row r="48" spans="2:24" ht="17.25" customHeight="1">
      <c r="B48" s="339" t="s">
        <v>250</v>
      </c>
      <c r="C48" s="326"/>
      <c r="K48" s="321" t="s">
        <v>15</v>
      </c>
      <c r="L48" s="340">
        <f>ROUND(SUM(L46:L47),2)</f>
        <v>166.45</v>
      </c>
      <c r="M48" s="318" t="s">
        <v>68</v>
      </c>
      <c r="P48" s="604"/>
      <c r="T48" s="604"/>
    </row>
    <row r="49" spans="2:20" ht="16.5" customHeight="1">
      <c r="B49" s="344" t="s">
        <v>230</v>
      </c>
      <c r="C49" s="322" t="s">
        <v>532</v>
      </c>
      <c r="K49" s="321"/>
      <c r="L49" s="345"/>
      <c r="O49" s="584"/>
      <c r="P49" s="604"/>
      <c r="T49" s="604"/>
    </row>
    <row r="50" spans="2:20" ht="16.5" customHeight="1">
      <c r="B50" s="318" t="s">
        <v>246</v>
      </c>
      <c r="K50" s="321" t="s">
        <v>15</v>
      </c>
      <c r="L50" s="342">
        <f>+ราคาวัสดุ!E8</f>
        <v>90.75</v>
      </c>
      <c r="M50" s="318" t="s">
        <v>63</v>
      </c>
      <c r="O50" s="604"/>
      <c r="P50" s="604"/>
      <c r="T50" s="604"/>
    </row>
    <row r="51" spans="2:20" ht="16.5" customHeight="1">
      <c r="B51" s="318" t="s">
        <v>133</v>
      </c>
      <c r="K51" s="321" t="s">
        <v>15</v>
      </c>
      <c r="L51" s="342">
        <f>L9</f>
        <v>14.42</v>
      </c>
      <c r="M51" s="318" t="s">
        <v>63</v>
      </c>
      <c r="P51" s="776">
        <f>SUM(L50+L51)</f>
        <v>105.17</v>
      </c>
    </row>
    <row r="52" spans="2:20" ht="16.5" customHeight="1">
      <c r="B52" s="318" t="s">
        <v>247</v>
      </c>
      <c r="K52" s="321" t="s">
        <v>15</v>
      </c>
      <c r="L52" s="340">
        <f>MIN(P51:P52)</f>
        <v>105.17</v>
      </c>
      <c r="M52" s="318" t="s">
        <v>63</v>
      </c>
      <c r="P52" s="777"/>
    </row>
    <row r="53" spans="2:20" ht="16.5" customHeight="1">
      <c r="G53" s="339" t="s">
        <v>244</v>
      </c>
      <c r="H53" s="341">
        <v>1.5</v>
      </c>
      <c r="K53" s="321" t="s">
        <v>15</v>
      </c>
      <c r="L53" s="342">
        <f>ROUND(H53*L52,2)</f>
        <v>157.76</v>
      </c>
      <c r="M53" s="318" t="s">
        <v>68</v>
      </c>
    </row>
    <row r="54" spans="2:20" ht="16.5" customHeight="1">
      <c r="B54" s="339" t="s">
        <v>181</v>
      </c>
      <c r="C54" s="339"/>
      <c r="K54" s="321" t="s">
        <v>15</v>
      </c>
      <c r="L54" s="333">
        <v>0</v>
      </c>
      <c r="M54" s="318" t="s">
        <v>68</v>
      </c>
    </row>
    <row r="55" spans="2:20" ht="16.5" customHeight="1">
      <c r="B55" s="339" t="s">
        <v>134</v>
      </c>
      <c r="C55" s="339"/>
      <c r="K55" s="321" t="s">
        <v>15</v>
      </c>
      <c r="L55" s="333">
        <f>+'S2'!$BJ$10</f>
        <v>88.88</v>
      </c>
      <c r="M55" s="318" t="s">
        <v>68</v>
      </c>
    </row>
    <row r="56" spans="2:20" ht="16.5" customHeight="1">
      <c r="B56" s="339" t="s">
        <v>252</v>
      </c>
      <c r="C56" s="326"/>
      <c r="K56" s="321" t="s">
        <v>15</v>
      </c>
      <c r="L56" s="340">
        <f>ROUND(SUM(L53:L55),2)</f>
        <v>246.64</v>
      </c>
      <c r="M56" s="318" t="s">
        <v>68</v>
      </c>
    </row>
    <row r="57" spans="2:20" ht="16.5" customHeight="1">
      <c r="B57" s="344" t="s">
        <v>245</v>
      </c>
      <c r="D57" s="346"/>
      <c r="F57" s="347"/>
    </row>
    <row r="58" spans="2:20" ht="16.5" customHeight="1">
      <c r="B58" s="318" t="s">
        <v>248</v>
      </c>
    </row>
    <row r="59" spans="2:20" ht="16.5" customHeight="1">
      <c r="B59" s="318" t="s">
        <v>17</v>
      </c>
      <c r="K59" s="321" t="s">
        <v>15</v>
      </c>
      <c r="L59" s="333">
        <f>'S2'!BJ14</f>
        <v>11.56</v>
      </c>
      <c r="M59" s="318" t="s">
        <v>16</v>
      </c>
    </row>
    <row r="60" spans="2:20" ht="16.5" customHeight="1">
      <c r="B60" s="318" t="s">
        <v>231</v>
      </c>
      <c r="G60" s="348"/>
      <c r="H60" s="349">
        <v>0.2</v>
      </c>
      <c r="I60" s="318" t="s">
        <v>53</v>
      </c>
      <c r="K60" s="321" t="s">
        <v>15</v>
      </c>
      <c r="L60" s="333">
        <f>'S2'!$BJ$13*2</f>
        <v>28.8</v>
      </c>
      <c r="M60" s="318" t="s">
        <v>16</v>
      </c>
    </row>
    <row r="61" spans="2:20" ht="16.5" customHeight="1">
      <c r="B61" s="318" t="s">
        <v>297</v>
      </c>
      <c r="G61" s="348"/>
      <c r="H61" s="349">
        <v>0.2</v>
      </c>
      <c r="I61" s="318" t="s">
        <v>53</v>
      </c>
      <c r="K61" s="321" t="s">
        <v>15</v>
      </c>
      <c r="L61" s="333">
        <f>'S2'!$BJ$12*2</f>
        <v>22.28</v>
      </c>
      <c r="M61" s="318" t="s">
        <v>16</v>
      </c>
    </row>
    <row r="62" spans="2:20" ht="16.5" customHeight="1">
      <c r="B62" s="318" t="s">
        <v>253</v>
      </c>
      <c r="G62" s="348"/>
      <c r="H62" s="349">
        <v>0.25</v>
      </c>
      <c r="I62" s="318" t="s">
        <v>53</v>
      </c>
      <c r="K62" s="321" t="s">
        <v>15</v>
      </c>
      <c r="L62" s="350">
        <f>L53*H62</f>
        <v>39.44</v>
      </c>
      <c r="M62" s="318" t="s">
        <v>16</v>
      </c>
      <c r="S62" s="601"/>
      <c r="T62" s="584"/>
    </row>
    <row r="63" spans="2:20" ht="16.5" customHeight="1">
      <c r="B63" s="318" t="s">
        <v>298</v>
      </c>
      <c r="H63" s="351">
        <f>H60</f>
        <v>0.2</v>
      </c>
      <c r="I63" s="318" t="str">
        <f>I60</f>
        <v>ม. )</v>
      </c>
      <c r="K63" s="321" t="s">
        <v>15</v>
      </c>
      <c r="L63" s="333">
        <f>('S2'!$BJ$10+'S2'!$BJ$9)*H62</f>
        <v>28.47</v>
      </c>
      <c r="M63" s="318" t="s">
        <v>16</v>
      </c>
      <c r="S63" s="601"/>
      <c r="T63" s="584"/>
    </row>
    <row r="64" spans="2:20" ht="16.5" customHeight="1">
      <c r="B64" s="318" t="s">
        <v>299</v>
      </c>
      <c r="H64" s="352">
        <f>H61</f>
        <v>0.2</v>
      </c>
      <c r="I64" s="318" t="str">
        <f>I61</f>
        <v>ม. )</v>
      </c>
      <c r="K64" s="321" t="s">
        <v>15</v>
      </c>
      <c r="L64" s="333">
        <f>('S2'!$BJ$10+'S2'!$BJ$9)*H63</f>
        <v>22.776</v>
      </c>
      <c r="M64" s="318" t="s">
        <v>16</v>
      </c>
      <c r="P64" s="601"/>
      <c r="Q64" s="601"/>
      <c r="R64" s="601"/>
    </row>
    <row r="65" spans="2:18" ht="16.5" customHeight="1">
      <c r="B65" s="318" t="s">
        <v>250</v>
      </c>
      <c r="K65" s="321" t="s">
        <v>15</v>
      </c>
      <c r="L65" s="340">
        <f>ROUND(SUM(L59:L64),2)</f>
        <v>153.33000000000001</v>
      </c>
      <c r="M65" s="318" t="s">
        <v>16</v>
      </c>
      <c r="P65" s="584"/>
      <c r="Q65" s="601"/>
      <c r="R65" s="601"/>
    </row>
    <row r="66" spans="2:18" ht="18" customHeight="1">
      <c r="B66" s="344" t="s">
        <v>549</v>
      </c>
      <c r="C66" s="353"/>
      <c r="D66" s="353"/>
      <c r="K66" s="321"/>
      <c r="L66" s="345"/>
      <c r="O66" s="584"/>
    </row>
    <row r="67" spans="2:18" ht="16.5" customHeight="1">
      <c r="B67" s="318" t="s">
        <v>246</v>
      </c>
      <c r="K67" s="321" t="s">
        <v>15</v>
      </c>
      <c r="L67" s="342">
        <f>+L50</f>
        <v>90.75</v>
      </c>
      <c r="M67" s="318" t="s">
        <v>63</v>
      </c>
      <c r="O67" s="604"/>
    </row>
    <row r="68" spans="2:18" ht="16.5" customHeight="1">
      <c r="B68" s="318" t="s">
        <v>133</v>
      </c>
      <c r="K68" s="321" t="s">
        <v>15</v>
      </c>
      <c r="L68" s="342">
        <f>L9</f>
        <v>14.42</v>
      </c>
      <c r="M68" s="318" t="s">
        <v>63</v>
      </c>
    </row>
    <row r="69" spans="2:18" ht="16.5" customHeight="1">
      <c r="B69" s="318" t="s">
        <v>254</v>
      </c>
      <c r="K69" s="321" t="s">
        <v>15</v>
      </c>
      <c r="L69" s="340">
        <f>ROUND(SUM(L67:L68),2)</f>
        <v>105.17</v>
      </c>
      <c r="M69" s="318" t="s">
        <v>63</v>
      </c>
    </row>
    <row r="70" spans="2:18" ht="16.5" customHeight="1">
      <c r="B70" s="344" t="s">
        <v>274</v>
      </c>
    </row>
    <row r="71" spans="2:18" ht="13.5" customHeight="1">
      <c r="B71" s="318" t="s">
        <v>255</v>
      </c>
      <c r="K71" s="321" t="s">
        <v>15</v>
      </c>
      <c r="L71" s="350">
        <f>+H134</f>
        <v>15.12</v>
      </c>
      <c r="M71" s="318" t="s">
        <v>16</v>
      </c>
    </row>
    <row r="72" spans="2:18" ht="16.5" customHeight="1">
      <c r="B72" s="318" t="s">
        <v>256</v>
      </c>
      <c r="E72" s="318" t="s">
        <v>64</v>
      </c>
      <c r="F72" s="390">
        <v>3</v>
      </c>
      <c r="G72" s="318" t="s">
        <v>48</v>
      </c>
      <c r="H72" s="354">
        <f>41.667/F72</f>
        <v>13.889000000000001</v>
      </c>
      <c r="I72" s="318" t="s">
        <v>65</v>
      </c>
      <c r="K72" s="321" t="s">
        <v>15</v>
      </c>
      <c r="L72" s="350">
        <f>+H111/H72</f>
        <v>149.89439434084525</v>
      </c>
      <c r="M72" s="318" t="s">
        <v>16</v>
      </c>
    </row>
    <row r="73" spans="2:18" ht="16.5" customHeight="1">
      <c r="B73" s="318" t="s">
        <v>254</v>
      </c>
      <c r="K73" s="321" t="s">
        <v>15</v>
      </c>
      <c r="L73" s="350">
        <f>SUM(L71:L72)</f>
        <v>165.01439434084526</v>
      </c>
      <c r="M73" s="318" t="s">
        <v>16</v>
      </c>
    </row>
    <row r="74" spans="2:18" ht="16.5" customHeight="1">
      <c r="B74" s="318" t="s">
        <v>257</v>
      </c>
      <c r="K74" s="321" t="s">
        <v>15</v>
      </c>
      <c r="L74" s="333">
        <f>'S2'!$BJ$16+'S2'!$BJ$20*0.8</f>
        <v>16.858000000000001</v>
      </c>
      <c r="M74" s="318" t="s">
        <v>16</v>
      </c>
    </row>
    <row r="75" spans="2:18" ht="16.5" customHeight="1">
      <c r="B75" s="318" t="s">
        <v>250</v>
      </c>
      <c r="K75" s="321" t="s">
        <v>15</v>
      </c>
      <c r="L75" s="340">
        <f>ROUND(SUM(L73:L74),2)</f>
        <v>181.87</v>
      </c>
      <c r="M75" s="318" t="s">
        <v>16</v>
      </c>
    </row>
    <row r="76" spans="2:18" ht="16.5" customHeight="1">
      <c r="B76" s="337" t="s">
        <v>275</v>
      </c>
      <c r="C76" s="338"/>
    </row>
    <row r="77" spans="2:18" ht="16.5" customHeight="1">
      <c r="B77" s="355" t="s">
        <v>276</v>
      </c>
      <c r="C77" s="338"/>
    </row>
    <row r="78" spans="2:18" ht="16.5" customHeight="1">
      <c r="D78" s="339" t="s">
        <v>243</v>
      </c>
      <c r="J78" s="321"/>
      <c r="K78" s="333"/>
    </row>
    <row r="79" spans="2:18" ht="16.5" customHeight="1">
      <c r="D79" s="339" t="s">
        <v>232</v>
      </c>
      <c r="H79" s="318" t="s">
        <v>130</v>
      </c>
      <c r="J79" s="321"/>
      <c r="K79" s="333"/>
    </row>
    <row r="80" spans="2:18" ht="16.5" customHeight="1">
      <c r="D80" s="339" t="s">
        <v>233</v>
      </c>
      <c r="H80" s="318" t="s">
        <v>234</v>
      </c>
      <c r="J80" s="321"/>
      <c r="K80" s="333"/>
    </row>
    <row r="81" spans="1:16" ht="16.5" customHeight="1">
      <c r="D81" s="339" t="s">
        <v>235</v>
      </c>
      <c r="G81" s="339"/>
      <c r="H81" s="318" t="s">
        <v>10</v>
      </c>
      <c r="J81" s="321"/>
      <c r="K81" s="333"/>
    </row>
    <row r="82" spans="1:16" ht="16.5" customHeight="1">
      <c r="D82" s="339" t="s">
        <v>236</v>
      </c>
      <c r="H82" s="318" t="s">
        <v>234</v>
      </c>
      <c r="J82" s="321"/>
      <c r="K82" s="333"/>
    </row>
    <row r="83" spans="1:16" ht="16.5" customHeight="1">
      <c r="D83" s="339" t="s">
        <v>237</v>
      </c>
      <c r="G83" s="339"/>
      <c r="H83" s="318" t="s">
        <v>10</v>
      </c>
      <c r="J83" s="321"/>
      <c r="K83" s="333"/>
      <c r="N83" s="620"/>
      <c r="O83" s="621"/>
    </row>
    <row r="84" spans="1:16" ht="16.5" customHeight="1">
      <c r="B84" s="355" t="s">
        <v>277</v>
      </c>
      <c r="C84" s="338"/>
      <c r="N84" s="620"/>
      <c r="O84" s="621"/>
    </row>
    <row r="85" spans="1:16" ht="16.5" customHeight="1">
      <c r="B85" s="355"/>
      <c r="C85" s="338"/>
      <c r="D85" s="339" t="s">
        <v>259</v>
      </c>
      <c r="H85" s="356">
        <f>+'S2'!$BJ$27</f>
        <v>36.35</v>
      </c>
      <c r="I85" s="318" t="s">
        <v>130</v>
      </c>
      <c r="N85" s="620"/>
      <c r="O85" s="621"/>
    </row>
    <row r="86" spans="1:16" ht="16.5" customHeight="1">
      <c r="B86" s="355"/>
      <c r="C86" s="338"/>
      <c r="D86" s="339" t="s">
        <v>258</v>
      </c>
      <c r="H86" s="356">
        <v>0.2</v>
      </c>
      <c r="I86" s="318" t="s">
        <v>238</v>
      </c>
      <c r="N86" s="620"/>
      <c r="O86" s="621"/>
    </row>
    <row r="87" spans="1:16" ht="18.75" customHeight="1">
      <c r="B87" s="355"/>
      <c r="C87" s="338"/>
      <c r="D87" s="339" t="s">
        <v>260</v>
      </c>
      <c r="H87" s="356">
        <v>3.5</v>
      </c>
      <c r="I87" s="318" t="s">
        <v>74</v>
      </c>
      <c r="N87" s="620"/>
      <c r="O87" s="621"/>
    </row>
    <row r="88" spans="1:16" ht="20.25" customHeight="1">
      <c r="B88" s="355"/>
      <c r="C88" s="338"/>
      <c r="D88" s="339" t="s">
        <v>261</v>
      </c>
      <c r="G88" s="339"/>
      <c r="H88" s="357">
        <v>2200</v>
      </c>
      <c r="I88" s="318" t="s">
        <v>239</v>
      </c>
      <c r="N88" s="620"/>
      <c r="O88" s="621"/>
    </row>
    <row r="89" spans="1:16">
      <c r="B89" s="339" t="s">
        <v>1071</v>
      </c>
      <c r="C89" s="326"/>
      <c r="G89" s="339"/>
      <c r="J89" s="321"/>
      <c r="K89" s="321" t="s">
        <v>15</v>
      </c>
      <c r="L89" s="333">
        <f>+G20</f>
        <v>2903.43</v>
      </c>
      <c r="M89" s="318" t="s">
        <v>10</v>
      </c>
    </row>
    <row r="90" spans="1:16">
      <c r="B90" s="339" t="s">
        <v>886</v>
      </c>
      <c r="C90" s="326"/>
      <c r="G90" s="339"/>
      <c r="J90" s="321"/>
      <c r="K90" s="321" t="s">
        <v>15</v>
      </c>
      <c r="L90" s="333">
        <f>L20</f>
        <v>39.76</v>
      </c>
      <c r="M90" s="318" t="s">
        <v>10</v>
      </c>
    </row>
    <row r="91" spans="1:16">
      <c r="B91" s="339" t="s">
        <v>241</v>
      </c>
      <c r="C91" s="326"/>
      <c r="J91" s="321"/>
      <c r="K91" s="321" t="s">
        <v>15</v>
      </c>
      <c r="L91" s="358">
        <f>(H88*H86*(H87/100))/1000</f>
        <v>1.5400000000000002E-2</v>
      </c>
      <c r="M91" s="318" t="s">
        <v>234</v>
      </c>
    </row>
    <row r="92" spans="1:16">
      <c r="B92" s="359" t="s">
        <v>292</v>
      </c>
      <c r="C92" s="326"/>
      <c r="J92" s="321"/>
      <c r="K92" s="321" t="s">
        <v>15</v>
      </c>
      <c r="L92" s="781">
        <f>(H85+((L89+L90)*L91))</f>
        <v>81.675126000000006</v>
      </c>
      <c r="M92" s="318" t="s">
        <v>16</v>
      </c>
    </row>
    <row r="93" spans="1:16">
      <c r="B93" s="339" t="s">
        <v>858</v>
      </c>
      <c r="C93" s="326"/>
      <c r="J93" s="321"/>
      <c r="K93" s="321" t="s">
        <v>15</v>
      </c>
      <c r="L93" s="358">
        <f>('S2'!$BJ$37)*0.2</f>
        <v>9.5419999999999998</v>
      </c>
      <c r="M93" s="318" t="s">
        <v>16</v>
      </c>
    </row>
    <row r="94" spans="1:16">
      <c r="A94" s="318" t="s">
        <v>293</v>
      </c>
      <c r="B94" s="359" t="s">
        <v>242</v>
      </c>
      <c r="C94" s="326"/>
      <c r="J94" s="321"/>
      <c r="K94" s="321" t="s">
        <v>15</v>
      </c>
      <c r="L94" s="782">
        <f>(L92+L93)</f>
        <v>91.217126000000007</v>
      </c>
      <c r="M94" s="318" t="s">
        <v>16</v>
      </c>
    </row>
    <row r="95" spans="1:16" ht="18.600000000000001" customHeight="1">
      <c r="B95" s="344"/>
      <c r="K95" s="321"/>
      <c r="L95" s="327"/>
    </row>
    <row r="96" spans="1:16">
      <c r="B96" s="328" t="s">
        <v>18</v>
      </c>
      <c r="K96" s="321"/>
      <c r="L96" s="327"/>
      <c r="P96" s="587"/>
    </row>
    <row r="97" spans="1:37">
      <c r="B97" s="318" t="s">
        <v>66</v>
      </c>
      <c r="K97" s="321"/>
      <c r="L97" s="360"/>
      <c r="P97" s="587"/>
    </row>
    <row r="98" spans="1:37">
      <c r="B98" s="318" t="s">
        <v>67</v>
      </c>
      <c r="K98" s="321"/>
      <c r="L98" s="345"/>
    </row>
    <row r="99" spans="1:37">
      <c r="B99" s="361" t="s">
        <v>20</v>
      </c>
      <c r="K99" s="321"/>
    </row>
    <row r="100" spans="1:37">
      <c r="B100" s="318" t="s">
        <v>21</v>
      </c>
      <c r="F100" s="352">
        <f>Q12</f>
        <v>32.11</v>
      </c>
      <c r="G100" s="318" t="s">
        <v>22</v>
      </c>
      <c r="P100" s="587"/>
    </row>
    <row r="101" spans="1:37">
      <c r="B101" s="318" t="s">
        <v>60</v>
      </c>
      <c r="E101" s="339" t="str">
        <f>IF(Q13=0,S13,IF(Q13=1,S14,S15))</f>
        <v>ฝนตกปกติ</v>
      </c>
      <c r="P101" s="587"/>
    </row>
    <row r="102" spans="1:37" s="362" customFormat="1">
      <c r="A102" s="318" t="s">
        <v>372</v>
      </c>
      <c r="B102" s="318"/>
      <c r="C102" s="318"/>
      <c r="D102" s="318"/>
      <c r="E102" s="318"/>
      <c r="F102" s="318"/>
      <c r="G102" s="318"/>
      <c r="H102" s="318"/>
      <c r="I102" s="318"/>
      <c r="J102" s="318"/>
      <c r="K102" s="318"/>
      <c r="L102" s="318"/>
      <c r="M102" s="318"/>
      <c r="N102" s="343"/>
      <c r="O102" s="622"/>
      <c r="P102" s="622"/>
      <c r="Q102" s="622"/>
      <c r="R102" s="622"/>
      <c r="S102" s="622"/>
      <c r="T102" s="622"/>
      <c r="U102" s="622"/>
      <c r="V102" s="622"/>
      <c r="W102" s="622"/>
      <c r="X102" s="622"/>
      <c r="Y102" s="622"/>
      <c r="Z102" s="622"/>
      <c r="AA102" s="622"/>
      <c r="AB102" s="622"/>
      <c r="AC102" s="622"/>
      <c r="AD102" s="622"/>
      <c r="AE102" s="622"/>
      <c r="AF102" s="622"/>
      <c r="AG102" s="622"/>
      <c r="AH102" s="622"/>
      <c r="AI102" s="622"/>
      <c r="AJ102" s="622"/>
      <c r="AK102" s="622"/>
    </row>
    <row r="103" spans="1:37" s="362" customFormat="1">
      <c r="A103" s="318" t="s">
        <v>371</v>
      </c>
      <c r="B103" s="318"/>
      <c r="C103" s="318"/>
      <c r="D103" s="318"/>
      <c r="E103" s="318"/>
      <c r="F103" s="318"/>
      <c r="G103" s="318"/>
      <c r="H103" s="318"/>
      <c r="I103" s="318"/>
      <c r="J103" s="318"/>
      <c r="K103" s="318"/>
      <c r="L103" s="318"/>
      <c r="M103" s="318"/>
      <c r="N103" s="343"/>
      <c r="O103" s="622"/>
      <c r="P103" s="622"/>
      <c r="Q103" s="622"/>
      <c r="R103" s="622"/>
      <c r="S103" s="622"/>
      <c r="T103" s="622"/>
      <c r="U103" s="622"/>
      <c r="V103" s="622"/>
      <c r="W103" s="622"/>
      <c r="X103" s="622"/>
      <c r="Y103" s="622"/>
      <c r="Z103" s="622"/>
      <c r="AA103" s="622"/>
      <c r="AB103" s="622"/>
      <c r="AC103" s="622"/>
      <c r="AD103" s="622"/>
      <c r="AE103" s="622"/>
      <c r="AF103" s="622"/>
      <c r="AG103" s="622"/>
      <c r="AH103" s="622"/>
      <c r="AI103" s="622"/>
      <c r="AJ103" s="622"/>
      <c r="AK103" s="622"/>
    </row>
    <row r="104" spans="1:37" s="362" customFormat="1">
      <c r="A104" s="318"/>
      <c r="B104" s="318" t="s">
        <v>370</v>
      </c>
      <c r="C104" s="318"/>
      <c r="D104" s="318"/>
      <c r="E104" s="318"/>
      <c r="F104" s="318"/>
      <c r="G104" s="318"/>
      <c r="H104" s="318"/>
      <c r="I104" s="318"/>
      <c r="J104" s="318"/>
      <c r="K104" s="318"/>
      <c r="L104" s="318"/>
      <c r="M104" s="318"/>
      <c r="N104" s="343"/>
      <c r="O104" s="622"/>
      <c r="P104" s="622"/>
      <c r="Q104" s="622"/>
      <c r="R104" s="622"/>
      <c r="S104" s="622"/>
      <c r="T104" s="622"/>
      <c r="U104" s="622"/>
      <c r="V104" s="622"/>
      <c r="W104" s="622"/>
      <c r="X104" s="622"/>
      <c r="Y104" s="622"/>
      <c r="Z104" s="622"/>
      <c r="AA104" s="622"/>
      <c r="AB104" s="622"/>
      <c r="AC104" s="622"/>
      <c r="AD104" s="622"/>
      <c r="AE104" s="622"/>
      <c r="AF104" s="622"/>
      <c r="AG104" s="622"/>
      <c r="AH104" s="622"/>
      <c r="AI104" s="622"/>
      <c r="AJ104" s="622"/>
      <c r="AK104" s="622"/>
    </row>
    <row r="105" spans="1:37" s="362" customFormat="1">
      <c r="A105" s="318"/>
      <c r="B105" s="318" t="s">
        <v>369</v>
      </c>
      <c r="C105" s="318"/>
      <c r="D105" s="318"/>
      <c r="E105" s="318"/>
      <c r="F105" s="318"/>
      <c r="G105" s="318"/>
      <c r="H105" s="318"/>
      <c r="I105" s="318"/>
      <c r="J105" s="318"/>
      <c r="K105" s="318"/>
      <c r="L105" s="318"/>
      <c r="M105" s="318"/>
      <c r="N105" s="343"/>
      <c r="O105" s="622"/>
      <c r="P105" s="622"/>
      <c r="Q105" s="622"/>
      <c r="R105" s="622"/>
      <c r="S105" s="622"/>
      <c r="T105" s="622"/>
      <c r="U105" s="622"/>
      <c r="V105" s="622"/>
      <c r="W105" s="622"/>
      <c r="X105" s="622"/>
      <c r="Y105" s="622"/>
      <c r="Z105" s="622"/>
      <c r="AA105" s="622"/>
      <c r="AB105" s="622"/>
      <c r="AC105" s="622"/>
      <c r="AD105" s="622"/>
      <c r="AE105" s="622"/>
      <c r="AF105" s="622"/>
      <c r="AG105" s="622"/>
      <c r="AH105" s="622"/>
      <c r="AI105" s="622"/>
      <c r="AJ105" s="622"/>
      <c r="AK105" s="622"/>
    </row>
    <row r="106" spans="1:37" s="362" customFormat="1">
      <c r="A106" s="318"/>
      <c r="B106" s="318" t="s">
        <v>368</v>
      </c>
      <c r="C106" s="318"/>
      <c r="D106" s="318"/>
      <c r="E106" s="318"/>
      <c r="F106" s="318" t="s">
        <v>365</v>
      </c>
      <c r="G106" s="318" t="s">
        <v>15</v>
      </c>
      <c r="H106" s="363">
        <f>+ค่างานต้นทุน!H43</f>
        <v>191.27595000000002</v>
      </c>
      <c r="I106" s="318" t="s">
        <v>49</v>
      </c>
      <c r="J106" s="318"/>
      <c r="K106" s="318"/>
      <c r="L106" s="318"/>
      <c r="M106" s="318"/>
      <c r="N106" s="343"/>
      <c r="O106" s="622"/>
      <c r="P106" s="622"/>
      <c r="Q106" s="622"/>
      <c r="R106" s="622"/>
      <c r="S106" s="622"/>
      <c r="T106" s="622"/>
      <c r="U106" s="622"/>
      <c r="V106" s="622"/>
      <c r="W106" s="622"/>
      <c r="X106" s="622"/>
      <c r="Y106" s="622"/>
      <c r="Z106" s="622"/>
      <c r="AA106" s="622"/>
      <c r="AB106" s="622"/>
      <c r="AC106" s="622"/>
      <c r="AD106" s="622"/>
      <c r="AE106" s="622"/>
      <c r="AF106" s="622"/>
      <c r="AG106" s="622"/>
      <c r="AH106" s="622"/>
      <c r="AI106" s="622"/>
      <c r="AJ106" s="622"/>
      <c r="AK106" s="622"/>
    </row>
    <row r="107" spans="1:37" s="362" customFormat="1">
      <c r="A107" s="318"/>
      <c r="B107" s="318" t="s">
        <v>367</v>
      </c>
      <c r="C107" s="318"/>
      <c r="D107" s="389">
        <f>+ค่างานต้นทุน!D44</f>
        <v>15</v>
      </c>
      <c r="E107" s="318" t="s">
        <v>46</v>
      </c>
      <c r="F107" s="318" t="s">
        <v>365</v>
      </c>
      <c r="G107" s="318" t="s">
        <v>15</v>
      </c>
      <c r="H107" s="363">
        <f>+ค่างานต้นทุน!H44</f>
        <v>34.61</v>
      </c>
      <c r="I107" s="318" t="s">
        <v>49</v>
      </c>
      <c r="J107" s="318"/>
      <c r="K107" s="318"/>
      <c r="L107" s="318"/>
      <c r="M107" s="318"/>
      <c r="N107" s="343"/>
      <c r="O107" s="622"/>
      <c r="P107" s="622"/>
      <c r="Q107" s="622"/>
      <c r="R107" s="622"/>
      <c r="S107" s="622"/>
      <c r="T107" s="622"/>
      <c r="U107" s="622"/>
      <c r="V107" s="622"/>
      <c r="W107" s="622"/>
      <c r="X107" s="622"/>
      <c r="Y107" s="622"/>
      <c r="Z107" s="622"/>
      <c r="AA107" s="622"/>
      <c r="AB107" s="622"/>
      <c r="AC107" s="622"/>
      <c r="AD107" s="622"/>
      <c r="AE107" s="622"/>
      <c r="AF107" s="622"/>
      <c r="AG107" s="622"/>
      <c r="AH107" s="622"/>
      <c r="AI107" s="622"/>
      <c r="AJ107" s="622"/>
      <c r="AK107" s="622"/>
    </row>
    <row r="108" spans="1:37" s="362" customFormat="1">
      <c r="A108" s="318"/>
      <c r="B108" s="318" t="s">
        <v>366</v>
      </c>
      <c r="C108" s="318"/>
      <c r="D108" s="318"/>
      <c r="E108" s="318"/>
      <c r="F108" s="318" t="s">
        <v>365</v>
      </c>
      <c r="G108" s="318" t="s">
        <v>15</v>
      </c>
      <c r="H108" s="318">
        <f>SUM(H106:H107)</f>
        <v>225.88595000000004</v>
      </c>
      <c r="I108" s="318" t="s">
        <v>49</v>
      </c>
      <c r="J108" s="318"/>
      <c r="K108" s="318"/>
      <c r="L108" s="318"/>
      <c r="M108" s="318"/>
      <c r="N108" s="343"/>
      <c r="O108" s="343">
        <v>5</v>
      </c>
      <c r="P108" s="622"/>
      <c r="Q108" s="622"/>
      <c r="R108" s="622"/>
      <c r="S108" s="622"/>
      <c r="T108" s="622"/>
      <c r="U108" s="622"/>
      <c r="V108" s="622"/>
      <c r="W108" s="622"/>
      <c r="X108" s="622"/>
      <c r="Y108" s="622"/>
      <c r="Z108" s="622"/>
      <c r="AA108" s="622"/>
      <c r="AB108" s="622"/>
      <c r="AC108" s="622"/>
      <c r="AD108" s="622"/>
      <c r="AE108" s="622"/>
      <c r="AF108" s="622"/>
      <c r="AG108" s="622"/>
      <c r="AH108" s="622"/>
      <c r="AI108" s="622"/>
      <c r="AJ108" s="622"/>
      <c r="AK108" s="622"/>
    </row>
    <row r="109" spans="1:37" s="362" customFormat="1">
      <c r="A109" s="318"/>
      <c r="B109" s="318" t="s">
        <v>364</v>
      </c>
      <c r="C109" s="318"/>
      <c r="D109" s="318"/>
      <c r="E109" s="318"/>
      <c r="F109" s="318"/>
      <c r="G109" s="318" t="s">
        <v>15</v>
      </c>
      <c r="H109" s="350">
        <f>+ค่างานต้นทุน!H47</f>
        <v>1882.3132429999998</v>
      </c>
      <c r="I109" s="318" t="s">
        <v>9</v>
      </c>
      <c r="J109" s="318"/>
      <c r="K109" s="318"/>
      <c r="L109" s="318"/>
      <c r="M109" s="318"/>
      <c r="N109" s="343"/>
      <c r="O109" s="622"/>
      <c r="P109" s="622"/>
      <c r="Q109" s="622"/>
      <c r="R109" s="622"/>
      <c r="S109" s="622"/>
      <c r="T109" s="622"/>
      <c r="U109" s="622"/>
      <c r="V109" s="622"/>
      <c r="W109" s="622"/>
      <c r="X109" s="622"/>
      <c r="Y109" s="622"/>
      <c r="Z109" s="622"/>
      <c r="AA109" s="622"/>
      <c r="AB109" s="622"/>
      <c r="AC109" s="622"/>
      <c r="AD109" s="622"/>
      <c r="AE109" s="622"/>
      <c r="AF109" s="622"/>
      <c r="AG109" s="622"/>
      <c r="AH109" s="622"/>
      <c r="AI109" s="622"/>
      <c r="AJ109" s="622"/>
      <c r="AK109" s="622"/>
    </row>
    <row r="110" spans="1:37" s="362" customFormat="1">
      <c r="A110" s="318"/>
      <c r="B110" s="318" t="s">
        <v>363</v>
      </c>
      <c r="C110" s="318"/>
      <c r="D110" s="388">
        <f>+Data!E7</f>
        <v>15</v>
      </c>
      <c r="E110" s="318" t="s">
        <v>46</v>
      </c>
      <c r="F110" s="318"/>
      <c r="G110" s="318" t="s">
        <v>15</v>
      </c>
      <c r="H110" s="364">
        <f>+L19</f>
        <v>199.57</v>
      </c>
      <c r="I110" s="318" t="s">
        <v>9</v>
      </c>
      <c r="J110" s="318"/>
      <c r="K110" s="318"/>
      <c r="L110" s="318"/>
      <c r="M110" s="318"/>
      <c r="N110" s="343"/>
      <c r="O110" s="622"/>
      <c r="P110" s="622"/>
      <c r="Q110" s="622"/>
      <c r="R110" s="622"/>
      <c r="S110" s="622"/>
      <c r="T110" s="622"/>
      <c r="U110" s="622"/>
      <c r="V110" s="622"/>
      <c r="W110" s="622"/>
      <c r="X110" s="622"/>
      <c r="Y110" s="622"/>
      <c r="Z110" s="622"/>
      <c r="AA110" s="622"/>
      <c r="AB110" s="622"/>
      <c r="AC110" s="622"/>
      <c r="AD110" s="622"/>
      <c r="AE110" s="622"/>
      <c r="AF110" s="622"/>
      <c r="AG110" s="622"/>
      <c r="AH110" s="622"/>
      <c r="AI110" s="622"/>
      <c r="AJ110" s="622"/>
      <c r="AK110" s="622"/>
    </row>
    <row r="111" spans="1:37" s="362" customFormat="1">
      <c r="A111" s="318"/>
      <c r="B111" s="318" t="s">
        <v>362</v>
      </c>
      <c r="C111" s="318"/>
      <c r="D111" s="318"/>
      <c r="E111" s="318"/>
      <c r="F111" s="318"/>
      <c r="G111" s="318" t="s">
        <v>15</v>
      </c>
      <c r="H111" s="350">
        <f>SUM(H109:H110)</f>
        <v>2081.8832429999998</v>
      </c>
      <c r="I111" s="318" t="s">
        <v>9</v>
      </c>
      <c r="J111" s="318"/>
      <c r="K111" s="318"/>
      <c r="L111" s="318"/>
      <c r="M111" s="318"/>
      <c r="N111" s="343"/>
      <c r="O111" s="622"/>
      <c r="P111" s="622"/>
      <c r="Q111" s="622"/>
      <c r="R111" s="622"/>
      <c r="S111" s="622"/>
      <c r="T111" s="622"/>
      <c r="U111" s="622"/>
      <c r="V111" s="622"/>
      <c r="W111" s="622"/>
      <c r="X111" s="622"/>
      <c r="Y111" s="622"/>
      <c r="Z111" s="622"/>
      <c r="AA111" s="622"/>
      <c r="AB111" s="622"/>
      <c r="AC111" s="622"/>
      <c r="AD111" s="622"/>
      <c r="AE111" s="622"/>
      <c r="AF111" s="622"/>
      <c r="AG111" s="622"/>
      <c r="AH111" s="622"/>
      <c r="AI111" s="622"/>
      <c r="AJ111" s="622"/>
      <c r="AK111" s="622"/>
    </row>
    <row r="112" spans="1:37" s="362" customFormat="1">
      <c r="A112" s="318"/>
      <c r="B112" s="318" t="s">
        <v>64</v>
      </c>
      <c r="C112" s="972">
        <f>ค่างานต้นทุน!C51</f>
        <v>5</v>
      </c>
      <c r="D112" s="318" t="s">
        <v>361</v>
      </c>
      <c r="E112" s="318">
        <f>((ROUND(41.667/C112,2)))</f>
        <v>8.33</v>
      </c>
      <c r="F112" s="318" t="s">
        <v>360</v>
      </c>
      <c r="G112" s="318" t="s">
        <v>15</v>
      </c>
      <c r="H112" s="318">
        <f>ROUND(H111/E112,2)</f>
        <v>249.93</v>
      </c>
      <c r="I112" s="318" t="s">
        <v>130</v>
      </c>
      <c r="J112" s="318"/>
      <c r="K112" s="318"/>
      <c r="L112" s="318"/>
      <c r="M112" s="318"/>
      <c r="N112" s="343"/>
      <c r="O112" s="622">
        <v>1</v>
      </c>
      <c r="P112" s="622">
        <v>5</v>
      </c>
      <c r="Q112" s="622">
        <v>8.33</v>
      </c>
      <c r="R112" s="622"/>
      <c r="S112" s="622"/>
      <c r="T112" s="622"/>
      <c r="U112" s="622"/>
      <c r="V112" s="622"/>
      <c r="W112" s="622"/>
      <c r="X112" s="622"/>
      <c r="Y112" s="622"/>
      <c r="Z112" s="622"/>
      <c r="AA112" s="622"/>
      <c r="AB112" s="622"/>
      <c r="AC112" s="622"/>
      <c r="AD112" s="622"/>
      <c r="AE112" s="622"/>
      <c r="AF112" s="622"/>
      <c r="AG112" s="622"/>
      <c r="AH112" s="622"/>
      <c r="AI112" s="622"/>
      <c r="AJ112" s="622"/>
      <c r="AK112" s="622"/>
    </row>
    <row r="113" spans="1:37" s="362" customFormat="1">
      <c r="A113" s="318"/>
      <c r="B113" s="318" t="s">
        <v>64</v>
      </c>
      <c r="C113" s="973">
        <f>ค่างานต้นทุน!C52</f>
        <v>5</v>
      </c>
      <c r="D113" s="318" t="s">
        <v>361</v>
      </c>
      <c r="E113" s="318">
        <f>((ROUND(41.667/C113,2)))</f>
        <v>8.33</v>
      </c>
      <c r="F113" s="318" t="s">
        <v>360</v>
      </c>
      <c r="G113" s="318" t="s">
        <v>15</v>
      </c>
      <c r="H113" s="318">
        <f>ROUND(H111/E113,2)</f>
        <v>249.93</v>
      </c>
      <c r="I113" s="318" t="s">
        <v>130</v>
      </c>
      <c r="J113" s="318"/>
      <c r="K113" s="318"/>
      <c r="L113" s="318"/>
      <c r="M113" s="318"/>
      <c r="N113" s="343"/>
      <c r="O113" s="622"/>
      <c r="P113" s="622"/>
      <c r="Q113" s="622"/>
      <c r="R113" s="622"/>
      <c r="S113" s="622"/>
      <c r="T113" s="622"/>
      <c r="U113" s="622"/>
      <c r="V113" s="622"/>
      <c r="W113" s="622"/>
      <c r="X113" s="622"/>
      <c r="Y113" s="622"/>
      <c r="Z113" s="622"/>
      <c r="AA113" s="622"/>
      <c r="AB113" s="622"/>
      <c r="AC113" s="622"/>
      <c r="AD113" s="622"/>
      <c r="AE113" s="622"/>
      <c r="AF113" s="622"/>
      <c r="AG113" s="622"/>
      <c r="AH113" s="622"/>
      <c r="AI113" s="622"/>
      <c r="AJ113" s="622"/>
      <c r="AK113" s="622"/>
    </row>
    <row r="114" spans="1:37" s="362" customFormat="1">
      <c r="A114" s="318"/>
      <c r="B114" s="1389" t="s">
        <v>30</v>
      </c>
      <c r="C114" s="1389"/>
      <c r="D114" s="1389"/>
      <c r="E114" s="1389"/>
      <c r="F114" s="1389"/>
      <c r="G114" s="318"/>
      <c r="H114" s="318">
        <f>ROUND(H112+H113,2)</f>
        <v>499.86</v>
      </c>
      <c r="I114" s="318" t="s">
        <v>130</v>
      </c>
      <c r="J114" s="318"/>
      <c r="K114" s="318"/>
      <c r="L114" s="318"/>
      <c r="M114" s="318"/>
      <c r="N114" s="343"/>
      <c r="O114" s="622"/>
      <c r="P114" s="622"/>
      <c r="Q114" s="622"/>
      <c r="R114" s="622"/>
      <c r="S114" s="622"/>
      <c r="T114" s="622"/>
      <c r="U114" s="622"/>
      <c r="V114" s="622"/>
      <c r="W114" s="622"/>
      <c r="X114" s="622"/>
      <c r="Y114" s="622"/>
      <c r="Z114" s="622"/>
      <c r="AA114" s="622"/>
      <c r="AB114" s="622"/>
      <c r="AC114" s="622"/>
      <c r="AD114" s="622"/>
      <c r="AE114" s="622"/>
      <c r="AF114" s="622"/>
      <c r="AG114" s="622"/>
      <c r="AH114" s="622"/>
      <c r="AI114" s="622"/>
      <c r="AJ114" s="622"/>
      <c r="AK114" s="622"/>
    </row>
    <row r="115" spans="1:37" s="362" customFormat="1">
      <c r="A115" s="318"/>
      <c r="B115" s="318" t="s">
        <v>359</v>
      </c>
      <c r="C115" s="318"/>
      <c r="D115" s="318"/>
      <c r="E115" s="318"/>
      <c r="F115" s="318"/>
      <c r="G115" s="318" t="s">
        <v>15</v>
      </c>
      <c r="H115" s="318"/>
      <c r="I115" s="318"/>
      <c r="J115" s="318"/>
      <c r="K115" s="318"/>
      <c r="L115" s="318"/>
      <c r="M115" s="318"/>
      <c r="N115" s="343"/>
      <c r="O115" s="622">
        <v>2</v>
      </c>
      <c r="P115" s="622">
        <v>3</v>
      </c>
      <c r="Q115" s="622">
        <v>13.89</v>
      </c>
      <c r="R115" s="622"/>
      <c r="S115" s="622"/>
      <c r="T115" s="622"/>
      <c r="U115" s="622"/>
      <c r="V115" s="622"/>
      <c r="W115" s="622"/>
      <c r="X115" s="622"/>
      <c r="Y115" s="622"/>
      <c r="Z115" s="622"/>
      <c r="AA115" s="622"/>
      <c r="AB115" s="622"/>
      <c r="AC115" s="622"/>
      <c r="AD115" s="622"/>
      <c r="AE115" s="622"/>
      <c r="AF115" s="622"/>
      <c r="AG115" s="622"/>
      <c r="AH115" s="622"/>
      <c r="AI115" s="622"/>
      <c r="AJ115" s="622"/>
      <c r="AK115" s="622"/>
    </row>
    <row r="116" spans="1:37" s="362" customFormat="1">
      <c r="A116" s="318"/>
      <c r="B116" s="318" t="s">
        <v>358</v>
      </c>
      <c r="C116" s="318"/>
      <c r="D116" s="318"/>
      <c r="E116" s="318"/>
      <c r="F116" s="318"/>
      <c r="G116" s="318" t="s">
        <v>15</v>
      </c>
      <c r="H116" s="356">
        <f>+'S2'!BJ19</f>
        <v>15.35</v>
      </c>
      <c r="I116" s="318" t="s">
        <v>130</v>
      </c>
      <c r="J116" s="318"/>
      <c r="K116" s="318"/>
      <c r="L116" s="318"/>
      <c r="M116" s="318"/>
      <c r="N116" s="343"/>
      <c r="O116" s="622"/>
      <c r="P116" s="622"/>
      <c r="Q116" s="622"/>
      <c r="R116" s="622"/>
      <c r="S116" s="622"/>
      <c r="T116" s="622"/>
      <c r="U116" s="622"/>
      <c r="V116" s="622"/>
      <c r="W116" s="622"/>
      <c r="X116" s="622"/>
      <c r="Y116" s="622"/>
      <c r="Z116" s="622"/>
      <c r="AA116" s="622"/>
      <c r="AB116" s="622"/>
      <c r="AC116" s="622"/>
      <c r="AD116" s="622"/>
      <c r="AE116" s="622"/>
      <c r="AF116" s="622"/>
      <c r="AG116" s="622"/>
      <c r="AH116" s="622"/>
      <c r="AI116" s="622"/>
      <c r="AJ116" s="622"/>
      <c r="AK116" s="622"/>
    </row>
    <row r="117" spans="1:37" s="362" customFormat="1">
      <c r="A117" s="318"/>
      <c r="B117" s="318" t="s">
        <v>357</v>
      </c>
      <c r="C117" s="318"/>
      <c r="D117" s="318"/>
      <c r="E117" s="318"/>
      <c r="F117" s="318"/>
      <c r="G117" s="318" t="s">
        <v>15</v>
      </c>
      <c r="H117" s="356">
        <f>+'S2'!BJ20</f>
        <v>11.96</v>
      </c>
      <c r="I117" s="318" t="s">
        <v>130</v>
      </c>
      <c r="J117" s="318"/>
      <c r="K117" s="318"/>
      <c r="L117" s="318"/>
      <c r="M117" s="318"/>
      <c r="N117" s="343"/>
      <c r="O117" s="622"/>
      <c r="P117" s="622"/>
      <c r="Q117" s="622"/>
      <c r="R117" s="622"/>
      <c r="S117" s="622"/>
      <c r="T117" s="622"/>
      <c r="U117" s="622"/>
      <c r="V117" s="622"/>
      <c r="W117" s="622"/>
      <c r="X117" s="622"/>
      <c r="Y117" s="622"/>
      <c r="Z117" s="622"/>
      <c r="AA117" s="622"/>
      <c r="AB117" s="622"/>
      <c r="AC117" s="622"/>
      <c r="AD117" s="622"/>
      <c r="AE117" s="622"/>
      <c r="AF117" s="622"/>
      <c r="AG117" s="622"/>
      <c r="AH117" s="622"/>
      <c r="AI117" s="622"/>
      <c r="AJ117" s="622"/>
      <c r="AK117" s="622"/>
    </row>
    <row r="118" spans="1:37" s="362" customFormat="1">
      <c r="A118" s="318"/>
      <c r="B118" s="318" t="s">
        <v>38</v>
      </c>
      <c r="C118" s="318"/>
      <c r="D118" s="318"/>
      <c r="E118" s="318" t="s">
        <v>687</v>
      </c>
      <c r="F118" s="318"/>
      <c r="G118" s="318" t="s">
        <v>15</v>
      </c>
      <c r="H118" s="365">
        <f>+H112+H116</f>
        <v>265.28000000000003</v>
      </c>
      <c r="I118" s="318" t="s">
        <v>130</v>
      </c>
      <c r="J118" s="318"/>
      <c r="K118" s="318"/>
      <c r="L118" s="318"/>
      <c r="M118" s="318"/>
      <c r="N118" s="343"/>
      <c r="O118" s="622"/>
      <c r="P118" s="622"/>
      <c r="Q118" s="622"/>
      <c r="R118" s="622"/>
      <c r="S118" s="622"/>
      <c r="T118" s="622"/>
      <c r="U118" s="622"/>
      <c r="V118" s="622"/>
      <c r="W118" s="622"/>
      <c r="X118" s="622"/>
      <c r="Y118" s="622"/>
      <c r="Z118" s="622"/>
      <c r="AA118" s="622"/>
      <c r="AB118" s="622"/>
      <c r="AC118" s="622"/>
      <c r="AD118" s="622"/>
      <c r="AE118" s="622"/>
      <c r="AF118" s="622"/>
      <c r="AG118" s="622"/>
      <c r="AH118" s="622"/>
      <c r="AI118" s="622"/>
      <c r="AJ118" s="622"/>
      <c r="AK118" s="622"/>
    </row>
    <row r="119" spans="1:37" s="362" customFormat="1">
      <c r="A119" s="318"/>
      <c r="B119" s="318" t="s">
        <v>39</v>
      </c>
      <c r="C119" s="318"/>
      <c r="D119" s="318"/>
      <c r="E119" s="318" t="s">
        <v>688</v>
      </c>
      <c r="F119" s="318"/>
      <c r="G119" s="318" t="s">
        <v>15</v>
      </c>
      <c r="H119" s="365">
        <f>+H113+H117</f>
        <v>261.89</v>
      </c>
      <c r="I119" s="318" t="s">
        <v>130</v>
      </c>
      <c r="J119" s="318"/>
      <c r="K119" s="318"/>
      <c r="L119" s="318"/>
      <c r="M119" s="318"/>
      <c r="N119" s="343"/>
      <c r="O119" s="622"/>
      <c r="P119" s="622"/>
      <c r="Q119" s="622"/>
      <c r="R119" s="622"/>
      <c r="S119" s="622"/>
      <c r="T119" s="622"/>
      <c r="U119" s="622"/>
      <c r="V119" s="622"/>
      <c r="W119" s="622"/>
      <c r="X119" s="622"/>
      <c r="Y119" s="622"/>
      <c r="Z119" s="622"/>
      <c r="AA119" s="622"/>
      <c r="AB119" s="622"/>
      <c r="AC119" s="622"/>
      <c r="AD119" s="622"/>
      <c r="AE119" s="622"/>
      <c r="AF119" s="622"/>
      <c r="AG119" s="622"/>
      <c r="AH119" s="622"/>
      <c r="AI119" s="622"/>
      <c r="AJ119" s="622"/>
      <c r="AK119" s="622"/>
    </row>
    <row r="120" spans="1:37" s="366" customFormat="1">
      <c r="A120" s="318" t="s">
        <v>356</v>
      </c>
      <c r="B120" s="318"/>
      <c r="C120" s="318" t="s">
        <v>355</v>
      </c>
      <c r="D120" s="318"/>
      <c r="E120" s="318"/>
      <c r="F120" s="318"/>
      <c r="G120" s="318"/>
      <c r="H120" s="318"/>
      <c r="I120" s="318"/>
      <c r="J120" s="318"/>
      <c r="K120" s="318"/>
      <c r="L120" s="318"/>
      <c r="M120" s="318"/>
      <c r="N120" s="343"/>
      <c r="O120" s="623"/>
      <c r="P120" s="623"/>
      <c r="Q120" s="1390"/>
      <c r="R120" s="1390"/>
      <c r="S120" s="623"/>
      <c r="T120" s="623"/>
      <c r="U120" s="623"/>
      <c r="V120" s="1391"/>
      <c r="W120" s="1391"/>
      <c r="X120" s="624"/>
      <c r="Y120" s="624"/>
      <c r="Z120" s="624"/>
      <c r="AA120" s="624"/>
      <c r="AB120" s="624"/>
      <c r="AC120" s="624"/>
      <c r="AD120" s="624"/>
      <c r="AE120" s="624"/>
      <c r="AF120" s="624"/>
      <c r="AG120" s="624"/>
      <c r="AH120" s="624"/>
      <c r="AI120" s="624"/>
      <c r="AJ120" s="624"/>
      <c r="AK120" s="624"/>
    </row>
    <row r="121" spans="1:37" s="366" customFormat="1" ht="17.25">
      <c r="A121" s="367" t="s">
        <v>354</v>
      </c>
      <c r="B121" s="368"/>
      <c r="C121" s="368"/>
      <c r="D121" s="369"/>
      <c r="E121" s="370"/>
      <c r="F121" s="370"/>
      <c r="G121" s="370"/>
      <c r="H121" s="370"/>
      <c r="I121" s="370"/>
      <c r="J121" s="318"/>
      <c r="K121" s="318"/>
      <c r="L121" s="318"/>
      <c r="M121" s="318"/>
      <c r="N121" s="343"/>
      <c r="O121" s="623"/>
      <c r="P121" s="623"/>
      <c r="Q121" s="1390"/>
      <c r="R121" s="1390"/>
      <c r="S121" s="623"/>
      <c r="T121" s="623"/>
      <c r="U121" s="623"/>
      <c r="V121" s="1391"/>
      <c r="W121" s="1391"/>
      <c r="X121" s="624"/>
      <c r="Y121" s="624"/>
      <c r="Z121" s="624"/>
      <c r="AA121" s="624"/>
      <c r="AB121" s="624"/>
      <c r="AC121" s="624"/>
      <c r="AD121" s="624"/>
      <c r="AE121" s="624"/>
      <c r="AF121" s="624"/>
      <c r="AG121" s="624"/>
      <c r="AH121" s="624"/>
      <c r="AI121" s="624"/>
      <c r="AJ121" s="624"/>
      <c r="AK121" s="624"/>
    </row>
    <row r="122" spans="1:37" s="366" customFormat="1" ht="17.25">
      <c r="A122" s="368"/>
      <c r="B122" s="368" t="s">
        <v>353</v>
      </c>
      <c r="C122" s="368"/>
      <c r="D122" s="369"/>
      <c r="E122" s="371"/>
      <c r="F122" s="371"/>
      <c r="G122" s="372" t="s">
        <v>6</v>
      </c>
      <c r="H122" s="368">
        <f>+ค่างานต้นทุน!H59</f>
        <v>21.039656000000001</v>
      </c>
      <c r="I122" s="368" t="s">
        <v>130</v>
      </c>
      <c r="J122" s="368"/>
      <c r="K122" s="318"/>
      <c r="L122" s="318"/>
      <c r="M122" s="318"/>
      <c r="N122" s="343"/>
      <c r="O122" s="623"/>
      <c r="P122" s="623"/>
      <c r="Q122" s="1390"/>
      <c r="R122" s="1390"/>
      <c r="S122" s="623"/>
      <c r="T122" s="623"/>
      <c r="U122" s="623"/>
      <c r="V122" s="1391"/>
      <c r="W122" s="1391"/>
      <c r="X122" s="624"/>
      <c r="Y122" s="624"/>
      <c r="Z122" s="624"/>
      <c r="AA122" s="624"/>
      <c r="AB122" s="624"/>
      <c r="AC122" s="624"/>
      <c r="AD122" s="624"/>
      <c r="AE122" s="624"/>
      <c r="AF122" s="624"/>
      <c r="AG122" s="624"/>
      <c r="AH122" s="624"/>
      <c r="AI122" s="624"/>
      <c r="AJ122" s="624"/>
      <c r="AK122" s="624"/>
    </row>
    <row r="123" spans="1:37" s="366" customFormat="1" ht="17.25">
      <c r="A123" s="368"/>
      <c r="B123" s="368" t="s">
        <v>352</v>
      </c>
      <c r="C123" s="368"/>
      <c r="D123" s="369"/>
      <c r="E123" s="371"/>
      <c r="F123" s="371"/>
      <c r="G123" s="372" t="s">
        <v>6</v>
      </c>
      <c r="H123" s="368">
        <f>+ค่างานต้นทุน!H60</f>
        <v>7.54</v>
      </c>
      <c r="I123" s="368" t="s">
        <v>130</v>
      </c>
      <c r="J123" s="368"/>
      <c r="N123" s="623"/>
      <c r="O123" s="623"/>
      <c r="P123" s="623"/>
      <c r="Q123" s="1390"/>
      <c r="R123" s="1390"/>
      <c r="S123" s="623"/>
      <c r="T123" s="623"/>
      <c r="U123" s="623"/>
      <c r="V123" s="1391"/>
      <c r="W123" s="1391"/>
      <c r="X123" s="624"/>
      <c r="Y123" s="624"/>
      <c r="Z123" s="624"/>
      <c r="AA123" s="624"/>
      <c r="AB123" s="624"/>
      <c r="AC123" s="624"/>
      <c r="AD123" s="624"/>
      <c r="AE123" s="624"/>
      <c r="AF123" s="624"/>
      <c r="AG123" s="624"/>
      <c r="AH123" s="624"/>
      <c r="AI123" s="624"/>
      <c r="AJ123" s="624"/>
      <c r="AK123" s="624"/>
    </row>
    <row r="124" spans="1:37" s="366" customFormat="1" ht="17.25">
      <c r="A124" s="368"/>
      <c r="B124" s="368" t="s">
        <v>351</v>
      </c>
      <c r="C124" s="368"/>
      <c r="D124" s="369"/>
      <c r="E124" s="371"/>
      <c r="F124" s="371"/>
      <c r="G124" s="372" t="s">
        <v>6</v>
      </c>
      <c r="H124" s="368">
        <f>+ค่างานต้นทุน!H61</f>
        <v>28.57</v>
      </c>
      <c r="I124" s="368" t="s">
        <v>130</v>
      </c>
      <c r="J124" s="368"/>
      <c r="N124" s="623"/>
      <c r="O124" s="623"/>
      <c r="P124" s="623"/>
      <c r="Q124" s="1390"/>
      <c r="R124" s="1390"/>
      <c r="S124" s="623"/>
      <c r="T124" s="623"/>
      <c r="U124" s="623"/>
      <c r="V124" s="1391"/>
      <c r="W124" s="1391"/>
      <c r="X124" s="624"/>
      <c r="Y124" s="624"/>
      <c r="Z124" s="624"/>
      <c r="AA124" s="624"/>
      <c r="AB124" s="624"/>
      <c r="AC124" s="624"/>
      <c r="AD124" s="624"/>
      <c r="AE124" s="624"/>
      <c r="AF124" s="624"/>
      <c r="AG124" s="624"/>
      <c r="AH124" s="624"/>
      <c r="AI124" s="624"/>
      <c r="AJ124" s="624"/>
      <c r="AK124" s="624"/>
    </row>
    <row r="125" spans="1:37" s="366" customFormat="1">
      <c r="A125" s="373" t="s">
        <v>540</v>
      </c>
      <c r="B125" s="374"/>
      <c r="C125" s="374"/>
      <c r="D125" s="374"/>
      <c r="E125" s="374"/>
      <c r="F125" s="374"/>
      <c r="G125" s="375"/>
      <c r="H125" s="376"/>
      <c r="I125" s="374"/>
      <c r="N125" s="623"/>
      <c r="O125" s="623"/>
      <c r="P125" s="623"/>
      <c r="Q125" s="1390"/>
      <c r="R125" s="1390"/>
      <c r="S125" s="623"/>
      <c r="T125" s="623"/>
      <c r="U125" s="623"/>
      <c r="V125" s="1391"/>
      <c r="W125" s="1391"/>
      <c r="X125" s="624"/>
      <c r="Y125" s="624"/>
      <c r="Z125" s="624"/>
      <c r="AA125" s="624"/>
      <c r="AB125" s="624"/>
      <c r="AC125" s="624"/>
      <c r="AD125" s="624"/>
      <c r="AE125" s="624"/>
      <c r="AF125" s="624"/>
      <c r="AG125" s="624"/>
      <c r="AH125" s="624"/>
      <c r="AI125" s="624"/>
      <c r="AJ125" s="624"/>
      <c r="AK125" s="624"/>
    </row>
    <row r="126" spans="1:37" s="366" customFormat="1">
      <c r="A126" s="373" t="s">
        <v>541</v>
      </c>
      <c r="B126" s="374"/>
      <c r="C126" s="374"/>
      <c r="D126" s="374"/>
      <c r="E126" s="374"/>
      <c r="F126" s="374"/>
      <c r="G126" s="375"/>
      <c r="H126" s="376"/>
      <c r="I126" s="374"/>
      <c r="N126" s="624"/>
      <c r="O126" s="624"/>
      <c r="P126" s="624"/>
      <c r="Q126" s="1392"/>
      <c r="R126" s="1392"/>
      <c r="S126" s="624"/>
      <c r="T126" s="624"/>
      <c r="U126" s="624"/>
      <c r="V126" s="1392"/>
      <c r="W126" s="1392"/>
      <c r="X126" s="624"/>
      <c r="Y126" s="624"/>
      <c r="Z126" s="624"/>
      <c r="AA126" s="624"/>
      <c r="AB126" s="624"/>
      <c r="AC126" s="624"/>
      <c r="AD126" s="624"/>
      <c r="AE126" s="624"/>
      <c r="AF126" s="624"/>
      <c r="AG126" s="624"/>
      <c r="AH126" s="624"/>
      <c r="AI126" s="624"/>
      <c r="AJ126" s="624"/>
      <c r="AK126" s="624"/>
    </row>
    <row r="127" spans="1:37" s="366" customFormat="1" ht="17.25">
      <c r="A127" s="374"/>
      <c r="B127" s="368" t="s">
        <v>709</v>
      </c>
      <c r="C127" s="368"/>
      <c r="D127" s="368"/>
      <c r="E127" s="368"/>
      <c r="F127" s="368"/>
      <c r="G127" s="368" t="s">
        <v>15</v>
      </c>
      <c r="H127" s="368">
        <f>+ค่างานต้นทุน!H64</f>
        <v>26.299569999999999</v>
      </c>
      <c r="I127" s="368" t="s">
        <v>130</v>
      </c>
      <c r="J127" s="368"/>
      <c r="K127" s="368"/>
      <c r="N127" s="624"/>
      <c r="O127" s="624"/>
      <c r="P127" s="624"/>
      <c r="Q127" s="624"/>
      <c r="R127" s="624"/>
      <c r="S127" s="624"/>
      <c r="T127" s="624"/>
      <c r="U127" s="624"/>
      <c r="V127" s="624"/>
      <c r="W127" s="624"/>
      <c r="X127" s="624"/>
      <c r="Y127" s="624"/>
      <c r="Z127" s="624"/>
      <c r="AA127" s="624"/>
      <c r="AB127" s="624"/>
      <c r="AC127" s="624"/>
      <c r="AD127" s="624"/>
      <c r="AE127" s="624"/>
      <c r="AF127" s="624"/>
      <c r="AG127" s="624"/>
      <c r="AH127" s="624"/>
      <c r="AI127" s="624"/>
      <c r="AJ127" s="624"/>
      <c r="AK127" s="624"/>
    </row>
    <row r="128" spans="1:37" s="366" customFormat="1" ht="17.25">
      <c r="A128" s="374"/>
      <c r="B128" s="368" t="s">
        <v>352</v>
      </c>
      <c r="C128" s="368"/>
      <c r="D128" s="368"/>
      <c r="E128" s="368"/>
      <c r="F128" s="368"/>
      <c r="G128" s="368" t="s">
        <v>15</v>
      </c>
      <c r="H128" s="368">
        <f>+ค่างานต้นทุน!H65</f>
        <v>7.54</v>
      </c>
      <c r="I128" s="368" t="s">
        <v>130</v>
      </c>
      <c r="J128" s="368"/>
      <c r="K128" s="368"/>
      <c r="N128" s="624"/>
      <c r="O128" s="624"/>
      <c r="P128" s="624"/>
      <c r="Q128" s="624"/>
      <c r="R128" s="624"/>
      <c r="S128" s="624"/>
      <c r="T128" s="624"/>
      <c r="U128" s="624"/>
      <c r="V128" s="624"/>
      <c r="W128" s="624"/>
      <c r="X128" s="624"/>
      <c r="Y128" s="624"/>
      <c r="Z128" s="624"/>
      <c r="AA128" s="624"/>
      <c r="AB128" s="624"/>
      <c r="AC128" s="624"/>
      <c r="AD128" s="624"/>
      <c r="AE128" s="624"/>
      <c r="AF128" s="624"/>
      <c r="AG128" s="624"/>
      <c r="AH128" s="624"/>
      <c r="AI128" s="624"/>
      <c r="AJ128" s="624"/>
      <c r="AK128" s="624"/>
    </row>
    <row r="129" spans="1:37" s="366" customFormat="1" ht="17.25">
      <c r="A129" s="374"/>
      <c r="B129" s="368" t="s">
        <v>351</v>
      </c>
      <c r="C129" s="368"/>
      <c r="D129" s="368"/>
      <c r="E129" s="368"/>
      <c r="F129" s="368"/>
      <c r="G129" s="368" t="s">
        <v>15</v>
      </c>
      <c r="H129" s="368">
        <f>+ค่างานต้นทุน!H66</f>
        <v>33.83</v>
      </c>
      <c r="I129" s="368" t="s">
        <v>130</v>
      </c>
      <c r="J129" s="368"/>
      <c r="K129" s="368"/>
      <c r="N129" s="624"/>
      <c r="O129" s="624"/>
      <c r="P129" s="624"/>
      <c r="Q129" s="624"/>
      <c r="R129" s="624"/>
      <c r="S129" s="624"/>
      <c r="T129" s="624"/>
      <c r="U129" s="624"/>
      <c r="V129" s="624"/>
      <c r="W129" s="624"/>
      <c r="X129" s="624"/>
      <c r="Y129" s="624"/>
      <c r="Z129" s="624"/>
      <c r="AA129" s="624"/>
      <c r="AB129" s="624"/>
      <c r="AC129" s="624"/>
      <c r="AD129" s="624"/>
      <c r="AE129" s="624"/>
      <c r="AF129" s="624"/>
      <c r="AG129" s="624"/>
      <c r="AH129" s="624"/>
      <c r="AI129" s="624"/>
      <c r="AJ129" s="624"/>
      <c r="AK129" s="624"/>
    </row>
    <row r="130" spans="1:37" s="366" customFormat="1" ht="17.25">
      <c r="A130" s="374"/>
      <c r="B130" s="368"/>
      <c r="C130" s="368"/>
      <c r="D130" s="368"/>
      <c r="E130" s="368"/>
      <c r="F130" s="368"/>
      <c r="G130" s="368"/>
      <c r="H130" s="368"/>
      <c r="I130" s="368"/>
      <c r="J130" s="368"/>
      <c r="K130" s="368"/>
      <c r="N130" s="624"/>
      <c r="O130" s="624"/>
      <c r="P130" s="624"/>
      <c r="Q130" s="624"/>
      <c r="R130" s="624"/>
      <c r="S130" s="624"/>
      <c r="T130" s="624"/>
      <c r="U130" s="624"/>
      <c r="V130" s="624"/>
      <c r="W130" s="624"/>
      <c r="X130" s="624"/>
      <c r="Y130" s="624"/>
      <c r="Z130" s="624"/>
      <c r="AA130" s="624"/>
      <c r="AB130" s="624"/>
      <c r="AC130" s="624"/>
      <c r="AD130" s="624"/>
      <c r="AE130" s="624"/>
      <c r="AF130" s="624"/>
      <c r="AG130" s="624"/>
      <c r="AH130" s="624"/>
      <c r="AI130" s="624"/>
      <c r="AJ130" s="624"/>
      <c r="AK130" s="624"/>
    </row>
    <row r="131" spans="1:37" s="366" customFormat="1">
      <c r="A131" s="373" t="s">
        <v>542</v>
      </c>
      <c r="B131" s="374"/>
      <c r="C131" s="374"/>
      <c r="D131" s="374"/>
      <c r="E131" s="374"/>
      <c r="F131" s="374"/>
      <c r="G131" s="375"/>
      <c r="H131" s="376"/>
      <c r="I131" s="374"/>
      <c r="N131" s="624"/>
      <c r="O131" s="624"/>
      <c r="P131" s="624"/>
      <c r="Q131" s="624"/>
      <c r="R131" s="624"/>
      <c r="S131" s="624"/>
      <c r="T131" s="624"/>
      <c r="U131" s="624"/>
      <c r="V131" s="624"/>
      <c r="W131" s="624"/>
      <c r="X131" s="624"/>
      <c r="Y131" s="624"/>
      <c r="Z131" s="624"/>
      <c r="AA131" s="624"/>
      <c r="AB131" s="624"/>
      <c r="AC131" s="624"/>
      <c r="AD131" s="624"/>
      <c r="AE131" s="624"/>
      <c r="AF131" s="624"/>
      <c r="AG131" s="624"/>
      <c r="AH131" s="624"/>
      <c r="AI131" s="624"/>
      <c r="AJ131" s="624"/>
      <c r="AK131" s="624"/>
    </row>
    <row r="132" spans="1:37" s="366" customFormat="1" ht="17.25">
      <c r="A132" s="374"/>
      <c r="B132" s="368" t="s">
        <v>543</v>
      </c>
      <c r="C132" s="368"/>
      <c r="D132" s="368"/>
      <c r="E132" s="368"/>
      <c r="F132" s="368"/>
      <c r="G132" s="368" t="s">
        <v>15</v>
      </c>
      <c r="H132" s="368">
        <f>+ค่างานต้นทุน!H69</f>
        <v>7.83</v>
      </c>
      <c r="I132" s="368" t="s">
        <v>130</v>
      </c>
      <c r="J132" s="368"/>
      <c r="K132" s="368"/>
      <c r="N132" s="624"/>
      <c r="O132" s="624"/>
      <c r="P132" s="624"/>
      <c r="Q132" s="624"/>
      <c r="R132" s="624"/>
      <c r="S132" s="624"/>
      <c r="T132" s="624"/>
      <c r="U132" s="624"/>
      <c r="V132" s="624"/>
      <c r="W132" s="624"/>
      <c r="X132" s="624"/>
      <c r="Y132" s="624"/>
      <c r="Z132" s="624"/>
      <c r="AA132" s="624"/>
      <c r="AB132" s="624"/>
      <c r="AC132" s="624"/>
      <c r="AD132" s="624"/>
      <c r="AE132" s="624"/>
      <c r="AF132" s="624"/>
      <c r="AG132" s="624"/>
      <c r="AH132" s="624"/>
      <c r="AI132" s="624"/>
      <c r="AJ132" s="624"/>
      <c r="AK132" s="624"/>
    </row>
    <row r="133" spans="1:37" s="366" customFormat="1" ht="17.25">
      <c r="A133" s="374"/>
      <c r="B133" s="368" t="s">
        <v>352</v>
      </c>
      <c r="C133" s="368"/>
      <c r="D133" s="368"/>
      <c r="E133" s="368"/>
      <c r="F133" s="368"/>
      <c r="G133" s="368" t="s">
        <v>15</v>
      </c>
      <c r="H133" s="368">
        <f>+ค่างานต้นทุน!H70</f>
        <v>7.29</v>
      </c>
      <c r="I133" s="368" t="s">
        <v>130</v>
      </c>
      <c r="J133" s="368"/>
      <c r="K133" s="368"/>
      <c r="N133" s="624"/>
      <c r="O133" s="624"/>
      <c r="P133" s="624"/>
      <c r="Q133" s="624"/>
      <c r="R133" s="624"/>
      <c r="S133" s="624"/>
      <c r="T133" s="624"/>
      <c r="U133" s="624"/>
      <c r="V133" s="624"/>
      <c r="W133" s="624"/>
      <c r="X133" s="624"/>
      <c r="Y133" s="624"/>
      <c r="Z133" s="624"/>
      <c r="AA133" s="624"/>
      <c r="AB133" s="624"/>
      <c r="AC133" s="624"/>
      <c r="AD133" s="624"/>
      <c r="AE133" s="624"/>
      <c r="AF133" s="624"/>
      <c r="AG133" s="624"/>
      <c r="AH133" s="624"/>
      <c r="AI133" s="624"/>
      <c r="AJ133" s="624"/>
      <c r="AK133" s="624"/>
    </row>
    <row r="134" spans="1:37" s="366" customFormat="1" ht="17.25">
      <c r="A134" s="374"/>
      <c r="B134" s="368" t="s">
        <v>351</v>
      </c>
      <c r="C134" s="368"/>
      <c r="D134" s="368"/>
      <c r="E134" s="368"/>
      <c r="F134" s="368"/>
      <c r="G134" s="368" t="s">
        <v>15</v>
      </c>
      <c r="H134" s="368">
        <f>+ค่างานต้นทุน!H71</f>
        <v>15.12</v>
      </c>
      <c r="I134" s="368" t="s">
        <v>130</v>
      </c>
      <c r="J134" s="368"/>
      <c r="K134" s="368"/>
      <c r="N134" s="624"/>
      <c r="O134" s="624"/>
      <c r="P134" s="624"/>
      <c r="Q134" s="624"/>
      <c r="R134" s="624"/>
      <c r="S134" s="624"/>
      <c r="T134" s="624"/>
      <c r="U134" s="624"/>
      <c r="V134" s="624"/>
      <c r="W134" s="624"/>
      <c r="X134" s="624"/>
      <c r="Y134" s="624"/>
      <c r="Z134" s="624"/>
      <c r="AA134" s="624"/>
      <c r="AB134" s="624"/>
      <c r="AC134" s="624"/>
      <c r="AD134" s="624"/>
      <c r="AE134" s="624"/>
      <c r="AF134" s="624"/>
      <c r="AG134" s="624"/>
      <c r="AH134" s="624"/>
      <c r="AI134" s="624"/>
      <c r="AJ134" s="624"/>
      <c r="AK134" s="624"/>
    </row>
    <row r="135" spans="1:37" s="366" customFormat="1">
      <c r="A135" s="374"/>
      <c r="B135" s="374"/>
      <c r="C135" s="374"/>
      <c r="D135" s="377"/>
      <c r="E135" s="374"/>
      <c r="F135" s="374"/>
      <c r="G135" s="375"/>
      <c r="H135" s="378"/>
      <c r="I135" s="374"/>
      <c r="N135" s="624"/>
      <c r="O135" s="624"/>
      <c r="P135" s="624"/>
      <c r="Q135" s="624"/>
      <c r="R135" s="624"/>
      <c r="S135" s="624"/>
      <c r="T135" s="624"/>
      <c r="U135" s="624"/>
      <c r="V135" s="624"/>
      <c r="W135" s="624"/>
      <c r="X135" s="624"/>
      <c r="Y135" s="624"/>
      <c r="Z135" s="624"/>
      <c r="AA135" s="624"/>
      <c r="AB135" s="624"/>
      <c r="AC135" s="624"/>
      <c r="AD135" s="624"/>
      <c r="AE135" s="624"/>
      <c r="AF135" s="624"/>
      <c r="AG135" s="624"/>
      <c r="AH135" s="624"/>
      <c r="AI135" s="624"/>
      <c r="AJ135" s="624"/>
      <c r="AK135" s="624"/>
    </row>
    <row r="136" spans="1:37" s="366" customFormat="1">
      <c r="A136" s="379"/>
      <c r="B136" s="374"/>
      <c r="C136" s="380"/>
      <c r="E136" s="381"/>
      <c r="G136" s="382"/>
      <c r="H136" s="383"/>
      <c r="I136" s="382"/>
      <c r="K136" s="384"/>
      <c r="N136" s="624"/>
      <c r="O136" s="624"/>
      <c r="P136" s="624"/>
      <c r="Q136" s="624"/>
      <c r="R136" s="624"/>
      <c r="S136" s="624"/>
      <c r="T136" s="624"/>
      <c r="U136" s="624"/>
      <c r="V136" s="624"/>
      <c r="W136" s="624"/>
      <c r="X136" s="624"/>
      <c r="Y136" s="624"/>
      <c r="Z136" s="624"/>
      <c r="AA136" s="624"/>
      <c r="AB136" s="624"/>
      <c r="AC136" s="624"/>
      <c r="AD136" s="624"/>
      <c r="AE136" s="624"/>
      <c r="AF136" s="624"/>
      <c r="AG136" s="624"/>
      <c r="AH136" s="624"/>
      <c r="AI136" s="624"/>
      <c r="AJ136" s="624"/>
      <c r="AK136" s="624"/>
    </row>
    <row r="137" spans="1:37" s="366" customFormat="1">
      <c r="A137" s="373"/>
      <c r="B137" s="374"/>
      <c r="C137" s="374"/>
      <c r="D137" s="374"/>
      <c r="E137" s="374"/>
      <c r="F137" s="374"/>
      <c r="G137" s="375"/>
      <c r="H137" s="378"/>
      <c r="I137" s="374"/>
      <c r="J137" s="385"/>
      <c r="K137" s="384"/>
      <c r="N137" s="624"/>
      <c r="O137" s="624"/>
      <c r="P137" s="624"/>
      <c r="Q137" s="624"/>
      <c r="R137" s="624"/>
      <c r="S137" s="624"/>
      <c r="T137" s="624"/>
      <c r="U137" s="624"/>
      <c r="V137" s="624"/>
      <c r="W137" s="624"/>
      <c r="X137" s="624"/>
      <c r="Y137" s="624"/>
      <c r="Z137" s="624"/>
      <c r="AA137" s="624"/>
      <c r="AB137" s="624"/>
      <c r="AC137" s="624"/>
      <c r="AD137" s="624"/>
      <c r="AE137" s="624"/>
      <c r="AF137" s="624"/>
      <c r="AG137" s="624"/>
      <c r="AH137" s="624"/>
      <c r="AI137" s="624"/>
      <c r="AJ137" s="624"/>
      <c r="AK137" s="624"/>
    </row>
    <row r="138" spans="1:37" s="386" customFormat="1" ht="17.25">
      <c r="N138" s="625"/>
      <c r="O138" s="625"/>
      <c r="P138" s="625"/>
      <c r="Q138" s="625"/>
      <c r="R138" s="625"/>
      <c r="S138" s="625"/>
      <c r="T138" s="625"/>
      <c r="U138" s="625"/>
      <c r="V138" s="625"/>
      <c r="W138" s="625"/>
      <c r="X138" s="625"/>
      <c r="Y138" s="625"/>
      <c r="Z138" s="625"/>
      <c r="AA138" s="625"/>
      <c r="AB138" s="625"/>
      <c r="AC138" s="625"/>
      <c r="AD138" s="625"/>
      <c r="AE138" s="625"/>
      <c r="AF138" s="625"/>
      <c r="AG138" s="625"/>
      <c r="AH138" s="625"/>
      <c r="AI138" s="625"/>
      <c r="AJ138" s="625"/>
      <c r="AK138" s="625"/>
    </row>
    <row r="139" spans="1:37" s="386" customFormat="1" ht="17.25">
      <c r="N139" s="625"/>
      <c r="O139" s="625"/>
      <c r="P139" s="625"/>
      <c r="Q139" s="625"/>
      <c r="R139" s="625"/>
      <c r="S139" s="625"/>
      <c r="T139" s="625"/>
      <c r="U139" s="625"/>
      <c r="V139" s="625"/>
      <c r="W139" s="625"/>
      <c r="X139" s="625"/>
      <c r="Y139" s="625"/>
      <c r="Z139" s="625"/>
      <c r="AA139" s="625"/>
      <c r="AB139" s="625"/>
      <c r="AC139" s="625"/>
      <c r="AD139" s="625"/>
      <c r="AE139" s="625"/>
      <c r="AF139" s="625"/>
      <c r="AG139" s="625"/>
      <c r="AH139" s="625"/>
      <c r="AI139" s="625"/>
      <c r="AJ139" s="625"/>
      <c r="AK139" s="625"/>
    </row>
    <row r="140" spans="1:37" s="386" customFormat="1" ht="17.25">
      <c r="N140" s="625"/>
      <c r="O140" s="625"/>
      <c r="P140" s="625"/>
      <c r="Q140" s="625"/>
      <c r="R140" s="625"/>
      <c r="S140" s="625"/>
      <c r="T140" s="625"/>
      <c r="U140" s="625"/>
      <c r="V140" s="625"/>
      <c r="W140" s="625"/>
      <c r="X140" s="625"/>
      <c r="Y140" s="625"/>
      <c r="Z140" s="625"/>
      <c r="AA140" s="625"/>
      <c r="AB140" s="625"/>
      <c r="AC140" s="625"/>
      <c r="AD140" s="625"/>
      <c r="AE140" s="625"/>
      <c r="AF140" s="625"/>
      <c r="AG140" s="625"/>
      <c r="AH140" s="625"/>
      <c r="AI140" s="625"/>
      <c r="AJ140" s="625"/>
      <c r="AK140" s="625"/>
    </row>
    <row r="141" spans="1:37" s="386" customFormat="1" ht="17.25">
      <c r="N141" s="625"/>
      <c r="O141" s="625"/>
      <c r="P141" s="625"/>
      <c r="Q141" s="625"/>
      <c r="R141" s="625"/>
      <c r="S141" s="625"/>
      <c r="T141" s="625"/>
      <c r="U141" s="625"/>
      <c r="V141" s="625"/>
      <c r="W141" s="625"/>
      <c r="X141" s="625"/>
      <c r="Y141" s="625"/>
      <c r="Z141" s="625"/>
      <c r="AA141" s="625"/>
      <c r="AB141" s="625"/>
      <c r="AC141" s="625"/>
      <c r="AD141" s="625"/>
      <c r="AE141" s="625"/>
      <c r="AF141" s="625"/>
      <c r="AG141" s="625"/>
      <c r="AH141" s="625"/>
      <c r="AI141" s="625"/>
      <c r="AJ141" s="625"/>
      <c r="AK141" s="625"/>
    </row>
    <row r="142" spans="1:37" s="386" customFormat="1" ht="17.25">
      <c r="N142" s="625"/>
      <c r="O142" s="625"/>
      <c r="P142" s="625"/>
      <c r="Q142" s="625"/>
      <c r="R142" s="625"/>
      <c r="S142" s="625"/>
      <c r="T142" s="625"/>
      <c r="U142" s="625"/>
      <c r="V142" s="625"/>
      <c r="W142" s="625"/>
      <c r="X142" s="625"/>
      <c r="Y142" s="625"/>
      <c r="Z142" s="625"/>
      <c r="AA142" s="625"/>
      <c r="AB142" s="625"/>
      <c r="AC142" s="625"/>
      <c r="AD142" s="625"/>
      <c r="AE142" s="625"/>
      <c r="AF142" s="625"/>
      <c r="AG142" s="625"/>
      <c r="AH142" s="625"/>
      <c r="AI142" s="625"/>
      <c r="AJ142" s="625"/>
      <c r="AK142" s="625"/>
    </row>
    <row r="143" spans="1:37" s="386" customFormat="1" ht="17.25">
      <c r="N143" s="625"/>
      <c r="O143" s="625"/>
      <c r="P143" s="625"/>
      <c r="Q143" s="625"/>
      <c r="R143" s="625"/>
      <c r="S143" s="625"/>
      <c r="T143" s="625"/>
      <c r="U143" s="625"/>
      <c r="V143" s="625"/>
      <c r="W143" s="625"/>
      <c r="X143" s="625"/>
      <c r="Y143" s="625"/>
      <c r="Z143" s="625"/>
      <c r="AA143" s="625"/>
      <c r="AB143" s="625"/>
      <c r="AC143" s="625"/>
      <c r="AD143" s="625"/>
      <c r="AE143" s="625"/>
      <c r="AF143" s="625"/>
      <c r="AG143" s="625"/>
      <c r="AH143" s="625"/>
      <c r="AI143" s="625"/>
      <c r="AJ143" s="625"/>
      <c r="AK143" s="625"/>
    </row>
    <row r="144" spans="1:37" s="386" customFormat="1" ht="17.25">
      <c r="N144" s="625"/>
      <c r="O144" s="625"/>
      <c r="P144" s="625"/>
      <c r="Q144" s="625"/>
      <c r="R144" s="625"/>
      <c r="S144" s="625"/>
      <c r="T144" s="625"/>
      <c r="U144" s="625"/>
      <c r="V144" s="625"/>
      <c r="W144" s="625"/>
      <c r="X144" s="625"/>
      <c r="Y144" s="625"/>
      <c r="Z144" s="625"/>
      <c r="AA144" s="625"/>
      <c r="AB144" s="625"/>
      <c r="AC144" s="625"/>
      <c r="AD144" s="625"/>
      <c r="AE144" s="625"/>
      <c r="AF144" s="625"/>
      <c r="AG144" s="625"/>
      <c r="AH144" s="625"/>
      <c r="AI144" s="625"/>
      <c r="AJ144" s="625"/>
      <c r="AK144" s="625"/>
    </row>
    <row r="145" spans="14:37" s="386" customFormat="1" ht="17.25">
      <c r="N145" s="625"/>
      <c r="O145" s="625"/>
      <c r="P145" s="625"/>
      <c r="Q145" s="625"/>
      <c r="R145" s="625"/>
      <c r="S145" s="625"/>
      <c r="T145" s="625"/>
      <c r="U145" s="625"/>
      <c r="V145" s="625"/>
      <c r="W145" s="625"/>
      <c r="X145" s="625"/>
      <c r="Y145" s="625"/>
      <c r="Z145" s="625"/>
      <c r="AA145" s="625"/>
      <c r="AB145" s="625"/>
      <c r="AC145" s="625"/>
      <c r="AD145" s="625"/>
      <c r="AE145" s="625"/>
      <c r="AF145" s="625"/>
      <c r="AG145" s="625"/>
      <c r="AH145" s="625"/>
      <c r="AI145" s="625"/>
      <c r="AJ145" s="625"/>
      <c r="AK145" s="625"/>
    </row>
    <row r="146" spans="14:37" s="386" customFormat="1" ht="17.25">
      <c r="N146" s="625"/>
      <c r="O146" s="625"/>
      <c r="P146" s="625"/>
      <c r="Q146" s="625"/>
      <c r="R146" s="625"/>
      <c r="S146" s="625"/>
      <c r="T146" s="625"/>
      <c r="U146" s="625"/>
      <c r="V146" s="625"/>
      <c r="W146" s="625"/>
      <c r="X146" s="625"/>
      <c r="Y146" s="625"/>
      <c r="Z146" s="625"/>
      <c r="AA146" s="625"/>
      <c r="AB146" s="625"/>
      <c r="AC146" s="625"/>
      <c r="AD146" s="625"/>
      <c r="AE146" s="625"/>
      <c r="AF146" s="625"/>
      <c r="AG146" s="625"/>
      <c r="AH146" s="625"/>
      <c r="AI146" s="625"/>
      <c r="AJ146" s="625"/>
      <c r="AK146" s="625"/>
    </row>
    <row r="147" spans="14:37" s="386" customFormat="1" ht="17.25">
      <c r="N147" s="625"/>
      <c r="O147" s="625"/>
      <c r="P147" s="625"/>
      <c r="Q147" s="625"/>
      <c r="R147" s="625"/>
      <c r="S147" s="625"/>
      <c r="T147" s="625"/>
      <c r="U147" s="625"/>
      <c r="V147" s="625"/>
      <c r="W147" s="625"/>
      <c r="X147" s="625"/>
      <c r="Y147" s="625"/>
      <c r="Z147" s="625"/>
      <c r="AA147" s="625"/>
      <c r="AB147" s="625"/>
      <c r="AC147" s="625"/>
      <c r="AD147" s="625"/>
      <c r="AE147" s="625"/>
      <c r="AF147" s="625"/>
      <c r="AG147" s="625"/>
      <c r="AH147" s="625"/>
      <c r="AI147" s="625"/>
      <c r="AJ147" s="625"/>
      <c r="AK147" s="625"/>
    </row>
    <row r="148" spans="14:37" s="386" customFormat="1" ht="17.25">
      <c r="N148" s="625"/>
      <c r="O148" s="625"/>
      <c r="P148" s="625"/>
      <c r="Q148" s="625"/>
      <c r="R148" s="625"/>
      <c r="S148" s="625"/>
      <c r="T148" s="625"/>
      <c r="U148" s="625"/>
      <c r="V148" s="625"/>
      <c r="W148" s="625"/>
      <c r="X148" s="625"/>
      <c r="Y148" s="625"/>
      <c r="Z148" s="625"/>
      <c r="AA148" s="625"/>
      <c r="AB148" s="625"/>
      <c r="AC148" s="625"/>
      <c r="AD148" s="625"/>
      <c r="AE148" s="625"/>
      <c r="AF148" s="625"/>
      <c r="AG148" s="625"/>
      <c r="AH148" s="625"/>
      <c r="AI148" s="625"/>
      <c r="AJ148" s="625"/>
      <c r="AK148" s="625"/>
    </row>
    <row r="149" spans="14:37" s="386" customFormat="1" ht="17.25">
      <c r="N149" s="625"/>
      <c r="O149" s="625"/>
      <c r="P149" s="625"/>
      <c r="Q149" s="625"/>
      <c r="R149" s="625"/>
      <c r="S149" s="625"/>
      <c r="T149" s="625"/>
      <c r="U149" s="625"/>
      <c r="V149" s="625"/>
      <c r="W149" s="625"/>
      <c r="X149" s="625"/>
      <c r="Y149" s="625"/>
      <c r="Z149" s="625"/>
      <c r="AA149" s="625"/>
      <c r="AB149" s="625"/>
      <c r="AC149" s="625"/>
      <c r="AD149" s="625"/>
      <c r="AE149" s="625"/>
      <c r="AF149" s="625"/>
      <c r="AG149" s="625"/>
      <c r="AH149" s="625"/>
      <c r="AI149" s="625"/>
      <c r="AJ149" s="625"/>
      <c r="AK149" s="625"/>
    </row>
    <row r="150" spans="14:37" s="386" customFormat="1" ht="17.25">
      <c r="N150" s="625"/>
      <c r="O150" s="625"/>
      <c r="P150" s="625"/>
      <c r="Q150" s="625"/>
      <c r="R150" s="625"/>
      <c r="S150" s="625"/>
      <c r="T150" s="625"/>
      <c r="U150" s="625"/>
      <c r="V150" s="625"/>
      <c r="W150" s="625"/>
      <c r="X150" s="625"/>
      <c r="Y150" s="625"/>
      <c r="Z150" s="625"/>
      <c r="AA150" s="625"/>
      <c r="AB150" s="625"/>
      <c r="AC150" s="625"/>
      <c r="AD150" s="625"/>
      <c r="AE150" s="625"/>
      <c r="AF150" s="625"/>
      <c r="AG150" s="625"/>
      <c r="AH150" s="625"/>
      <c r="AI150" s="625"/>
      <c r="AJ150" s="625"/>
      <c r="AK150" s="625"/>
    </row>
    <row r="151" spans="14:37" s="386" customFormat="1" ht="17.25">
      <c r="N151" s="625"/>
      <c r="O151" s="625"/>
      <c r="P151" s="625"/>
      <c r="Q151" s="625"/>
      <c r="R151" s="625"/>
      <c r="S151" s="625"/>
      <c r="T151" s="625"/>
      <c r="U151" s="625"/>
      <c r="V151" s="625"/>
      <c r="W151" s="625"/>
      <c r="X151" s="625"/>
      <c r="Y151" s="625"/>
      <c r="Z151" s="625"/>
      <c r="AA151" s="625"/>
      <c r="AB151" s="625"/>
      <c r="AC151" s="625"/>
      <c r="AD151" s="625"/>
      <c r="AE151" s="625"/>
      <c r="AF151" s="625"/>
      <c r="AG151" s="625"/>
      <c r="AH151" s="625"/>
      <c r="AI151" s="625"/>
      <c r="AJ151" s="625"/>
      <c r="AK151" s="625"/>
    </row>
    <row r="152" spans="14:37" s="386" customFormat="1" ht="17.25">
      <c r="N152" s="625"/>
      <c r="O152" s="625"/>
      <c r="P152" s="625"/>
      <c r="Q152" s="625"/>
      <c r="R152" s="625"/>
      <c r="S152" s="625"/>
      <c r="T152" s="625"/>
      <c r="U152" s="625"/>
      <c r="V152" s="625"/>
      <c r="W152" s="625"/>
      <c r="X152" s="625"/>
      <c r="Y152" s="625"/>
      <c r="Z152" s="625"/>
      <c r="AA152" s="625"/>
      <c r="AB152" s="625"/>
      <c r="AC152" s="625"/>
      <c r="AD152" s="625"/>
      <c r="AE152" s="625"/>
      <c r="AF152" s="625"/>
      <c r="AG152" s="625"/>
      <c r="AH152" s="625"/>
      <c r="AI152" s="625"/>
      <c r="AJ152" s="625"/>
      <c r="AK152" s="625"/>
    </row>
    <row r="153" spans="14:37" s="386" customFormat="1" ht="17.25">
      <c r="N153" s="625"/>
      <c r="O153" s="625"/>
      <c r="P153" s="625"/>
      <c r="Q153" s="625"/>
      <c r="R153" s="625"/>
      <c r="S153" s="625"/>
      <c r="T153" s="625"/>
      <c r="U153" s="625"/>
      <c r="V153" s="625"/>
      <c r="W153" s="625"/>
      <c r="X153" s="625"/>
      <c r="Y153" s="625"/>
      <c r="Z153" s="625"/>
      <c r="AA153" s="625"/>
      <c r="AB153" s="625"/>
      <c r="AC153" s="625"/>
      <c r="AD153" s="625"/>
      <c r="AE153" s="625"/>
      <c r="AF153" s="625"/>
      <c r="AG153" s="625"/>
      <c r="AH153" s="625"/>
      <c r="AI153" s="625"/>
      <c r="AJ153" s="625"/>
      <c r="AK153" s="625"/>
    </row>
    <row r="154" spans="14:37" s="386" customFormat="1" ht="17.25">
      <c r="N154" s="625"/>
      <c r="O154" s="625"/>
      <c r="P154" s="625"/>
      <c r="Q154" s="625"/>
      <c r="R154" s="625"/>
      <c r="S154" s="625"/>
      <c r="T154" s="625"/>
      <c r="U154" s="625"/>
      <c r="V154" s="625"/>
      <c r="W154" s="625"/>
      <c r="X154" s="625"/>
      <c r="Y154" s="625"/>
      <c r="Z154" s="625"/>
      <c r="AA154" s="625"/>
      <c r="AB154" s="625"/>
      <c r="AC154" s="625"/>
      <c r="AD154" s="625"/>
      <c r="AE154" s="625"/>
      <c r="AF154" s="625"/>
      <c r="AG154" s="625"/>
      <c r="AH154" s="625"/>
      <c r="AI154" s="625"/>
      <c r="AJ154" s="625"/>
      <c r="AK154" s="625"/>
    </row>
    <row r="155" spans="14:37" s="386" customFormat="1" ht="17.25">
      <c r="N155" s="625"/>
      <c r="O155" s="625"/>
      <c r="P155" s="625"/>
      <c r="Q155" s="625"/>
      <c r="R155" s="625"/>
      <c r="S155" s="625"/>
      <c r="T155" s="625"/>
      <c r="U155" s="625"/>
      <c r="V155" s="625"/>
      <c r="W155" s="625"/>
      <c r="X155" s="625"/>
      <c r="Y155" s="625"/>
      <c r="Z155" s="625"/>
      <c r="AA155" s="625"/>
      <c r="AB155" s="625"/>
      <c r="AC155" s="625"/>
      <c r="AD155" s="625"/>
      <c r="AE155" s="625"/>
      <c r="AF155" s="625"/>
      <c r="AG155" s="625"/>
      <c r="AH155" s="625"/>
      <c r="AI155" s="625"/>
      <c r="AJ155" s="625"/>
      <c r="AK155" s="625"/>
    </row>
    <row r="156" spans="14:37" s="386" customFormat="1" ht="17.25">
      <c r="N156" s="625"/>
      <c r="O156" s="625"/>
      <c r="P156" s="625"/>
      <c r="Q156" s="625"/>
      <c r="R156" s="625"/>
      <c r="S156" s="625"/>
      <c r="T156" s="625"/>
      <c r="U156" s="625"/>
      <c r="V156" s="625"/>
      <c r="W156" s="625"/>
      <c r="X156" s="625"/>
      <c r="Y156" s="625"/>
      <c r="Z156" s="625"/>
      <c r="AA156" s="625"/>
      <c r="AB156" s="625"/>
      <c r="AC156" s="625"/>
      <c r="AD156" s="625"/>
      <c r="AE156" s="625"/>
      <c r="AF156" s="625"/>
      <c r="AG156" s="625"/>
      <c r="AH156" s="625"/>
      <c r="AI156" s="625"/>
      <c r="AJ156" s="625"/>
      <c r="AK156" s="625"/>
    </row>
    <row r="157" spans="14:37" s="386" customFormat="1" ht="17.25">
      <c r="N157" s="625"/>
      <c r="O157" s="625"/>
      <c r="P157" s="625"/>
      <c r="Q157" s="625"/>
      <c r="R157" s="625"/>
      <c r="S157" s="625"/>
      <c r="T157" s="625"/>
      <c r="U157" s="625"/>
      <c r="V157" s="625"/>
      <c r="W157" s="625"/>
      <c r="X157" s="625"/>
      <c r="Y157" s="625"/>
      <c r="Z157" s="625"/>
      <c r="AA157" s="625"/>
      <c r="AB157" s="625"/>
      <c r="AC157" s="625"/>
      <c r="AD157" s="625"/>
      <c r="AE157" s="625"/>
      <c r="AF157" s="625"/>
      <c r="AG157" s="625"/>
      <c r="AH157" s="625"/>
      <c r="AI157" s="625"/>
      <c r="AJ157" s="625"/>
      <c r="AK157" s="625"/>
    </row>
    <row r="158" spans="14:37" s="386" customFormat="1" ht="17.25">
      <c r="N158" s="625"/>
      <c r="O158" s="625"/>
      <c r="P158" s="625"/>
      <c r="Q158" s="625"/>
      <c r="R158" s="625"/>
      <c r="S158" s="625"/>
      <c r="T158" s="625"/>
      <c r="U158" s="625"/>
      <c r="V158" s="625"/>
      <c r="W158" s="625"/>
      <c r="X158" s="625"/>
      <c r="Y158" s="625"/>
      <c r="Z158" s="625"/>
      <c r="AA158" s="625"/>
      <c r="AB158" s="625"/>
      <c r="AC158" s="625"/>
      <c r="AD158" s="625"/>
      <c r="AE158" s="625"/>
      <c r="AF158" s="625"/>
      <c r="AG158" s="625"/>
      <c r="AH158" s="625"/>
      <c r="AI158" s="625"/>
      <c r="AJ158" s="625"/>
      <c r="AK158" s="625"/>
    </row>
    <row r="159" spans="14:37" s="386" customFormat="1" ht="17.25">
      <c r="N159" s="625"/>
      <c r="O159" s="625"/>
      <c r="P159" s="625"/>
      <c r="Q159" s="625"/>
      <c r="R159" s="625"/>
      <c r="S159" s="625"/>
      <c r="T159" s="625"/>
      <c r="U159" s="625"/>
      <c r="V159" s="625"/>
      <c r="W159" s="625"/>
      <c r="X159" s="625"/>
      <c r="Y159" s="625"/>
      <c r="Z159" s="625"/>
      <c r="AA159" s="625"/>
      <c r="AB159" s="625"/>
      <c r="AC159" s="625"/>
      <c r="AD159" s="625"/>
      <c r="AE159" s="625"/>
      <c r="AF159" s="625"/>
      <c r="AG159" s="625"/>
      <c r="AH159" s="625"/>
      <c r="AI159" s="625"/>
      <c r="AJ159" s="625"/>
      <c r="AK159" s="625"/>
    </row>
    <row r="160" spans="14:37" s="386" customFormat="1" ht="17.25">
      <c r="N160" s="625"/>
      <c r="O160" s="625"/>
      <c r="P160" s="625"/>
      <c r="Q160" s="625"/>
      <c r="R160" s="625"/>
      <c r="S160" s="625"/>
      <c r="T160" s="625"/>
      <c r="U160" s="625"/>
      <c r="V160" s="625"/>
      <c r="W160" s="625"/>
      <c r="X160" s="625"/>
      <c r="Y160" s="625"/>
      <c r="Z160" s="625"/>
      <c r="AA160" s="625"/>
      <c r="AB160" s="625"/>
      <c r="AC160" s="625"/>
      <c r="AD160" s="625"/>
      <c r="AE160" s="625"/>
      <c r="AF160" s="625"/>
      <c r="AG160" s="625"/>
      <c r="AH160" s="625"/>
      <c r="AI160" s="625"/>
      <c r="AJ160" s="625"/>
      <c r="AK160" s="625"/>
    </row>
    <row r="161" spans="1:37" s="386" customFormat="1" ht="17.25">
      <c r="N161" s="625"/>
      <c r="O161" s="625"/>
      <c r="P161" s="625"/>
      <c r="Q161" s="625"/>
      <c r="R161" s="625"/>
      <c r="S161" s="625"/>
      <c r="T161" s="625"/>
      <c r="U161" s="625"/>
      <c r="V161" s="625"/>
      <c r="W161" s="625"/>
      <c r="X161" s="625"/>
      <c r="Y161" s="625"/>
      <c r="Z161" s="625"/>
      <c r="AA161" s="625"/>
      <c r="AB161" s="625"/>
      <c r="AC161" s="625"/>
      <c r="AD161" s="625"/>
      <c r="AE161" s="625"/>
      <c r="AF161" s="625"/>
      <c r="AG161" s="625"/>
      <c r="AH161" s="625"/>
      <c r="AI161" s="625"/>
      <c r="AJ161" s="625"/>
      <c r="AK161" s="625"/>
    </row>
    <row r="162" spans="1:37" s="386" customFormat="1" ht="17.25">
      <c r="N162" s="625"/>
      <c r="O162" s="625"/>
      <c r="P162" s="625"/>
      <c r="Q162" s="625"/>
      <c r="R162" s="625"/>
      <c r="S162" s="625"/>
      <c r="T162" s="625"/>
      <c r="U162" s="625"/>
      <c r="V162" s="625"/>
      <c r="W162" s="625"/>
      <c r="X162" s="625"/>
      <c r="Y162" s="625"/>
      <c r="Z162" s="625"/>
      <c r="AA162" s="625"/>
      <c r="AB162" s="625"/>
      <c r="AC162" s="625"/>
      <c r="AD162" s="625"/>
      <c r="AE162" s="625"/>
      <c r="AF162" s="625"/>
      <c r="AG162" s="625"/>
      <c r="AH162" s="625"/>
      <c r="AI162" s="625"/>
      <c r="AJ162" s="625"/>
      <c r="AK162" s="625"/>
    </row>
    <row r="163" spans="1:37" s="386" customFormat="1" ht="17.25">
      <c r="N163" s="625"/>
      <c r="O163" s="625"/>
      <c r="P163" s="625"/>
      <c r="Q163" s="625"/>
      <c r="R163" s="625"/>
      <c r="S163" s="625"/>
      <c r="T163" s="625"/>
      <c r="U163" s="625"/>
      <c r="V163" s="625"/>
      <c r="W163" s="625"/>
      <c r="X163" s="625"/>
      <c r="Y163" s="625"/>
      <c r="Z163" s="625"/>
      <c r="AA163" s="625"/>
      <c r="AB163" s="625"/>
      <c r="AC163" s="625"/>
      <c r="AD163" s="625"/>
      <c r="AE163" s="625"/>
      <c r="AF163" s="625"/>
      <c r="AG163" s="625"/>
      <c r="AH163" s="625"/>
      <c r="AI163" s="625"/>
      <c r="AJ163" s="625"/>
      <c r="AK163" s="625"/>
    </row>
    <row r="164" spans="1:37" s="386" customFormat="1" ht="17.25">
      <c r="N164" s="625"/>
      <c r="O164" s="625"/>
      <c r="P164" s="625"/>
      <c r="Q164" s="625"/>
      <c r="R164" s="625"/>
      <c r="S164" s="625"/>
      <c r="T164" s="625"/>
      <c r="U164" s="625"/>
      <c r="V164" s="625"/>
      <c r="W164" s="625"/>
      <c r="X164" s="625"/>
      <c r="Y164" s="625"/>
      <c r="Z164" s="625"/>
      <c r="AA164" s="625"/>
      <c r="AB164" s="625"/>
      <c r="AC164" s="625"/>
      <c r="AD164" s="625"/>
      <c r="AE164" s="625"/>
      <c r="AF164" s="625"/>
      <c r="AG164" s="625"/>
      <c r="AH164" s="625"/>
      <c r="AI164" s="625"/>
      <c r="AJ164" s="625"/>
      <c r="AK164" s="625"/>
    </row>
    <row r="165" spans="1:37" s="386" customFormat="1" ht="17.25">
      <c r="N165" s="625"/>
      <c r="O165" s="625"/>
      <c r="P165" s="625"/>
      <c r="Q165" s="625"/>
      <c r="R165" s="625"/>
      <c r="S165" s="625"/>
      <c r="T165" s="625"/>
      <c r="U165" s="625"/>
      <c r="V165" s="625"/>
      <c r="W165" s="625"/>
      <c r="X165" s="625"/>
      <c r="Y165" s="625"/>
      <c r="Z165" s="625"/>
      <c r="AA165" s="625"/>
      <c r="AB165" s="625"/>
      <c r="AC165" s="625"/>
      <c r="AD165" s="625"/>
      <c r="AE165" s="625"/>
      <c r="AF165" s="625"/>
      <c r="AG165" s="625"/>
      <c r="AH165" s="625"/>
      <c r="AI165" s="625"/>
      <c r="AJ165" s="625"/>
      <c r="AK165" s="625"/>
    </row>
    <row r="166" spans="1:37" s="386" customFormat="1" ht="17.25">
      <c r="N166" s="625"/>
      <c r="O166" s="625"/>
      <c r="P166" s="625"/>
      <c r="Q166" s="625"/>
      <c r="R166" s="625"/>
      <c r="S166" s="625"/>
      <c r="T166" s="625"/>
      <c r="U166" s="625"/>
      <c r="V166" s="625"/>
      <c r="W166" s="625"/>
      <c r="X166" s="625"/>
      <c r="Y166" s="625"/>
      <c r="Z166" s="625"/>
      <c r="AA166" s="625"/>
      <c r="AB166" s="625"/>
      <c r="AC166" s="625"/>
      <c r="AD166" s="625"/>
      <c r="AE166" s="625"/>
      <c r="AF166" s="625"/>
      <c r="AG166" s="625"/>
      <c r="AH166" s="625"/>
      <c r="AI166" s="625"/>
      <c r="AJ166" s="625"/>
      <c r="AK166" s="625"/>
    </row>
    <row r="167" spans="1:37" s="374" customFormat="1">
      <c r="A167" s="384"/>
      <c r="N167" s="626"/>
      <c r="O167" s="626"/>
      <c r="P167" s="626"/>
      <c r="Q167" s="626"/>
      <c r="R167" s="626"/>
      <c r="S167" s="626"/>
      <c r="T167" s="626"/>
      <c r="U167" s="626"/>
      <c r="V167" s="626"/>
      <c r="W167" s="626"/>
      <c r="X167" s="626"/>
      <c r="Y167" s="626"/>
      <c r="Z167" s="626"/>
      <c r="AA167" s="626"/>
      <c r="AB167" s="626"/>
      <c r="AC167" s="626"/>
      <c r="AD167" s="626"/>
      <c r="AE167" s="626"/>
      <c r="AF167" s="626"/>
      <c r="AG167" s="626"/>
      <c r="AH167" s="626"/>
      <c r="AI167" s="626"/>
      <c r="AJ167" s="626"/>
      <c r="AK167" s="626"/>
    </row>
    <row r="168" spans="1:37" s="374" customFormat="1">
      <c r="A168" s="384"/>
      <c r="N168" s="626"/>
      <c r="O168" s="626"/>
      <c r="P168" s="626"/>
      <c r="Q168" s="626"/>
      <c r="R168" s="626"/>
      <c r="S168" s="626"/>
      <c r="T168" s="626"/>
      <c r="U168" s="626"/>
      <c r="V168" s="626"/>
      <c r="W168" s="626"/>
      <c r="X168" s="626"/>
      <c r="Y168" s="626"/>
      <c r="Z168" s="626"/>
      <c r="AA168" s="626"/>
      <c r="AB168" s="626"/>
      <c r="AC168" s="626"/>
      <c r="AD168" s="626"/>
      <c r="AE168" s="626"/>
      <c r="AF168" s="626"/>
      <c r="AG168" s="626"/>
      <c r="AH168" s="626"/>
      <c r="AI168" s="626"/>
      <c r="AJ168" s="626"/>
      <c r="AK168" s="626"/>
    </row>
    <row r="169" spans="1:37" s="374" customFormat="1">
      <c r="A169" s="384"/>
      <c r="N169" s="626"/>
      <c r="O169" s="626"/>
      <c r="P169" s="626"/>
      <c r="Q169" s="626"/>
      <c r="R169" s="626"/>
      <c r="S169" s="626"/>
      <c r="T169" s="626"/>
      <c r="U169" s="626"/>
      <c r="V169" s="626"/>
      <c r="W169" s="626"/>
      <c r="X169" s="626"/>
      <c r="Y169" s="626"/>
      <c r="Z169" s="626"/>
      <c r="AA169" s="626"/>
      <c r="AB169" s="626"/>
      <c r="AC169" s="626"/>
      <c r="AD169" s="626"/>
      <c r="AE169" s="626"/>
      <c r="AF169" s="626"/>
      <c r="AG169" s="626"/>
      <c r="AH169" s="626"/>
      <c r="AI169" s="626"/>
      <c r="AJ169" s="626"/>
      <c r="AK169" s="626"/>
    </row>
    <row r="170" spans="1:37" s="374" customFormat="1">
      <c r="A170" s="384"/>
      <c r="N170" s="626"/>
      <c r="O170" s="626"/>
      <c r="P170" s="626"/>
      <c r="Q170" s="626"/>
      <c r="R170" s="626"/>
      <c r="S170" s="626"/>
      <c r="T170" s="626"/>
      <c r="U170" s="626"/>
      <c r="V170" s="626"/>
      <c r="W170" s="626"/>
      <c r="X170" s="626"/>
      <c r="Y170" s="626"/>
      <c r="Z170" s="626"/>
      <c r="AA170" s="626"/>
      <c r="AB170" s="626"/>
      <c r="AC170" s="626"/>
      <c r="AD170" s="626"/>
      <c r="AE170" s="626"/>
      <c r="AF170" s="626"/>
      <c r="AG170" s="626"/>
      <c r="AH170" s="626"/>
      <c r="AI170" s="626"/>
      <c r="AJ170" s="626"/>
      <c r="AK170" s="626"/>
    </row>
    <row r="171" spans="1:37" s="374" customFormat="1">
      <c r="A171" s="384"/>
      <c r="N171" s="626"/>
      <c r="O171" s="626"/>
      <c r="P171" s="626"/>
      <c r="Q171" s="626"/>
      <c r="R171" s="626"/>
      <c r="S171" s="626"/>
      <c r="T171" s="626"/>
      <c r="U171" s="626"/>
      <c r="V171" s="626"/>
      <c r="W171" s="626"/>
      <c r="X171" s="626"/>
      <c r="Y171" s="626"/>
      <c r="Z171" s="626"/>
      <c r="AA171" s="626"/>
      <c r="AB171" s="626"/>
      <c r="AC171" s="626"/>
      <c r="AD171" s="626"/>
      <c r="AE171" s="626"/>
      <c r="AF171" s="626"/>
      <c r="AG171" s="626"/>
      <c r="AH171" s="626"/>
      <c r="AI171" s="626"/>
      <c r="AJ171" s="626"/>
      <c r="AK171" s="626"/>
    </row>
    <row r="172" spans="1:37" s="374" customFormat="1">
      <c r="A172" s="384"/>
      <c r="N172" s="626"/>
      <c r="O172" s="626"/>
      <c r="P172" s="626"/>
      <c r="Q172" s="626"/>
      <c r="R172" s="626"/>
      <c r="S172" s="626"/>
      <c r="T172" s="626"/>
      <c r="U172" s="626"/>
      <c r="V172" s="626"/>
      <c r="W172" s="626"/>
      <c r="X172" s="626"/>
      <c r="Y172" s="626"/>
      <c r="Z172" s="626"/>
      <c r="AA172" s="626"/>
      <c r="AB172" s="626"/>
      <c r="AC172" s="626"/>
      <c r="AD172" s="626"/>
      <c r="AE172" s="626"/>
      <c r="AF172" s="626"/>
      <c r="AG172" s="626"/>
      <c r="AH172" s="626"/>
      <c r="AI172" s="626"/>
      <c r="AJ172" s="626"/>
      <c r="AK172" s="626"/>
    </row>
    <row r="173" spans="1:37" s="374" customFormat="1">
      <c r="A173" s="384"/>
      <c r="N173" s="626"/>
      <c r="O173" s="626"/>
      <c r="P173" s="626"/>
      <c r="Q173" s="626"/>
      <c r="R173" s="626"/>
      <c r="S173" s="626"/>
      <c r="T173" s="626"/>
      <c r="U173" s="626"/>
      <c r="V173" s="626"/>
      <c r="W173" s="626"/>
      <c r="X173" s="626"/>
      <c r="Y173" s="626"/>
      <c r="Z173" s="626"/>
      <c r="AA173" s="626"/>
      <c r="AB173" s="626"/>
      <c r="AC173" s="626"/>
      <c r="AD173" s="626"/>
      <c r="AE173" s="626"/>
      <c r="AF173" s="626"/>
      <c r="AG173" s="626"/>
      <c r="AH173" s="626"/>
      <c r="AI173" s="626"/>
      <c r="AJ173" s="626"/>
      <c r="AK173" s="626"/>
    </row>
    <row r="174" spans="1:37" s="374" customFormat="1">
      <c r="A174" s="384"/>
      <c r="N174" s="626"/>
      <c r="O174" s="626"/>
      <c r="P174" s="626"/>
      <c r="Q174" s="626"/>
      <c r="R174" s="626"/>
      <c r="S174" s="626"/>
      <c r="T174" s="626"/>
      <c r="U174" s="626"/>
      <c r="V174" s="626"/>
      <c r="W174" s="626"/>
      <c r="X174" s="626"/>
      <c r="Y174" s="626"/>
      <c r="Z174" s="626"/>
      <c r="AA174" s="626"/>
      <c r="AB174" s="626"/>
      <c r="AC174" s="626"/>
      <c r="AD174" s="626"/>
      <c r="AE174" s="626"/>
      <c r="AF174" s="626"/>
      <c r="AG174" s="626"/>
      <c r="AH174" s="626"/>
      <c r="AI174" s="626"/>
      <c r="AJ174" s="626"/>
      <c r="AK174" s="626"/>
    </row>
    <row r="175" spans="1:37" s="374" customFormat="1">
      <c r="A175" s="384"/>
      <c r="N175" s="626"/>
      <c r="O175" s="626"/>
      <c r="P175" s="626"/>
      <c r="Q175" s="626"/>
      <c r="R175" s="626"/>
      <c r="S175" s="626"/>
      <c r="T175" s="626"/>
      <c r="U175" s="626"/>
      <c r="V175" s="626"/>
      <c r="W175" s="626"/>
      <c r="X175" s="626"/>
      <c r="Y175" s="626"/>
      <c r="Z175" s="626"/>
      <c r="AA175" s="626"/>
      <c r="AB175" s="626"/>
      <c r="AC175" s="626"/>
      <c r="AD175" s="626"/>
      <c r="AE175" s="626"/>
      <c r="AF175" s="626"/>
      <c r="AG175" s="626"/>
      <c r="AH175" s="626"/>
      <c r="AI175" s="626"/>
      <c r="AJ175" s="626"/>
      <c r="AK175" s="626"/>
    </row>
    <row r="176" spans="1:37" s="374" customFormat="1">
      <c r="A176" s="384"/>
      <c r="N176" s="626"/>
      <c r="O176" s="626"/>
      <c r="P176" s="626"/>
      <c r="Q176" s="626"/>
      <c r="R176" s="626"/>
      <c r="S176" s="626"/>
      <c r="T176" s="626"/>
      <c r="U176" s="626"/>
      <c r="V176" s="626"/>
      <c r="W176" s="626"/>
      <c r="X176" s="626"/>
      <c r="Y176" s="626"/>
      <c r="Z176" s="626"/>
      <c r="AA176" s="626"/>
      <c r="AB176" s="626"/>
      <c r="AC176" s="626"/>
      <c r="AD176" s="626"/>
      <c r="AE176" s="626"/>
      <c r="AF176" s="626"/>
      <c r="AG176" s="626"/>
      <c r="AH176" s="626"/>
      <c r="AI176" s="626"/>
      <c r="AJ176" s="626"/>
      <c r="AK176" s="626"/>
    </row>
    <row r="177" spans="1:37" s="374" customFormat="1">
      <c r="A177" s="384"/>
      <c r="N177" s="626"/>
      <c r="O177" s="626"/>
      <c r="P177" s="626"/>
      <c r="Q177" s="626"/>
      <c r="R177" s="626"/>
      <c r="S177" s="626"/>
      <c r="T177" s="626"/>
      <c r="U177" s="626"/>
      <c r="V177" s="626"/>
      <c r="W177" s="626"/>
      <c r="X177" s="626"/>
      <c r="Y177" s="626"/>
      <c r="Z177" s="626"/>
      <c r="AA177" s="626"/>
      <c r="AB177" s="626"/>
      <c r="AC177" s="626"/>
      <c r="AD177" s="626"/>
      <c r="AE177" s="626"/>
      <c r="AF177" s="626"/>
      <c r="AG177" s="626"/>
      <c r="AH177" s="626"/>
      <c r="AI177" s="626"/>
      <c r="AJ177" s="626"/>
      <c r="AK177" s="626"/>
    </row>
    <row r="178" spans="1:37">
      <c r="F178" s="387"/>
      <c r="P178" s="587"/>
    </row>
    <row r="179" spans="1:37">
      <c r="P179" s="587"/>
    </row>
    <row r="180" spans="1:37">
      <c r="P180" s="587"/>
    </row>
    <row r="181" spans="1:37">
      <c r="P181" s="587"/>
      <c r="S181" s="627"/>
    </row>
    <row r="182" spans="1:37">
      <c r="P182" s="587"/>
    </row>
    <row r="183" spans="1:37">
      <c r="P183" s="587"/>
    </row>
    <row r="184" spans="1:37">
      <c r="P184" s="587"/>
    </row>
    <row r="185" spans="1:37">
      <c r="P185" s="628"/>
    </row>
  </sheetData>
  <mergeCells count="25">
    <mergeCell ref="Q126:R126"/>
    <mergeCell ref="V126:W126"/>
    <mergeCell ref="B1:L1"/>
    <mergeCell ref="B2:L2"/>
    <mergeCell ref="Q125:R125"/>
    <mergeCell ref="V125:W125"/>
    <mergeCell ref="C4:G4"/>
    <mergeCell ref="C7:L7"/>
    <mergeCell ref="Q122:R122"/>
    <mergeCell ref="V122:W122"/>
    <mergeCell ref="C5:G5"/>
    <mergeCell ref="B114:F114"/>
    <mergeCell ref="G18:H18"/>
    <mergeCell ref="V120:W120"/>
    <mergeCell ref="G19:H19"/>
    <mergeCell ref="T14:X14"/>
    <mergeCell ref="J4:K4"/>
    <mergeCell ref="J5:K5"/>
    <mergeCell ref="Q123:R123"/>
    <mergeCell ref="V123:W123"/>
    <mergeCell ref="Q124:R124"/>
    <mergeCell ref="V124:W124"/>
    <mergeCell ref="Q120:R120"/>
    <mergeCell ref="Q121:R121"/>
    <mergeCell ref="V121:W121"/>
  </mergeCells>
  <phoneticPr fontId="0" type="noConversion"/>
  <dataValidations disablePrompts="1" count="1">
    <dataValidation type="list" allowBlank="1" showInputMessage="1" showErrorMessage="1" sqref="O108" xr:uid="{00000000-0002-0000-0C00-000000000000}">
      <formula1>$K$76:$K$84</formula1>
    </dataValidation>
  </dataValidations>
  <pageMargins left="0.62992125984251968" right="0.23622047244094491" top="0.74803149606299213" bottom="0.74803149606299213" header="0.31496062992125984" footer="0.31496062992125984"/>
  <pageSetup paperSize="9" orientation="portrait" blackAndWhite="1" horizontalDpi="300" verticalDpi="300" r:id="rId1"/>
  <headerFooter alignWithMargins="0"/>
  <ignoredErrors>
    <ignoredError sqref="J14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9"/>
  <dimension ref="A1:AK99"/>
  <sheetViews>
    <sheetView showGridLines="0" showZeros="0" showOutlineSymbols="0" topLeftCell="A22" zoomScale="55" zoomScaleNormal="55" zoomScalePageLayoutView="70" workbookViewId="0">
      <selection activeCell="U90" sqref="U90:V90"/>
    </sheetView>
  </sheetViews>
  <sheetFormatPr defaultColWidth="10" defaultRowHeight="21.75"/>
  <cols>
    <col min="1" max="1" width="8.5703125" style="395" customWidth="1"/>
    <col min="2" max="14" width="10" style="395" customWidth="1"/>
    <col min="15" max="15" width="19.28515625" style="395" customWidth="1"/>
    <col min="16" max="16" width="17" style="395" customWidth="1"/>
    <col min="17" max="17" width="10" style="395" customWidth="1"/>
    <col min="18" max="19" width="5.42578125" style="395" customWidth="1"/>
    <col min="20" max="21" width="10" style="395" customWidth="1"/>
    <col min="22" max="22" width="12.85546875" style="395" customWidth="1"/>
    <col min="23" max="16384" width="10" style="395"/>
  </cols>
  <sheetData>
    <row r="1" spans="1:22" ht="21.75" customHeight="1">
      <c r="A1" s="392"/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  <c r="Q1" s="393"/>
      <c r="R1" s="393"/>
      <c r="S1" s="393"/>
      <c r="T1" s="393"/>
      <c r="U1" s="393"/>
      <c r="V1" s="394"/>
    </row>
    <row r="2" spans="1:22" ht="21.75" customHeight="1">
      <c r="A2" s="396"/>
      <c r="V2" s="397"/>
    </row>
    <row r="3" spans="1:22" ht="21.75" customHeight="1">
      <c r="A3" s="396"/>
      <c r="V3" s="397"/>
    </row>
    <row r="4" spans="1:22" ht="21.75" customHeight="1">
      <c r="A4" s="396"/>
      <c r="V4" s="397"/>
    </row>
    <row r="5" spans="1:22" ht="21.75" customHeight="1">
      <c r="A5" s="396"/>
      <c r="V5" s="397"/>
    </row>
    <row r="6" spans="1:22" ht="21.75" customHeight="1">
      <c r="A6" s="396"/>
      <c r="V6" s="397"/>
    </row>
    <row r="7" spans="1:22" ht="21.75" customHeight="1">
      <c r="A7" s="396"/>
      <c r="V7" s="397"/>
    </row>
    <row r="8" spans="1:22" ht="21.75" customHeight="1">
      <c r="A8" s="396"/>
      <c r="V8" s="397"/>
    </row>
    <row r="9" spans="1:22" ht="21.75" customHeight="1">
      <c r="A9" s="396"/>
      <c r="V9" s="397"/>
    </row>
    <row r="10" spans="1:22" ht="21.75" customHeight="1">
      <c r="A10" s="396"/>
      <c r="V10" s="397"/>
    </row>
    <row r="11" spans="1:22" ht="21.75" customHeight="1">
      <c r="A11" s="396"/>
      <c r="V11" s="397"/>
    </row>
    <row r="12" spans="1:22" ht="21.75" customHeight="1">
      <c r="A12" s="396"/>
      <c r="V12" s="397"/>
    </row>
    <row r="13" spans="1:22" ht="21.75" customHeight="1">
      <c r="A13" s="396"/>
      <c r="V13" s="397"/>
    </row>
    <row r="14" spans="1:22" ht="141.75">
      <c r="A14" s="646" t="str">
        <f>Data!B3</f>
        <v>ปรับปรุงถนนลาดยาง โดยวิธี Pavement In-Place Recycling</v>
      </c>
      <c r="B14" s="398"/>
      <c r="C14" s="398"/>
      <c r="D14" s="398"/>
      <c r="E14" s="398"/>
      <c r="F14" s="398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9"/>
    </row>
    <row r="15" spans="1:22" ht="60" customHeight="1">
      <c r="A15" s="400" t="s">
        <v>554</v>
      </c>
      <c r="B15" s="398"/>
      <c r="C15" s="398"/>
      <c r="D15" s="398"/>
      <c r="E15" s="398"/>
      <c r="F15" s="398"/>
      <c r="G15" s="398"/>
      <c r="H15" s="398"/>
      <c r="I15" s="398"/>
      <c r="J15" s="398"/>
      <c r="K15" s="398"/>
      <c r="L15" s="398"/>
      <c r="M15" s="398"/>
      <c r="N15" s="398"/>
      <c r="O15" s="398"/>
      <c r="P15" s="398"/>
      <c r="Q15" s="398"/>
      <c r="R15" s="398"/>
      <c r="S15" s="398"/>
      <c r="T15" s="398"/>
      <c r="U15" s="398"/>
      <c r="V15" s="399"/>
    </row>
    <row r="16" spans="1:22" ht="60" customHeight="1">
      <c r="A16" s="1422" t="str">
        <f>'ปร.4 (2)'!B5</f>
        <v>ตำบลพุแค - ตำบลห้วยบง  อำเภอเฉลิมพระเกียรติ  จังหวัดสระบุรี</v>
      </c>
      <c r="B16" s="1423"/>
      <c r="C16" s="1423"/>
      <c r="D16" s="1423"/>
      <c r="E16" s="1423"/>
      <c r="F16" s="1423"/>
      <c r="G16" s="1423"/>
      <c r="H16" s="1423"/>
      <c r="I16" s="1423"/>
      <c r="J16" s="1423"/>
      <c r="K16" s="1423"/>
      <c r="L16" s="1423"/>
      <c r="M16" s="1423"/>
      <c r="N16" s="1423"/>
      <c r="O16" s="1423"/>
      <c r="P16" s="1423"/>
      <c r="Q16" s="1423"/>
      <c r="R16" s="1423"/>
      <c r="S16" s="1423"/>
      <c r="T16" s="1423"/>
      <c r="U16" s="1423"/>
      <c r="V16" s="1424"/>
    </row>
    <row r="17" spans="1:37" ht="99.75" customHeight="1">
      <c r="A17" s="1422"/>
      <c r="B17" s="1423"/>
      <c r="C17" s="1423"/>
      <c r="D17" s="1423"/>
      <c r="E17" s="1423"/>
      <c r="F17" s="1423"/>
      <c r="G17" s="1423"/>
      <c r="H17" s="1423"/>
      <c r="I17" s="1423"/>
      <c r="J17" s="1423"/>
      <c r="K17" s="1423"/>
      <c r="L17" s="1423"/>
      <c r="M17" s="1423"/>
      <c r="N17" s="1423"/>
      <c r="O17" s="1423"/>
      <c r="P17" s="1423"/>
      <c r="Q17" s="1423"/>
      <c r="R17" s="1423"/>
      <c r="S17" s="1423"/>
      <c r="T17" s="1423"/>
      <c r="U17" s="1423"/>
      <c r="V17" s="1424"/>
    </row>
    <row r="18" spans="1:37" ht="108" customHeight="1">
      <c r="A18" s="401"/>
      <c r="B18" s="402"/>
      <c r="C18" s="402"/>
      <c r="D18" s="402"/>
      <c r="E18" s="402"/>
      <c r="F18" s="402"/>
      <c r="G18" s="402" t="s">
        <v>555</v>
      </c>
      <c r="H18" s="402"/>
      <c r="I18" s="402"/>
      <c r="J18" s="1433">
        <f>+Data!C11/1000</f>
        <v>5.8</v>
      </c>
      <c r="K18" s="1433"/>
      <c r="L18" s="402" t="s">
        <v>556</v>
      </c>
      <c r="M18" s="402"/>
      <c r="N18" s="402"/>
      <c r="O18" s="402"/>
      <c r="P18" s="402"/>
      <c r="Q18" s="402"/>
      <c r="R18" s="402"/>
      <c r="S18" s="402"/>
      <c r="T18" s="402"/>
      <c r="U18" s="402"/>
      <c r="V18" s="403"/>
    </row>
    <row r="19" spans="1:37" ht="21.75" customHeight="1">
      <c r="A19" s="396"/>
      <c r="B19" s="1434" t="e">
        <f>+'ปร.5 (2)'!#REF!</f>
        <v>#REF!</v>
      </c>
      <c r="C19" s="1434"/>
      <c r="D19" s="1434"/>
      <c r="E19" s="1434"/>
      <c r="F19" s="1434"/>
      <c r="G19" s="1434"/>
      <c r="H19" s="1434"/>
      <c r="I19" s="1434"/>
      <c r="J19" s="1434"/>
      <c r="V19" s="397"/>
    </row>
    <row r="20" spans="1:37" ht="21.75" customHeight="1">
      <c r="A20" s="396"/>
      <c r="B20" s="1434"/>
      <c r="C20" s="1434"/>
      <c r="D20" s="1434"/>
      <c r="E20" s="1434"/>
      <c r="F20" s="1434"/>
      <c r="G20" s="1434"/>
      <c r="H20" s="1434"/>
      <c r="I20" s="1434"/>
      <c r="J20" s="1434"/>
      <c r="V20" s="397"/>
    </row>
    <row r="21" spans="1:37" ht="21.75" customHeight="1">
      <c r="A21" s="396"/>
      <c r="B21" s="1449"/>
      <c r="C21" s="1449"/>
      <c r="D21" s="1449"/>
      <c r="E21" s="1449"/>
      <c r="F21" s="1449"/>
      <c r="G21" s="1449"/>
      <c r="H21" s="1449"/>
      <c r="I21" s="1449"/>
      <c r="J21" s="1449"/>
      <c r="K21" s="1449"/>
      <c r="L21" s="1449"/>
      <c r="M21" s="1449"/>
      <c r="N21" s="1449"/>
      <c r="O21" s="1449"/>
      <c r="P21" s="1449"/>
      <c r="Q21" s="1449"/>
      <c r="R21" s="1449"/>
      <c r="S21" s="1449"/>
      <c r="T21" s="1449"/>
      <c r="U21" s="1449"/>
      <c r="V21" s="1450"/>
    </row>
    <row r="22" spans="1:37" ht="21.75" customHeight="1">
      <c r="A22" s="396"/>
      <c r="B22" s="1449"/>
      <c r="C22" s="1449"/>
      <c r="D22" s="1449"/>
      <c r="E22" s="1449"/>
      <c r="F22" s="1449"/>
      <c r="G22" s="1449"/>
      <c r="H22" s="1449"/>
      <c r="I22" s="1449"/>
      <c r="J22" s="1449"/>
      <c r="K22" s="1449"/>
      <c r="L22" s="1449"/>
      <c r="M22" s="1449"/>
      <c r="N22" s="1449"/>
      <c r="O22" s="1449"/>
      <c r="P22" s="1449"/>
      <c r="Q22" s="1449"/>
      <c r="R22" s="1449"/>
      <c r="S22" s="1449"/>
      <c r="T22" s="1449"/>
      <c r="U22" s="1449"/>
      <c r="V22" s="1450"/>
    </row>
    <row r="23" spans="1:37" ht="21.75" customHeight="1" thickBot="1">
      <c r="A23" s="404"/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6"/>
    </row>
    <row r="24" spans="1:37" ht="27" customHeight="1">
      <c r="A24" s="1435" t="str">
        <f>$A$14</f>
        <v>ปรับปรุงถนนลาดยาง โดยวิธี Pavement In-Place Recycling</v>
      </c>
      <c r="B24" s="1436"/>
      <c r="C24" s="1436"/>
      <c r="D24" s="1436"/>
      <c r="E24" s="1436"/>
      <c r="F24" s="1436"/>
      <c r="G24" s="1436"/>
      <c r="H24" s="1436"/>
      <c r="I24" s="1436"/>
      <c r="J24" s="1436"/>
      <c r="K24" s="1436"/>
      <c r="L24" s="407" t="s">
        <v>590</v>
      </c>
      <c r="M24" s="408"/>
      <c r="N24" s="409"/>
      <c r="O24" s="393"/>
      <c r="P24" s="410"/>
      <c r="Q24" s="410"/>
      <c r="R24" s="411"/>
      <c r="S24" s="411"/>
      <c r="T24" s="393"/>
      <c r="U24" s="393"/>
      <c r="V24" s="394"/>
    </row>
    <row r="25" spans="1:37" ht="21.75" customHeight="1">
      <c r="A25" s="1437"/>
      <c r="B25" s="1438"/>
      <c r="C25" s="1438"/>
      <c r="D25" s="1438"/>
      <c r="E25" s="1438"/>
      <c r="F25" s="1438"/>
      <c r="G25" s="1438"/>
      <c r="H25" s="1438"/>
      <c r="I25" s="1438"/>
      <c r="J25" s="1438"/>
      <c r="K25" s="1438"/>
      <c r="L25" s="1451" t="str">
        <f>+A24</f>
        <v>ปรับปรุงถนนลาดยาง โดยวิธี Pavement In-Place Recycling</v>
      </c>
      <c r="M25" s="1451"/>
      <c r="N25" s="1451"/>
      <c r="O25" s="1451"/>
      <c r="P25" s="1451"/>
      <c r="Q25" s="1451"/>
      <c r="R25" s="1451"/>
      <c r="S25" s="581" t="str">
        <f>+B26</f>
        <v>(โดยวิธี  Pavement In-Place Recycling)</v>
      </c>
      <c r="V25" s="413"/>
    </row>
    <row r="26" spans="1:37" ht="21.75" customHeight="1">
      <c r="A26" s="414"/>
      <c r="B26" s="1448" t="s">
        <v>554</v>
      </c>
      <c r="C26" s="1448"/>
      <c r="D26" s="1448"/>
      <c r="E26" s="1448"/>
      <c r="F26" s="1448"/>
      <c r="G26" s="1448"/>
      <c r="H26" s="1448"/>
      <c r="I26" s="1448"/>
      <c r="J26" s="1448"/>
      <c r="K26" s="415"/>
      <c r="L26" s="416" t="s">
        <v>581</v>
      </c>
      <c r="M26" s="417"/>
      <c r="N26" s="416"/>
      <c r="O26" s="417"/>
      <c r="Q26" s="418"/>
      <c r="R26" s="416"/>
      <c r="S26" s="416"/>
      <c r="T26" s="412"/>
      <c r="U26" s="412"/>
      <c r="V26" s="413"/>
    </row>
    <row r="27" spans="1:37" ht="21.75" customHeight="1">
      <c r="A27" s="414"/>
      <c r="B27" s="1448"/>
      <c r="C27" s="1448"/>
      <c r="D27" s="1448"/>
      <c r="E27" s="1448"/>
      <c r="F27" s="1448"/>
      <c r="G27" s="1448"/>
      <c r="H27" s="1448"/>
      <c r="I27" s="1448"/>
      <c r="J27" s="1448"/>
      <c r="L27" s="412" t="str">
        <f>+'ปร.5 (2)'!C6</f>
        <v>ผิวจราจรกว้าง 6.00 เมตร ยาว 5,800 เมตร หนา 0.05 เมตร ไหล่ทางกว้างข้างละ 1.00 เมตร</v>
      </c>
      <c r="M27" s="412"/>
      <c r="N27" s="412"/>
      <c r="O27" s="412"/>
      <c r="P27" s="412"/>
      <c r="Q27" s="412"/>
      <c r="R27" s="412"/>
      <c r="S27" s="412"/>
      <c r="T27" s="412"/>
      <c r="U27" s="412"/>
      <c r="V27" s="413"/>
    </row>
    <row r="28" spans="1:37" ht="21.75" customHeight="1">
      <c r="A28" s="414"/>
      <c r="B28" s="1425" t="s">
        <v>899</v>
      </c>
      <c r="C28" s="1425"/>
      <c r="D28" s="1425"/>
      <c r="E28" s="1425"/>
      <c r="F28" s="1425"/>
      <c r="G28" s="1425"/>
      <c r="H28" s="1425"/>
      <c r="I28" s="1425"/>
      <c r="J28" s="1425"/>
      <c r="K28" s="415"/>
      <c r="L28" s="1411">
        <f>+'ปร.4 (2)'!J6</f>
        <v>0</v>
      </c>
      <c r="M28" s="1411"/>
      <c r="N28" s="1411"/>
      <c r="O28" s="1411"/>
      <c r="P28" s="512">
        <f>+'ปร.4 (2)'!L7</f>
        <v>0</v>
      </c>
      <c r="Q28" s="412" t="s">
        <v>33</v>
      </c>
      <c r="R28" s="412"/>
      <c r="S28" s="412"/>
      <c r="T28" s="412"/>
      <c r="U28" s="412"/>
      <c r="V28" s="413"/>
    </row>
    <row r="29" spans="1:37" ht="21.75" customHeight="1">
      <c r="A29" s="414"/>
      <c r="B29" s="1425"/>
      <c r="C29" s="1425"/>
      <c r="D29" s="1425"/>
      <c r="E29" s="1425"/>
      <c r="F29" s="1425"/>
      <c r="G29" s="1425"/>
      <c r="H29" s="1425"/>
      <c r="I29" s="1425"/>
      <c r="J29" s="1425"/>
      <c r="K29" s="415"/>
      <c r="L29" s="412" t="s">
        <v>583</v>
      </c>
      <c r="M29" s="412" t="s">
        <v>586</v>
      </c>
      <c r="N29" s="644" t="s">
        <v>601</v>
      </c>
      <c r="O29" s="412" t="s">
        <v>587</v>
      </c>
      <c r="P29" s="412"/>
      <c r="Q29" s="412" t="s">
        <v>586</v>
      </c>
      <c r="R29" s="644" t="s">
        <v>602</v>
      </c>
      <c r="S29" s="412"/>
      <c r="T29" s="412"/>
      <c r="U29" s="412"/>
      <c r="V29" s="413"/>
    </row>
    <row r="30" spans="1:37" ht="30" customHeight="1">
      <c r="A30" s="419"/>
      <c r="B30" s="1448" t="s">
        <v>534</v>
      </c>
      <c r="C30" s="1448"/>
      <c r="D30" s="1448"/>
      <c r="E30" s="1448"/>
      <c r="F30" s="1448"/>
      <c r="G30" s="1448"/>
      <c r="H30" s="1448"/>
      <c r="I30" s="1448"/>
      <c r="J30" s="1448"/>
      <c r="K30" s="420"/>
      <c r="L30" s="412" t="s">
        <v>584</v>
      </c>
      <c r="M30" s="412" t="s">
        <v>586</v>
      </c>
      <c r="N30" s="513">
        <v>0</v>
      </c>
      <c r="O30" s="412" t="s">
        <v>587</v>
      </c>
      <c r="P30" s="412"/>
      <c r="Q30" s="412" t="s">
        <v>586</v>
      </c>
      <c r="R30" s="513">
        <v>0</v>
      </c>
      <c r="S30" s="412"/>
      <c r="T30" s="412"/>
      <c r="U30" s="412"/>
      <c r="V30" s="413"/>
      <c r="AA30" s="540"/>
      <c r="AB30" s="516"/>
      <c r="AC30" s="516"/>
      <c r="AD30" s="516"/>
      <c r="AE30" s="516"/>
      <c r="AF30" s="516"/>
      <c r="AG30" s="516"/>
      <c r="AH30" s="516"/>
      <c r="AI30" s="516"/>
      <c r="AJ30" s="516"/>
      <c r="AK30" s="516"/>
    </row>
    <row r="31" spans="1:37" ht="30" customHeight="1">
      <c r="A31" s="419">
        <f>$A$17</f>
        <v>0</v>
      </c>
      <c r="B31" s="420"/>
      <c r="C31" s="420"/>
      <c r="D31" s="420"/>
      <c r="E31" s="422"/>
      <c r="F31" s="420"/>
      <c r="G31" s="421"/>
      <c r="H31" s="420"/>
      <c r="I31" s="420"/>
      <c r="J31" s="420"/>
      <c r="K31" s="420"/>
      <c r="L31" s="416" t="s">
        <v>585</v>
      </c>
      <c r="M31" s="412" t="s">
        <v>586</v>
      </c>
      <c r="N31" s="513">
        <v>0</v>
      </c>
      <c r="O31" s="412" t="s">
        <v>587</v>
      </c>
      <c r="P31" s="412"/>
      <c r="Q31" s="412" t="s">
        <v>586</v>
      </c>
      <c r="R31" s="514">
        <v>0</v>
      </c>
      <c r="S31" s="416"/>
      <c r="T31" s="412"/>
      <c r="U31" s="412"/>
      <c r="V31" s="413"/>
      <c r="AA31" s="540"/>
      <c r="AB31" s="516"/>
      <c r="AC31" s="516"/>
      <c r="AD31" s="516"/>
      <c r="AE31" s="516"/>
      <c r="AF31" s="516"/>
      <c r="AG31" s="516"/>
      <c r="AH31" s="516"/>
      <c r="AI31" s="516"/>
      <c r="AJ31" s="516"/>
      <c r="AK31" s="516"/>
    </row>
    <row r="32" spans="1:37" ht="30" customHeight="1">
      <c r="A32" s="419"/>
      <c r="B32" s="562"/>
      <c r="C32" s="563"/>
      <c r="D32" s="564"/>
      <c r="E32" s="565"/>
      <c r="F32" s="566"/>
      <c r="G32" s="564"/>
      <c r="H32" s="563"/>
      <c r="I32" s="567"/>
      <c r="J32" s="568"/>
      <c r="M32" s="412" t="s">
        <v>557</v>
      </c>
      <c r="V32" s="397"/>
      <c r="AA32" s="540"/>
      <c r="AB32" s="516"/>
      <c r="AC32" s="516"/>
      <c r="AD32" s="516"/>
      <c r="AE32" s="516"/>
      <c r="AF32" s="516"/>
      <c r="AG32" s="516"/>
      <c r="AH32" s="556"/>
      <c r="AI32" s="556"/>
      <c r="AJ32" s="516"/>
      <c r="AK32" s="516"/>
    </row>
    <row r="33" spans="1:37" ht="21.75" customHeight="1">
      <c r="A33" s="396"/>
      <c r="B33" s="569"/>
      <c r="C33" s="423"/>
      <c r="D33" s="423"/>
      <c r="E33" s="577" t="str">
        <f>+R29</f>
        <v>5+573</v>
      </c>
      <c r="F33" s="423"/>
      <c r="G33" s="423"/>
      <c r="H33" s="423"/>
      <c r="I33" s="574" t="s">
        <v>589</v>
      </c>
      <c r="J33" s="570"/>
      <c r="K33" s="423"/>
      <c r="M33" s="412" t="s">
        <v>558</v>
      </c>
      <c r="V33" s="397"/>
      <c r="AA33" s="540"/>
      <c r="AB33" s="516"/>
      <c r="AC33" s="516"/>
      <c r="AD33" s="516"/>
      <c r="AE33" s="516"/>
      <c r="AF33" s="516"/>
      <c r="AG33" s="516"/>
      <c r="AH33" s="516"/>
      <c r="AI33" s="516"/>
      <c r="AJ33" s="516"/>
      <c r="AK33" s="516"/>
    </row>
    <row r="34" spans="1:37" ht="21.75" customHeight="1">
      <c r="A34" s="396"/>
      <c r="B34" s="569"/>
      <c r="C34" s="423"/>
      <c r="D34" s="423"/>
      <c r="E34" s="423"/>
      <c r="F34" s="423"/>
      <c r="G34" s="423"/>
      <c r="H34" s="423"/>
      <c r="I34" s="423"/>
      <c r="J34" s="570"/>
      <c r="K34" s="423"/>
      <c r="M34" s="412" t="s">
        <v>559</v>
      </c>
      <c r="V34" s="397"/>
      <c r="AA34" s="540"/>
      <c r="AB34" s="516"/>
      <c r="AC34" s="516"/>
      <c r="AD34" s="516"/>
      <c r="AE34" s="516"/>
      <c r="AF34" s="516"/>
      <c r="AG34" s="557"/>
      <c r="AH34" s="557"/>
      <c r="AI34" s="516"/>
      <c r="AJ34" s="516"/>
      <c r="AK34" s="516"/>
    </row>
    <row r="35" spans="1:37" ht="21.75" customHeight="1">
      <c r="A35" s="396"/>
      <c r="B35" s="569"/>
      <c r="C35" s="423"/>
      <c r="D35" s="423"/>
      <c r="E35" s="423"/>
      <c r="F35" s="423"/>
      <c r="G35" s="423"/>
      <c r="H35" s="423"/>
      <c r="I35" s="423"/>
      <c r="J35" s="570"/>
      <c r="K35" s="423"/>
      <c r="V35" s="397"/>
      <c r="AA35" s="540"/>
      <c r="AB35" s="516"/>
      <c r="AC35" s="516"/>
      <c r="AD35" s="516"/>
      <c r="AE35" s="516"/>
      <c r="AF35" s="516"/>
      <c r="AG35" s="516"/>
      <c r="AH35" s="516"/>
      <c r="AI35" s="516"/>
      <c r="AJ35" s="516"/>
      <c r="AK35" s="516"/>
    </row>
    <row r="36" spans="1:37" ht="21.75" customHeight="1">
      <c r="A36" s="396"/>
      <c r="B36" s="569"/>
      <c r="C36" s="423"/>
      <c r="D36" s="423"/>
      <c r="E36" s="423"/>
      <c r="F36" s="423"/>
      <c r="G36" s="423"/>
      <c r="H36" s="424"/>
      <c r="I36" s="424"/>
      <c r="J36" s="570"/>
      <c r="K36" s="423"/>
      <c r="M36" s="425" t="s">
        <v>560</v>
      </c>
      <c r="N36" s="426"/>
      <c r="O36" s="426"/>
      <c r="P36" s="426"/>
      <c r="Q36" s="426"/>
      <c r="R36" s="426"/>
      <c r="S36" s="426"/>
      <c r="T36" s="426"/>
      <c r="U36" s="426"/>
      <c r="V36" s="427"/>
      <c r="AA36" s="558"/>
      <c r="AB36" s="516"/>
      <c r="AC36" s="516"/>
      <c r="AD36" s="516"/>
      <c r="AE36" s="516"/>
      <c r="AF36" s="516"/>
      <c r="AG36" s="516"/>
      <c r="AH36" s="516"/>
      <c r="AI36" s="516"/>
      <c r="AJ36" s="516"/>
      <c r="AK36" s="516"/>
    </row>
    <row r="37" spans="1:37" ht="21.75" customHeight="1">
      <c r="A37" s="396"/>
      <c r="B37" s="569"/>
      <c r="C37" s="423"/>
      <c r="D37" s="423"/>
      <c r="E37" s="423"/>
      <c r="F37" s="423"/>
      <c r="G37" s="423"/>
      <c r="H37" s="423"/>
      <c r="I37" s="423"/>
      <c r="J37" s="570"/>
      <c r="K37" s="423"/>
      <c r="M37" s="428" t="s">
        <v>561</v>
      </c>
      <c r="N37" s="429" t="s">
        <v>1</v>
      </c>
      <c r="O37" s="430"/>
      <c r="P37" s="430"/>
      <c r="Q37" s="430"/>
      <c r="R37" s="430"/>
      <c r="S37" s="430"/>
      <c r="T37" s="431"/>
      <c r="U37" s="432" t="s">
        <v>20</v>
      </c>
      <c r="V37" s="433"/>
      <c r="AA37" s="540"/>
      <c r="AB37" s="516"/>
      <c r="AC37" s="516"/>
      <c r="AD37" s="516"/>
      <c r="AE37" s="516"/>
      <c r="AF37" s="516"/>
      <c r="AG37" s="552"/>
      <c r="AH37" s="552"/>
      <c r="AI37" s="516"/>
      <c r="AJ37" s="516"/>
      <c r="AK37" s="516"/>
    </row>
    <row r="38" spans="1:37" ht="21.75" customHeight="1">
      <c r="A38" s="396"/>
      <c r="B38" s="569"/>
      <c r="C38" s="423"/>
      <c r="D38" s="423"/>
      <c r="E38" s="423"/>
      <c r="F38" s="423"/>
      <c r="G38" s="434"/>
      <c r="H38" s="434"/>
      <c r="I38" s="423"/>
      <c r="J38" s="570"/>
      <c r="K38" s="423"/>
      <c r="M38" s="435">
        <v>1</v>
      </c>
      <c r="N38" s="436" t="s">
        <v>562</v>
      </c>
      <c r="O38" s="437"/>
      <c r="P38" s="437"/>
      <c r="Q38" s="438"/>
      <c r="R38" s="438"/>
      <c r="S38" s="438"/>
      <c r="T38" s="439"/>
      <c r="U38" s="440" t="s">
        <v>563</v>
      </c>
      <c r="V38" s="441"/>
      <c r="AA38" s="540"/>
      <c r="AB38" s="516"/>
      <c r="AC38" s="516"/>
      <c r="AD38" s="516"/>
      <c r="AE38" s="516"/>
      <c r="AF38" s="516"/>
      <c r="AG38" s="552"/>
      <c r="AH38" s="516"/>
      <c r="AI38" s="516"/>
      <c r="AJ38" s="516"/>
      <c r="AK38" s="516"/>
    </row>
    <row r="39" spans="1:37" ht="21.75" customHeight="1">
      <c r="A39" s="396"/>
      <c r="B39" s="569"/>
      <c r="C39" s="423"/>
      <c r="D39" s="423"/>
      <c r="E39" s="423"/>
      <c r="F39" s="423"/>
      <c r="G39" s="423"/>
      <c r="H39" s="423"/>
      <c r="I39" s="423"/>
      <c r="J39" s="570"/>
      <c r="K39" s="423"/>
      <c r="M39" s="442">
        <v>2</v>
      </c>
      <c r="N39" s="443" t="s">
        <v>564</v>
      </c>
      <c r="O39" s="444"/>
      <c r="P39" s="444"/>
      <c r="Q39" s="445"/>
      <c r="R39" s="445"/>
      <c r="S39" s="445"/>
      <c r="T39" s="446"/>
      <c r="U39" s="447" t="s">
        <v>563</v>
      </c>
      <c r="V39" s="448"/>
      <c r="AA39" s="540"/>
      <c r="AB39" s="516"/>
      <c r="AC39" s="516"/>
      <c r="AD39" s="516"/>
      <c r="AE39" s="516"/>
      <c r="AF39" s="516"/>
      <c r="AG39" s="516"/>
      <c r="AH39" s="557"/>
      <c r="AI39" s="516"/>
      <c r="AJ39" s="516"/>
      <c r="AK39" s="516"/>
    </row>
    <row r="40" spans="1:37" ht="21.75" customHeight="1">
      <c r="A40" s="449"/>
      <c r="B40" s="569"/>
      <c r="C40" s="423"/>
      <c r="D40" s="423"/>
      <c r="E40" s="423"/>
      <c r="F40" s="423"/>
      <c r="G40" s="423"/>
      <c r="H40" s="423"/>
      <c r="I40" s="423"/>
      <c r="J40" s="570"/>
      <c r="K40" s="423"/>
      <c r="M40" s="442"/>
      <c r="N40" s="443"/>
      <c r="O40" s="450"/>
      <c r="P40" s="450"/>
      <c r="Q40" s="451"/>
      <c r="R40" s="445"/>
      <c r="S40" s="445"/>
      <c r="T40" s="446"/>
      <c r="U40" s="447"/>
      <c r="V40" s="448"/>
      <c r="AA40" s="540"/>
      <c r="AB40" s="516"/>
      <c r="AC40" s="516"/>
      <c r="AD40" s="516"/>
      <c r="AE40" s="516"/>
      <c r="AF40" s="516"/>
      <c r="AG40" s="516"/>
      <c r="AH40" s="516"/>
      <c r="AI40" s="516"/>
      <c r="AJ40" s="516"/>
      <c r="AK40" s="516"/>
    </row>
    <row r="41" spans="1:37" ht="21.75" customHeight="1">
      <c r="A41" s="396"/>
      <c r="B41" s="569"/>
      <c r="C41" s="423"/>
      <c r="D41" s="423"/>
      <c r="E41" s="423"/>
      <c r="F41" s="423"/>
      <c r="G41" s="452"/>
      <c r="H41" s="452"/>
      <c r="I41" s="423"/>
      <c r="J41" s="570"/>
      <c r="K41" s="423"/>
      <c r="M41" s="442"/>
      <c r="N41" s="443"/>
      <c r="O41" s="450"/>
      <c r="P41" s="450"/>
      <c r="Q41" s="445"/>
      <c r="R41" s="445"/>
      <c r="S41" s="445"/>
      <c r="T41" s="446"/>
      <c r="U41" s="447"/>
      <c r="V41" s="448"/>
      <c r="AA41" s="540"/>
      <c r="AB41" s="516"/>
      <c r="AC41" s="516"/>
      <c r="AD41" s="516"/>
      <c r="AE41" s="516"/>
      <c r="AF41" s="516"/>
      <c r="AG41" s="559"/>
      <c r="AH41" s="559"/>
      <c r="AI41" s="516"/>
      <c r="AJ41" s="516"/>
      <c r="AK41" s="516"/>
    </row>
    <row r="42" spans="1:37" ht="21.75" customHeight="1">
      <c r="A42" s="396"/>
      <c r="B42" s="569"/>
      <c r="C42" s="423"/>
      <c r="D42" s="423"/>
      <c r="E42" s="423"/>
      <c r="F42" s="423"/>
      <c r="G42" s="452"/>
      <c r="H42" s="423"/>
      <c r="I42" s="423"/>
      <c r="J42" s="570"/>
      <c r="K42" s="423"/>
      <c r="M42" s="442"/>
      <c r="N42" s="453"/>
      <c r="O42" s="454"/>
      <c r="P42" s="455"/>
      <c r="Q42" s="456"/>
      <c r="R42" s="456"/>
      <c r="S42" s="456"/>
      <c r="T42" s="457"/>
      <c r="U42" s="447"/>
      <c r="V42" s="448"/>
      <c r="AA42" s="540"/>
      <c r="AB42" s="516"/>
      <c r="AC42" s="516"/>
      <c r="AD42" s="516"/>
      <c r="AE42" s="516"/>
      <c r="AF42" s="516"/>
      <c r="AG42" s="516"/>
      <c r="AH42" s="516"/>
      <c r="AI42" s="516"/>
      <c r="AJ42" s="516"/>
      <c r="AK42" s="516"/>
    </row>
    <row r="43" spans="1:37" ht="21.75" customHeight="1">
      <c r="A43" s="396"/>
      <c r="B43" s="569"/>
      <c r="C43" s="423"/>
      <c r="D43" s="423"/>
      <c r="E43" s="423"/>
      <c r="F43" s="423"/>
      <c r="G43" s="423"/>
      <c r="H43" s="434"/>
      <c r="I43" s="423"/>
      <c r="J43" s="570"/>
      <c r="K43" s="423"/>
      <c r="M43" s="458"/>
      <c r="N43" s="459"/>
      <c r="O43" s="460"/>
      <c r="P43" s="460"/>
      <c r="Q43" s="438"/>
      <c r="R43" s="438"/>
      <c r="S43" s="438"/>
      <c r="T43" s="438"/>
      <c r="U43" s="440"/>
      <c r="V43" s="441"/>
      <c r="AA43" s="540"/>
      <c r="AB43" s="516"/>
      <c r="AC43" s="516"/>
      <c r="AD43" s="516"/>
      <c r="AE43" s="516"/>
      <c r="AF43" s="516"/>
      <c r="AG43" s="516"/>
      <c r="AH43" s="516"/>
      <c r="AI43" s="516"/>
      <c r="AJ43" s="516"/>
      <c r="AK43" s="516"/>
    </row>
    <row r="44" spans="1:37" ht="21.75" customHeight="1">
      <c r="A44" s="396"/>
      <c r="B44" s="569"/>
      <c r="C44" s="423"/>
      <c r="D44" s="423"/>
      <c r="E44" s="423"/>
      <c r="F44" s="423"/>
      <c r="G44" s="423"/>
      <c r="H44" s="423"/>
      <c r="I44" s="423"/>
      <c r="J44" s="570"/>
      <c r="K44" s="423"/>
      <c r="V44" s="397"/>
      <c r="AA44" s="540"/>
      <c r="AB44" s="516"/>
      <c r="AC44" s="516"/>
      <c r="AD44" s="516"/>
      <c r="AE44" s="516"/>
      <c r="AF44" s="516"/>
      <c r="AG44" s="516"/>
      <c r="AH44" s="516"/>
      <c r="AI44" s="516"/>
      <c r="AJ44" s="516"/>
      <c r="AK44" s="516"/>
    </row>
    <row r="45" spans="1:37" ht="21.75" customHeight="1">
      <c r="A45" s="396"/>
      <c r="B45" s="569"/>
      <c r="C45" s="423"/>
      <c r="D45" s="423"/>
      <c r="E45" s="423"/>
      <c r="F45" s="423"/>
      <c r="G45" s="461"/>
      <c r="H45" s="461"/>
      <c r="I45" s="423"/>
      <c r="J45" s="570"/>
      <c r="K45" s="423"/>
      <c r="L45" s="462"/>
      <c r="M45" s="463" t="s">
        <v>565</v>
      </c>
      <c r="N45" s="464"/>
      <c r="O45" s="450"/>
      <c r="P45" s="450"/>
      <c r="Q45" s="445"/>
      <c r="R45" s="445"/>
      <c r="S45" s="445"/>
      <c r="T45" s="445"/>
      <c r="U45" s="447"/>
      <c r="V45" s="448"/>
      <c r="AA45" s="540"/>
      <c r="AB45" s="516"/>
      <c r="AC45" s="516"/>
      <c r="AD45" s="516"/>
      <c r="AE45" s="516"/>
      <c r="AF45" s="516"/>
      <c r="AG45" s="516"/>
      <c r="AH45" s="516"/>
      <c r="AI45" s="516"/>
      <c r="AJ45" s="516"/>
      <c r="AK45" s="516"/>
    </row>
    <row r="46" spans="1:37" ht="21.75" customHeight="1">
      <c r="A46" s="396"/>
      <c r="B46" s="569"/>
      <c r="C46" s="423"/>
      <c r="D46" s="423"/>
      <c r="E46" s="423"/>
      <c r="F46" s="423"/>
      <c r="G46" s="423"/>
      <c r="H46" s="423"/>
      <c r="I46" s="423"/>
      <c r="J46" s="570"/>
      <c r="K46" s="423"/>
      <c r="L46" s="645" t="str">
        <f>+N29</f>
        <v>4+000</v>
      </c>
      <c r="M46" s="465" t="s">
        <v>566</v>
      </c>
      <c r="N46" s="464"/>
      <c r="O46" s="464"/>
      <c r="P46" s="464"/>
      <c r="Q46" s="445"/>
      <c r="R46" s="445"/>
      <c r="S46" s="445"/>
      <c r="T46" s="445"/>
      <c r="U46" s="447"/>
      <c r="V46" s="448"/>
      <c r="AA46" s="560"/>
      <c r="AB46" s="516"/>
      <c r="AC46" s="516"/>
      <c r="AD46" s="516"/>
      <c r="AE46" s="516"/>
      <c r="AF46" s="516"/>
      <c r="AG46" s="516"/>
      <c r="AH46" s="516"/>
      <c r="AI46" s="516"/>
      <c r="AJ46" s="516"/>
      <c r="AK46" s="516"/>
    </row>
    <row r="47" spans="1:37" ht="21.75" customHeight="1">
      <c r="A47" s="396"/>
      <c r="B47" s="569"/>
      <c r="C47" s="423"/>
      <c r="D47" s="423"/>
      <c r="E47" s="423"/>
      <c r="F47" s="423"/>
      <c r="G47" s="423"/>
      <c r="H47" s="423"/>
      <c r="I47" s="423"/>
      <c r="J47" s="575" t="str">
        <f>+N29</f>
        <v>4+000</v>
      </c>
      <c r="K47" s="423"/>
      <c r="L47" s="462"/>
      <c r="M47" s="465"/>
      <c r="N47" s="464"/>
      <c r="O47" s="464"/>
      <c r="P47" s="464"/>
      <c r="Q47" s="445"/>
      <c r="R47" s="445"/>
      <c r="S47" s="445"/>
      <c r="T47" s="445"/>
      <c r="U47" s="447"/>
      <c r="V47" s="448"/>
      <c r="AA47" s="540"/>
      <c r="AB47" s="517"/>
      <c r="AC47" s="517"/>
      <c r="AD47" s="517"/>
      <c r="AE47" s="517"/>
      <c r="AF47" s="517"/>
      <c r="AG47" s="517"/>
      <c r="AH47" s="517"/>
      <c r="AI47" s="517"/>
      <c r="AJ47" s="517"/>
      <c r="AK47" s="517"/>
    </row>
    <row r="48" spans="1:37" ht="21.75" customHeight="1" thickBot="1">
      <c r="A48" s="396"/>
      <c r="B48" s="569"/>
      <c r="C48" s="423"/>
      <c r="D48" s="423"/>
      <c r="E48" s="423"/>
      <c r="F48" s="423"/>
      <c r="G48" s="423"/>
      <c r="H48" s="423"/>
      <c r="I48" s="423"/>
      <c r="J48" s="570"/>
      <c r="K48" s="423"/>
      <c r="L48" s="462"/>
      <c r="M48" s="451"/>
      <c r="N48" s="464"/>
      <c r="O48" s="464"/>
      <c r="P48" s="464"/>
      <c r="Q48" s="445"/>
      <c r="R48" s="445"/>
      <c r="S48" s="445"/>
      <c r="T48" s="445"/>
      <c r="U48" s="447"/>
      <c r="V48" s="448"/>
      <c r="AA48" s="540"/>
      <c r="AB48" s="561" t="s">
        <v>562</v>
      </c>
      <c r="AC48" s="561"/>
      <c r="AD48" s="561"/>
      <c r="AE48" s="561"/>
      <c r="AF48" s="561"/>
      <c r="AG48" s="561"/>
      <c r="AH48" s="561"/>
      <c r="AI48" s="561"/>
      <c r="AJ48" s="561"/>
      <c r="AK48" s="517"/>
    </row>
    <row r="49" spans="1:22" ht="21.75" customHeight="1">
      <c r="A49" s="396"/>
      <c r="B49" s="569"/>
      <c r="C49" s="423"/>
      <c r="D49" s="423"/>
      <c r="E49" s="423"/>
      <c r="F49" s="423"/>
      <c r="G49" s="423"/>
      <c r="H49" s="423"/>
      <c r="I49" s="423"/>
      <c r="J49" s="570"/>
      <c r="K49" s="423"/>
      <c r="L49" s="412"/>
      <c r="M49" s="1426" t="str">
        <f>+B30</f>
        <v>องค์การบริหารส่วนจังหวัดสระบุรี</v>
      </c>
      <c r="N49" s="1427"/>
      <c r="O49" s="1427"/>
      <c r="P49" s="1427"/>
      <c r="Q49" s="1427"/>
      <c r="R49" s="1427"/>
      <c r="S49" s="1427"/>
      <c r="T49" s="1427"/>
      <c r="U49" s="1427"/>
      <c r="V49" s="1428"/>
    </row>
    <row r="50" spans="1:22" ht="21.75" customHeight="1" thickBot="1">
      <c r="A50" s="466"/>
      <c r="B50" s="569"/>
      <c r="C50" s="423"/>
      <c r="D50" s="423"/>
      <c r="E50" s="423"/>
      <c r="F50" s="423"/>
      <c r="G50" s="423"/>
      <c r="H50" s="423"/>
      <c r="I50" s="423"/>
      <c r="J50" s="570"/>
      <c r="K50" s="423"/>
      <c r="L50" s="412"/>
      <c r="M50" s="1429"/>
      <c r="N50" s="1430"/>
      <c r="O50" s="1430"/>
      <c r="P50" s="1430"/>
      <c r="Q50" s="1430"/>
      <c r="R50" s="1430"/>
      <c r="S50" s="1430"/>
      <c r="T50" s="1430"/>
      <c r="U50" s="1430"/>
      <c r="V50" s="1431"/>
    </row>
    <row r="51" spans="1:22" ht="21.75" customHeight="1" thickTop="1">
      <c r="A51" s="396"/>
      <c r="B51" s="571"/>
      <c r="C51" s="572"/>
      <c r="D51" s="572"/>
      <c r="E51" s="572"/>
      <c r="F51" s="572"/>
      <c r="G51" s="572"/>
      <c r="H51" s="572"/>
      <c r="I51" s="572"/>
      <c r="J51" s="573"/>
      <c r="L51" s="467"/>
      <c r="M51" s="1439" t="str">
        <f>+A14</f>
        <v>ปรับปรุงถนนลาดยาง โดยวิธี Pavement In-Place Recycling</v>
      </c>
      <c r="N51" s="1440"/>
      <c r="O51" s="1440"/>
      <c r="P51" s="1440"/>
      <c r="Q51" s="1440"/>
      <c r="R51" s="1441"/>
      <c r="S51" s="500"/>
      <c r="T51" s="499"/>
      <c r="U51" s="1416"/>
      <c r="V51" s="1417"/>
    </row>
    <row r="52" spans="1:22" ht="21.75" customHeight="1">
      <c r="A52" s="396"/>
      <c r="B52" s="468"/>
      <c r="C52" s="468"/>
      <c r="D52" s="468"/>
      <c r="E52" s="468"/>
      <c r="F52" s="468"/>
      <c r="G52" s="468"/>
      <c r="H52" s="468"/>
      <c r="I52" s="468"/>
      <c r="J52" s="468"/>
      <c r="L52" s="467"/>
      <c r="M52" s="1403" t="str">
        <f>+A16</f>
        <v>ตำบลพุแค - ตำบลห้วยบง  อำเภอเฉลิมพระเกียรติ  จังหวัดสระบุรี</v>
      </c>
      <c r="N52" s="1404"/>
      <c r="O52" s="1404"/>
      <c r="P52" s="1404"/>
      <c r="Q52" s="1404"/>
      <c r="R52" s="1405"/>
      <c r="S52" s="469"/>
      <c r="T52" s="470" t="s">
        <v>567</v>
      </c>
      <c r="U52" s="1399" t="str">
        <f>+Data!I5</f>
        <v>นายพงศกร  เพชรประดับ</v>
      </c>
      <c r="V52" s="1400"/>
    </row>
    <row r="53" spans="1:22" ht="21.75" customHeight="1">
      <c r="A53" s="1442" t="s">
        <v>562</v>
      </c>
      <c r="B53" s="1443"/>
      <c r="C53" s="1443"/>
      <c r="D53" s="1443"/>
      <c r="E53" s="1443"/>
      <c r="F53" s="1443"/>
      <c r="G53" s="1443"/>
      <c r="H53" s="1443"/>
      <c r="I53" s="1443"/>
      <c r="J53" s="1443"/>
      <c r="L53" s="472"/>
      <c r="M53" s="1406"/>
      <c r="N53" s="1407"/>
      <c r="O53" s="1407"/>
      <c r="P53" s="1407"/>
      <c r="Q53" s="1407"/>
      <c r="R53" s="1408"/>
      <c r="S53" s="501"/>
      <c r="T53" s="502"/>
      <c r="U53" s="1412"/>
      <c r="V53" s="1413"/>
    </row>
    <row r="54" spans="1:22" ht="21.75" customHeight="1">
      <c r="A54" s="1442"/>
      <c r="B54" s="1443"/>
      <c r="C54" s="1443"/>
      <c r="D54" s="1443"/>
      <c r="E54" s="1443"/>
      <c r="F54" s="1443"/>
      <c r="G54" s="1443"/>
      <c r="H54" s="1443"/>
      <c r="I54" s="1443"/>
      <c r="J54" s="1443"/>
      <c r="L54" s="472"/>
      <c r="M54" s="475" t="s">
        <v>569</v>
      </c>
      <c r="N54" s="476"/>
      <c r="O54" s="476"/>
      <c r="P54" s="476"/>
      <c r="Q54" s="477"/>
      <c r="R54" s="478"/>
      <c r="S54" s="469"/>
      <c r="T54" s="470" t="s">
        <v>568</v>
      </c>
      <c r="U54" s="1399" t="str">
        <f>+U52</f>
        <v>นายพงศกร  เพชรประดับ</v>
      </c>
      <c r="V54" s="1400"/>
    </row>
    <row r="55" spans="1:22" ht="21.75" customHeight="1">
      <c r="A55" s="1442"/>
      <c r="B55" s="1443"/>
      <c r="C55" s="1443"/>
      <c r="D55" s="1443"/>
      <c r="E55" s="1443"/>
      <c r="F55" s="1443"/>
      <c r="G55" s="1443"/>
      <c r="H55" s="1443"/>
      <c r="I55" s="1443"/>
      <c r="J55" s="1443"/>
      <c r="L55" s="472"/>
      <c r="M55" s="480" t="s">
        <v>562</v>
      </c>
      <c r="N55" s="481"/>
      <c r="O55" s="481"/>
      <c r="P55" s="481"/>
      <c r="Q55" s="482"/>
      <c r="R55" s="473"/>
      <c r="S55" s="503"/>
      <c r="T55" s="502"/>
      <c r="U55" s="1412"/>
      <c r="V55" s="1413"/>
    </row>
    <row r="56" spans="1:22" ht="21.75" customHeight="1">
      <c r="A56" s="1442"/>
      <c r="B56" s="1443"/>
      <c r="C56" s="1443"/>
      <c r="D56" s="1443"/>
      <c r="E56" s="1443"/>
      <c r="F56" s="1443"/>
      <c r="G56" s="1443"/>
      <c r="H56" s="1443"/>
      <c r="I56" s="1443"/>
      <c r="J56" s="1443"/>
      <c r="L56" s="467"/>
      <c r="M56" s="483"/>
      <c r="N56" s="473"/>
      <c r="O56" s="473"/>
      <c r="P56" s="473"/>
      <c r="Q56" s="482"/>
      <c r="R56" s="473"/>
      <c r="S56" s="1414" t="s">
        <v>582</v>
      </c>
      <c r="T56" s="1415"/>
      <c r="U56" s="1399" t="str">
        <f>+Data!I6</f>
        <v>นายมานิตย์  ชูศรีจันทร์</v>
      </c>
      <c r="V56" s="1400"/>
    </row>
    <row r="57" spans="1:22" ht="21.75" customHeight="1">
      <c r="A57" s="396"/>
      <c r="L57" s="467"/>
      <c r="M57" s="471"/>
      <c r="N57" s="492"/>
      <c r="O57" s="492"/>
      <c r="P57" s="492"/>
      <c r="Q57" s="506"/>
      <c r="R57" s="492"/>
      <c r="S57" s="1444" t="s">
        <v>683</v>
      </c>
      <c r="T57" s="1445"/>
      <c r="U57" s="505"/>
      <c r="V57" s="479"/>
    </row>
    <row r="58" spans="1:22" ht="21.75" customHeight="1">
      <c r="A58" s="396"/>
      <c r="L58" s="467"/>
      <c r="M58" s="471"/>
      <c r="N58" s="492"/>
      <c r="O58" s="492"/>
      <c r="P58" s="492"/>
      <c r="Q58" s="506"/>
      <c r="R58" s="492"/>
      <c r="S58" s="1446"/>
      <c r="T58" s="1447"/>
      <c r="U58" s="1399" t="s">
        <v>605</v>
      </c>
      <c r="V58" s="1400"/>
    </row>
    <row r="59" spans="1:22" ht="21.75" customHeight="1">
      <c r="A59" s="396"/>
      <c r="L59" s="467"/>
      <c r="M59" s="471"/>
      <c r="N59" s="492"/>
      <c r="O59" s="492"/>
      <c r="P59" s="492"/>
      <c r="Q59" s="506"/>
      <c r="R59" s="492"/>
      <c r="S59" s="503"/>
      <c r="T59" s="502"/>
      <c r="U59" s="504"/>
      <c r="V59" s="508"/>
    </row>
    <row r="60" spans="1:22" ht="21.75" customHeight="1">
      <c r="A60" s="396"/>
      <c r="L60" s="467"/>
      <c r="M60" s="471"/>
      <c r="N60" s="492"/>
      <c r="O60" s="492"/>
      <c r="P60" s="492"/>
      <c r="Q60" s="506"/>
      <c r="R60" s="492"/>
      <c r="S60" s="1399" t="s">
        <v>423</v>
      </c>
      <c r="T60" s="1408"/>
      <c r="U60" s="1399" t="str">
        <f>+Data!I8</f>
        <v>นางสรารัตน์ สุขมะดัน</v>
      </c>
      <c r="V60" s="1400"/>
    </row>
    <row r="61" spans="1:22" ht="21.75" customHeight="1" thickBot="1">
      <c r="A61" s="404"/>
      <c r="B61" s="405"/>
      <c r="C61" s="405"/>
      <c r="D61" s="405"/>
      <c r="E61" s="405"/>
      <c r="F61" s="405"/>
      <c r="G61" s="405"/>
      <c r="H61" s="405"/>
      <c r="I61" s="405"/>
      <c r="J61" s="405"/>
      <c r="K61" s="405"/>
      <c r="L61" s="507"/>
      <c r="M61" s="509"/>
      <c r="N61" s="509"/>
      <c r="O61" s="1432" t="s">
        <v>588</v>
      </c>
      <c r="P61" s="1432"/>
      <c r="Q61" s="1432" t="s">
        <v>570</v>
      </c>
      <c r="R61" s="1432"/>
      <c r="S61" s="510"/>
      <c r="T61" s="510"/>
      <c r="U61" s="509"/>
      <c r="V61" s="511"/>
    </row>
    <row r="62" spans="1:22" ht="36">
      <c r="A62" s="484">
        <f>$A$30</f>
        <v>0</v>
      </c>
      <c r="B62" s="485"/>
      <c r="C62" s="485"/>
      <c r="D62" s="485"/>
      <c r="E62" s="485"/>
      <c r="F62" s="486"/>
      <c r="G62" s="486"/>
      <c r="H62" s="486"/>
      <c r="I62" s="486"/>
      <c r="J62" s="486"/>
      <c r="K62" s="486"/>
      <c r="L62" s="486"/>
      <c r="M62" s="486"/>
      <c r="N62" s="486"/>
      <c r="O62" s="486"/>
      <c r="P62" s="486"/>
      <c r="Q62" s="486"/>
      <c r="R62" s="485"/>
      <c r="S62" s="485"/>
      <c r="T62" s="485"/>
      <c r="U62" s="485"/>
      <c r="V62" s="487"/>
    </row>
    <row r="63" spans="1:22" ht="36">
      <c r="A63" s="576">
        <f>$A$31</f>
        <v>0</v>
      </c>
      <c r="B63" s="474"/>
      <c r="C63" s="474"/>
      <c r="D63" s="474"/>
      <c r="E63" s="474"/>
      <c r="F63" s="415"/>
      <c r="G63" s="415"/>
      <c r="H63" s="415"/>
      <c r="I63" s="415"/>
      <c r="J63" s="415"/>
      <c r="K63" s="415" t="str">
        <f>A24</f>
        <v>ปรับปรุงถนนลาดยาง โดยวิธี Pavement In-Place Recycling</v>
      </c>
      <c r="L63" s="415"/>
      <c r="M63" s="415"/>
      <c r="N63" s="415"/>
      <c r="O63" s="415"/>
      <c r="P63" s="415"/>
      <c r="Q63" s="415"/>
      <c r="R63" s="474"/>
      <c r="S63" s="474"/>
      <c r="T63" s="474"/>
      <c r="U63" s="474"/>
      <c r="V63" s="554"/>
    </row>
    <row r="64" spans="1:22" ht="36">
      <c r="A64" s="488"/>
      <c r="B64" s="423"/>
      <c r="C64" s="423"/>
      <c r="D64" s="423"/>
      <c r="E64" s="423"/>
      <c r="F64" s="489"/>
      <c r="G64" s="489"/>
      <c r="H64" s="489"/>
      <c r="I64" s="489"/>
      <c r="J64" s="422" t="s">
        <v>555</v>
      </c>
      <c r="K64" s="1418">
        <f>+J18</f>
        <v>5.8</v>
      </c>
      <c r="L64" s="1418"/>
      <c r="M64" s="421" t="s">
        <v>556</v>
      </c>
      <c r="N64" s="489"/>
      <c r="O64" s="489"/>
      <c r="P64" s="489"/>
      <c r="Q64" s="489"/>
      <c r="R64" s="423"/>
      <c r="S64" s="423"/>
      <c r="T64" s="423"/>
      <c r="U64" s="423"/>
      <c r="V64" s="490"/>
    </row>
    <row r="65" spans="1:22" ht="21.75" customHeight="1">
      <c r="A65" s="515"/>
      <c r="B65" s="516"/>
      <c r="C65" s="516"/>
      <c r="D65" s="516"/>
      <c r="E65" s="516"/>
      <c r="F65" s="516"/>
      <c r="G65" s="516"/>
      <c r="H65" s="516"/>
      <c r="I65" s="516"/>
      <c r="J65" s="1419">
        <f>(F67+O67)+J67</f>
        <v>8</v>
      </c>
      <c r="K65" s="1420"/>
      <c r="L65" s="578"/>
      <c r="M65" s="516"/>
      <c r="N65" s="516"/>
      <c r="O65" s="516"/>
      <c r="P65" s="516"/>
      <c r="Q65" s="516"/>
      <c r="R65" s="516"/>
      <c r="S65" s="516"/>
      <c r="T65" s="516"/>
      <c r="U65" s="517"/>
      <c r="V65" s="518"/>
    </row>
    <row r="66" spans="1:22" ht="21.75" customHeight="1">
      <c r="A66" s="519"/>
      <c r="B66" s="516"/>
      <c r="C66" s="516"/>
      <c r="D66" s="516"/>
      <c r="E66" s="516"/>
      <c r="F66" s="516"/>
      <c r="G66" s="516"/>
      <c r="H66" s="516"/>
      <c r="I66" s="516"/>
      <c r="J66" s="578"/>
      <c r="K66" s="578"/>
      <c r="L66" s="578"/>
      <c r="M66" s="516"/>
      <c r="N66" s="516"/>
      <c r="O66" s="516"/>
      <c r="P66" s="516"/>
      <c r="Q66" s="516"/>
      <c r="R66" s="516"/>
      <c r="S66" s="516"/>
      <c r="T66" s="516"/>
      <c r="U66" s="517"/>
      <c r="V66" s="518"/>
    </row>
    <row r="67" spans="1:22" ht="21.75" customHeight="1">
      <c r="A67" s="519"/>
      <c r="B67" s="516"/>
      <c r="C67" s="516"/>
      <c r="D67" s="516"/>
      <c r="E67" s="516"/>
      <c r="F67" s="578">
        <f>+Data!C13</f>
        <v>1</v>
      </c>
      <c r="G67" s="520"/>
      <c r="H67" s="521"/>
      <c r="I67" s="521"/>
      <c r="J67" s="1421">
        <f>+Data!C10</f>
        <v>6</v>
      </c>
      <c r="K67" s="1421"/>
      <c r="L67" s="520"/>
      <c r="M67" s="521"/>
      <c r="N67" s="521"/>
      <c r="O67" s="578">
        <f>+Data!C13</f>
        <v>1</v>
      </c>
      <c r="P67" s="520"/>
      <c r="Q67" s="516"/>
      <c r="R67" s="516"/>
      <c r="S67" s="516"/>
      <c r="T67" s="516"/>
      <c r="U67" s="517"/>
      <c r="V67" s="518"/>
    </row>
    <row r="68" spans="1:22" ht="21.75" customHeight="1">
      <c r="A68" s="522"/>
      <c r="B68" s="523"/>
      <c r="C68" s="523"/>
      <c r="D68" s="516"/>
      <c r="E68" s="516"/>
      <c r="F68" s="520"/>
      <c r="G68" s="520"/>
      <c r="H68" s="524"/>
      <c r="I68" s="521"/>
      <c r="J68" s="520"/>
      <c r="K68" s="520"/>
      <c r="L68" s="520"/>
      <c r="M68" s="524"/>
      <c r="N68" s="524"/>
      <c r="O68" s="520"/>
      <c r="P68" s="520"/>
      <c r="Q68" s="516"/>
      <c r="R68" s="516"/>
      <c r="S68" s="516"/>
      <c r="T68" s="516"/>
      <c r="U68" s="517"/>
      <c r="V68" s="518"/>
    </row>
    <row r="69" spans="1:22" ht="21.75" customHeight="1">
      <c r="A69" s="525"/>
      <c r="B69" s="579"/>
      <c r="C69" s="516"/>
      <c r="D69" s="1409" t="s">
        <v>571</v>
      </c>
      <c r="E69" s="1410"/>
      <c r="F69" s="516"/>
      <c r="G69" s="526" t="s">
        <v>572</v>
      </c>
      <c r="H69" s="516"/>
      <c r="I69" s="527" t="s">
        <v>572</v>
      </c>
      <c r="J69" s="528"/>
      <c r="K69" s="528"/>
      <c r="L69" s="526" t="s">
        <v>572</v>
      </c>
      <c r="M69" s="516"/>
      <c r="N69" s="529"/>
      <c r="O69" s="530">
        <v>2.5000000000000001E-2</v>
      </c>
      <c r="P69" s="516"/>
      <c r="Q69" s="516"/>
      <c r="R69" s="516"/>
      <c r="S69" s="516"/>
      <c r="T69" s="516"/>
      <c r="U69" s="517"/>
      <c r="V69" s="518"/>
    </row>
    <row r="70" spans="1:22" ht="21.75" customHeight="1">
      <c r="A70" s="519"/>
      <c r="B70" s="516"/>
      <c r="C70" s="516"/>
      <c r="D70" s="1410"/>
      <c r="E70" s="1410"/>
      <c r="F70" s="531"/>
      <c r="G70" s="516"/>
      <c r="H70" s="516"/>
      <c r="I70" s="516"/>
      <c r="J70" s="516"/>
      <c r="K70" s="516"/>
      <c r="L70" s="516"/>
      <c r="M70" s="516"/>
      <c r="N70" s="532"/>
      <c r="O70" s="532"/>
      <c r="P70" s="533"/>
      <c r="Q70" s="1458" t="s">
        <v>571</v>
      </c>
      <c r="R70" s="580"/>
      <c r="S70" s="534"/>
      <c r="T70" s="516"/>
      <c r="U70" s="517"/>
      <c r="V70" s="518"/>
    </row>
    <row r="71" spans="1:22" ht="21.75" customHeight="1">
      <c r="A71" s="519"/>
      <c r="B71" s="516"/>
      <c r="C71" s="535"/>
      <c r="D71" s="1410"/>
      <c r="E71" s="1410"/>
      <c r="F71" s="516"/>
      <c r="G71" s="516"/>
      <c r="H71" s="516"/>
      <c r="I71" s="516"/>
      <c r="J71" s="516"/>
      <c r="K71" s="516"/>
      <c r="L71" s="516"/>
      <c r="M71" s="516"/>
      <c r="N71" s="516"/>
      <c r="O71" s="533"/>
      <c r="P71" s="533"/>
      <c r="Q71" s="1458"/>
      <c r="R71" s="580"/>
      <c r="S71" s="534"/>
      <c r="T71" s="536"/>
      <c r="U71" s="517"/>
      <c r="V71" s="518"/>
    </row>
    <row r="72" spans="1:22" ht="21.75" customHeight="1">
      <c r="A72" s="537" t="s">
        <v>573</v>
      </c>
      <c r="B72" s="538"/>
      <c r="C72" s="538"/>
      <c r="D72" s="538"/>
      <c r="E72" s="516"/>
      <c r="F72" s="516"/>
      <c r="G72" s="516"/>
      <c r="H72" s="516"/>
      <c r="I72" s="516"/>
      <c r="J72" s="516"/>
      <c r="K72" s="516"/>
      <c r="L72" s="516"/>
      <c r="M72" s="516"/>
      <c r="N72" s="516"/>
      <c r="O72" s="516"/>
      <c r="P72" s="516"/>
      <c r="Q72" s="580"/>
      <c r="R72" s="580"/>
      <c r="S72" s="516"/>
      <c r="T72" s="516"/>
      <c r="U72" s="517"/>
      <c r="V72" s="518"/>
    </row>
    <row r="73" spans="1:22" ht="21.75" customHeight="1">
      <c r="A73" s="519"/>
      <c r="B73" s="516"/>
      <c r="C73" s="516"/>
      <c r="D73" s="516"/>
      <c r="E73" s="516"/>
      <c r="F73" s="516"/>
      <c r="G73" s="516"/>
      <c r="H73" s="516"/>
      <c r="I73" s="516"/>
      <c r="J73" s="516"/>
      <c r="K73" s="516"/>
      <c r="L73" s="516"/>
      <c r="M73" s="516"/>
      <c r="N73" s="516"/>
      <c r="O73" s="516"/>
      <c r="P73" s="516"/>
      <c r="Q73" s="516"/>
      <c r="R73" s="516"/>
      <c r="S73" s="516"/>
      <c r="T73" s="516"/>
      <c r="U73" s="517"/>
      <c r="V73" s="518"/>
    </row>
    <row r="74" spans="1:22" ht="21.75" customHeight="1">
      <c r="A74" s="519"/>
      <c r="B74" s="516"/>
      <c r="C74" s="516"/>
      <c r="D74" s="516"/>
      <c r="E74" s="516"/>
      <c r="F74" s="516"/>
      <c r="G74" s="517"/>
      <c r="H74" s="516"/>
      <c r="I74" s="516"/>
      <c r="J74" s="517"/>
      <c r="K74" s="517"/>
      <c r="L74" s="516"/>
      <c r="M74" s="516"/>
      <c r="N74" s="516"/>
      <c r="O74" s="517"/>
      <c r="P74" s="517"/>
      <c r="Q74" s="517"/>
      <c r="R74" s="517"/>
      <c r="S74" s="517"/>
      <c r="T74" s="517"/>
      <c r="U74" s="517"/>
      <c r="V74" s="539"/>
    </row>
    <row r="75" spans="1:22" ht="21.75" customHeight="1">
      <c r="A75" s="540"/>
      <c r="B75" s="541"/>
      <c r="C75" s="541"/>
      <c r="D75" s="541"/>
      <c r="E75" s="541"/>
      <c r="F75" s="516"/>
      <c r="G75" s="517"/>
      <c r="H75" s="517"/>
      <c r="I75" s="516"/>
      <c r="J75" s="517"/>
      <c r="K75" s="516"/>
      <c r="L75" s="516"/>
      <c r="M75" s="516"/>
      <c r="N75" s="516"/>
      <c r="O75" s="517" t="s">
        <v>598</v>
      </c>
      <c r="P75" s="517"/>
      <c r="Q75" s="517"/>
      <c r="R75" s="517"/>
      <c r="S75" s="517"/>
      <c r="T75" s="517"/>
      <c r="U75" s="517"/>
      <c r="V75" s="539"/>
    </row>
    <row r="76" spans="1:22" ht="21.75" customHeight="1">
      <c r="A76" s="540"/>
      <c r="B76" s="516"/>
      <c r="C76" s="542"/>
      <c r="D76" s="543"/>
      <c r="E76" s="516"/>
      <c r="F76" s="516"/>
      <c r="G76" s="517" t="str">
        <f>N76</f>
        <v>ปูผิวแบบ Asphaltic Concrete  หนา 8</v>
      </c>
      <c r="H76" s="517"/>
      <c r="I76" s="517"/>
      <c r="J76" s="517" t="s">
        <v>219</v>
      </c>
      <c r="K76" s="516"/>
      <c r="L76" s="516"/>
      <c r="M76" s="516"/>
      <c r="N76" s="517" t="str">
        <f>"ปูผิวแบบ Asphaltic Concrete  หนา 8"</f>
        <v>ปูผิวแบบ Asphaltic Concrete  หนา 8</v>
      </c>
      <c r="O76" s="517"/>
      <c r="P76" s="517"/>
      <c r="Q76" s="516" t="s">
        <v>219</v>
      </c>
      <c r="S76" s="517"/>
      <c r="T76" s="517"/>
      <c r="U76" s="517"/>
      <c r="V76" s="539"/>
    </row>
    <row r="77" spans="1:22" ht="21.75" customHeight="1">
      <c r="A77" s="519"/>
      <c r="B77" s="516"/>
      <c r="C77" s="516"/>
      <c r="D77" s="516"/>
      <c r="E77" s="516"/>
      <c r="F77" s="516"/>
      <c r="G77" s="517"/>
      <c r="H77" s="517"/>
      <c r="I77" s="516"/>
      <c r="J77" s="516"/>
      <c r="K77" s="516"/>
      <c r="L77" s="516"/>
      <c r="M77" s="516"/>
      <c r="N77" s="517" t="s">
        <v>574</v>
      </c>
      <c r="O77" s="517"/>
      <c r="P77" s="517"/>
      <c r="Q77" s="517"/>
      <c r="R77" s="517"/>
      <c r="S77" s="517"/>
      <c r="T77" s="517"/>
      <c r="U77" s="517"/>
      <c r="V77" s="539"/>
    </row>
    <row r="78" spans="1:22" ht="21.75" customHeight="1">
      <c r="A78" s="544"/>
      <c r="B78" s="545"/>
      <c r="C78" s="545"/>
      <c r="D78" s="545"/>
      <c r="E78" s="545"/>
      <c r="F78" s="545"/>
      <c r="G78" s="517"/>
      <c r="H78" s="545"/>
      <c r="I78" s="545"/>
      <c r="J78" s="545"/>
      <c r="K78" s="516"/>
      <c r="L78" s="516"/>
      <c r="M78" s="516"/>
      <c r="N78" s="517" t="s">
        <v>575</v>
      </c>
      <c r="O78" s="517"/>
      <c r="P78" s="517"/>
      <c r="Q78" s="517"/>
      <c r="R78" s="517"/>
      <c r="S78" s="517"/>
      <c r="T78" s="517"/>
      <c r="U78" s="517"/>
      <c r="V78" s="539"/>
    </row>
    <row r="79" spans="1:22" ht="21.75" customHeight="1">
      <c r="A79" s="546"/>
      <c r="B79" s="517"/>
      <c r="C79" s="547"/>
      <c r="D79" s="498"/>
      <c r="E79" s="493" t="s">
        <v>600</v>
      </c>
      <c r="F79" s="498"/>
      <c r="K79" s="516"/>
      <c r="L79" s="516"/>
      <c r="M79" s="516"/>
      <c r="N79" s="517" t="s">
        <v>603</v>
      </c>
      <c r="O79" s="517"/>
      <c r="P79" s="517"/>
      <c r="Q79" s="517"/>
      <c r="R79" s="517"/>
      <c r="S79" s="517"/>
      <c r="T79" s="517"/>
      <c r="U79" s="517"/>
      <c r="V79" s="539"/>
    </row>
    <row r="80" spans="1:22" ht="21.75" customHeight="1">
      <c r="A80" s="546"/>
      <c r="B80" s="517"/>
      <c r="C80" s="547"/>
      <c r="D80" s="1398" t="s">
        <v>580</v>
      </c>
      <c r="E80" s="1398"/>
      <c r="F80" s="1398"/>
      <c r="G80" s="1398"/>
      <c r="H80" s="1398"/>
      <c r="J80" s="447"/>
      <c r="K80" s="516"/>
      <c r="L80" s="516"/>
      <c r="M80" s="516"/>
      <c r="N80" s="517" t="s">
        <v>576</v>
      </c>
      <c r="O80" s="517"/>
      <c r="P80" s="517"/>
      <c r="Q80" s="517"/>
      <c r="R80" s="517"/>
      <c r="S80" s="517"/>
      <c r="T80" s="517"/>
      <c r="U80" s="517"/>
      <c r="V80" s="539"/>
    </row>
    <row r="81" spans="1:22" ht="21.75" customHeight="1">
      <c r="A81" s="396"/>
      <c r="B81" s="423" t="s">
        <v>599</v>
      </c>
      <c r="C81" s="423"/>
      <c r="D81" s="423"/>
      <c r="E81" s="423"/>
      <c r="F81" s="423"/>
      <c r="G81" s="423"/>
      <c r="H81" s="423"/>
      <c r="I81" s="517"/>
      <c r="J81" s="517"/>
      <c r="K81" s="517"/>
      <c r="L81" s="517"/>
      <c r="M81" s="517"/>
      <c r="N81" s="517" t="s">
        <v>577</v>
      </c>
      <c r="O81" s="517"/>
      <c r="P81" s="549"/>
      <c r="Q81" s="548"/>
      <c r="R81" s="550"/>
      <c r="S81" s="517"/>
      <c r="T81" s="517"/>
      <c r="U81" s="517"/>
      <c r="V81" s="539"/>
    </row>
    <row r="82" spans="1:22" ht="21.75" customHeight="1">
      <c r="A82" s="632" t="s">
        <v>0</v>
      </c>
      <c r="B82" s="1464" t="s">
        <v>1</v>
      </c>
      <c r="C82" s="1464"/>
      <c r="D82" s="1464"/>
      <c r="E82" s="1464"/>
      <c r="F82" s="1464"/>
      <c r="G82" s="629" t="s">
        <v>25</v>
      </c>
      <c r="H82" s="629" t="s">
        <v>505</v>
      </c>
      <c r="I82" s="517"/>
      <c r="J82" s="517"/>
      <c r="K82" s="517"/>
      <c r="L82" s="548"/>
      <c r="M82" s="549"/>
      <c r="N82" s="517" t="s">
        <v>578</v>
      </c>
      <c r="O82" s="517"/>
      <c r="P82" s="545"/>
      <c r="Q82" s="545"/>
      <c r="R82" s="555"/>
      <c r="S82" s="555"/>
      <c r="T82" s="516"/>
      <c r="U82" s="516"/>
      <c r="V82" s="518"/>
    </row>
    <row r="83" spans="1:22" ht="21.75" customHeight="1">
      <c r="A83" s="633">
        <v>1</v>
      </c>
      <c r="B83" s="1401" t="str">
        <f>+'ปร.4 (2)'!B15</f>
        <v>งานปรับเกลี่ยแต่งไหล่ทาง (ขนาดเบา)</v>
      </c>
      <c r="C83" s="1401"/>
      <c r="D83" s="1401"/>
      <c r="E83" s="1401"/>
      <c r="F83" s="1401"/>
      <c r="G83" s="642" t="s">
        <v>33</v>
      </c>
      <c r="H83" s="643">
        <f>+'ปร.4 (2)'!H15</f>
        <v>11600</v>
      </c>
      <c r="I83" s="517"/>
      <c r="J83" s="517"/>
      <c r="K83" s="517"/>
      <c r="L83" s="545"/>
      <c r="M83" s="545"/>
      <c r="N83" s="517" t="s">
        <v>579</v>
      </c>
      <c r="O83" s="517"/>
      <c r="P83" s="551"/>
      <c r="Q83" s="553"/>
      <c r="R83" s="552"/>
      <c r="S83" s="552"/>
      <c r="T83" s="552"/>
      <c r="U83" s="552"/>
      <c r="V83" s="518"/>
    </row>
    <row r="84" spans="1:22" ht="18" customHeight="1">
      <c r="A84" s="633">
        <v>2</v>
      </c>
      <c r="B84" s="1401" t="str">
        <f>+'ปร.4 (2)'!B19</f>
        <v>งานหินคลุกปรับเสริมระดับ(หลวม)</v>
      </c>
      <c r="C84" s="1401"/>
      <c r="D84" s="1401"/>
      <c r="E84" s="1401"/>
      <c r="F84" s="1401"/>
      <c r="G84" s="642" t="s">
        <v>34</v>
      </c>
      <c r="H84" s="643">
        <f>+'ปร.4 (2)'!H19</f>
        <v>2320</v>
      </c>
      <c r="L84" s="471"/>
      <c r="M84" s="492"/>
      <c r="N84" s="491"/>
      <c r="O84" s="452"/>
      <c r="P84" s="491"/>
      <c r="Q84" s="471"/>
      <c r="R84" s="471"/>
      <c r="S84" s="452"/>
      <c r="T84" s="452"/>
      <c r="U84" s="452"/>
      <c r="V84" s="490"/>
    </row>
    <row r="85" spans="1:22" ht="21.75" customHeight="1">
      <c r="A85" s="633">
        <v>3</v>
      </c>
      <c r="B85" s="1401" t="str">
        <f>+O75</f>
        <v xml:space="preserve"> งานขุดซ่อมผิวทางเดิม (Deep  Patch)</v>
      </c>
      <c r="C85" s="1401"/>
      <c r="D85" s="1401"/>
      <c r="E85" s="1401"/>
      <c r="F85" s="1401"/>
      <c r="G85" s="642" t="s">
        <v>33</v>
      </c>
      <c r="H85" s="643">
        <f>+'ปร.4 (2)'!H18</f>
        <v>1840</v>
      </c>
      <c r="L85" s="447"/>
      <c r="M85" s="492"/>
      <c r="N85" s="494"/>
      <c r="O85" s="423"/>
      <c r="P85" s="495"/>
      <c r="Q85" s="496"/>
      <c r="R85" s="496"/>
      <c r="S85" s="496"/>
      <c r="T85" s="496"/>
      <c r="U85" s="496"/>
      <c r="V85" s="497"/>
    </row>
    <row r="86" spans="1:22" ht="22.5" customHeight="1" thickBot="1">
      <c r="A86" s="633">
        <v>4</v>
      </c>
      <c r="B86" s="1401" t="e">
        <f>+'ปร.4 (2)'!#REF!</f>
        <v>#REF!</v>
      </c>
      <c r="C86" s="1401"/>
      <c r="D86" s="1401"/>
      <c r="E86" s="1401"/>
      <c r="F86" s="1401"/>
      <c r="G86" s="642" t="s">
        <v>33</v>
      </c>
      <c r="H86" s="643" t="e">
        <f>+'ปร.4 (2)'!#REF!</f>
        <v>#REF!</v>
      </c>
      <c r="L86" s="447"/>
      <c r="M86" s="492"/>
      <c r="N86" s="423"/>
      <c r="O86" s="423"/>
      <c r="P86" s="495"/>
      <c r="Q86" s="496"/>
      <c r="R86" s="496"/>
      <c r="S86" s="496"/>
      <c r="T86" s="496"/>
      <c r="U86" s="496"/>
      <c r="V86" s="497"/>
    </row>
    <row r="87" spans="1:22" ht="17.25" customHeight="1">
      <c r="A87" s="633">
        <v>5</v>
      </c>
      <c r="B87" s="1401" t="str">
        <f>+'ปร.4 (2)'!B20</f>
        <v>งาน Pavement In - Place Recycling</v>
      </c>
      <c r="C87" s="1401"/>
      <c r="D87" s="1401"/>
      <c r="E87" s="1401"/>
      <c r="F87" s="1401"/>
      <c r="G87" s="642" t="s">
        <v>33</v>
      </c>
      <c r="H87" s="643">
        <f>+'ปร.4 (2)'!H20</f>
        <v>46400</v>
      </c>
      <c r="I87" s="423"/>
      <c r="J87" s="423"/>
      <c r="K87" s="423"/>
      <c r="L87" s="412"/>
      <c r="M87" s="1426" t="str">
        <f>+M49</f>
        <v>องค์การบริหารส่วนจังหวัดสระบุรี</v>
      </c>
      <c r="N87" s="1427"/>
      <c r="O87" s="1427"/>
      <c r="P87" s="1427"/>
      <c r="Q87" s="1427"/>
      <c r="R87" s="1427"/>
      <c r="S87" s="1427"/>
      <c r="T87" s="1427"/>
      <c r="U87" s="1427"/>
      <c r="V87" s="1428"/>
    </row>
    <row r="88" spans="1:22" ht="19.5" customHeight="1" thickBot="1">
      <c r="A88" s="633">
        <v>6</v>
      </c>
      <c r="B88" s="638" t="e">
        <f>+'ปร.4 (2)'!#REF!</f>
        <v>#REF!</v>
      </c>
      <c r="C88" s="423"/>
      <c r="D88" s="423" t="e">
        <f>+'ปร.4 (2)'!#REF!</f>
        <v>#REF!</v>
      </c>
      <c r="E88" s="423"/>
      <c r="F88" s="641"/>
      <c r="G88" s="642" t="s">
        <v>33</v>
      </c>
      <c r="H88" s="643" t="e">
        <f>+'ปร.4 (2)'!#REF!</f>
        <v>#REF!</v>
      </c>
      <c r="I88" s="423"/>
      <c r="J88" s="423"/>
      <c r="K88" s="423"/>
      <c r="L88" s="412"/>
      <c r="M88" s="1429"/>
      <c r="N88" s="1430"/>
      <c r="O88" s="1430"/>
      <c r="P88" s="1430"/>
      <c r="Q88" s="1430"/>
      <c r="R88" s="1430"/>
      <c r="S88" s="1430"/>
      <c r="T88" s="1430"/>
      <c r="U88" s="1430"/>
      <c r="V88" s="1431"/>
    </row>
    <row r="89" spans="1:22" ht="24" customHeight="1" thickTop="1">
      <c r="A89" s="633">
        <v>7</v>
      </c>
      <c r="B89" s="640" t="e">
        <f>+'ปร.4 (2)'!#REF!</f>
        <v>#REF!</v>
      </c>
      <c r="C89" s="639"/>
      <c r="D89" s="639" t="e">
        <f>+D88</f>
        <v>#REF!</v>
      </c>
      <c r="E89" s="630"/>
      <c r="F89" s="631"/>
      <c r="G89" s="642" t="s">
        <v>33</v>
      </c>
      <c r="H89" s="643" t="e">
        <f>+'ปร.4 (2)'!#REF!</f>
        <v>#REF!</v>
      </c>
      <c r="L89" s="467"/>
      <c r="M89" s="1439" t="str">
        <f>+M51</f>
        <v>ปรับปรุงถนนลาดยาง โดยวิธี Pavement In-Place Recycling</v>
      </c>
      <c r="N89" s="1440"/>
      <c r="O89" s="1440"/>
      <c r="P89" s="1440"/>
      <c r="Q89" s="1440"/>
      <c r="R89" s="1441"/>
      <c r="S89" s="500"/>
      <c r="T89" s="499"/>
      <c r="U89" s="1416"/>
      <c r="V89" s="1417"/>
    </row>
    <row r="90" spans="1:22" ht="21.75" customHeight="1">
      <c r="A90" s="633">
        <v>8</v>
      </c>
      <c r="B90" s="1401" t="e">
        <f>+'ปร.4 (2)'!#REF!</f>
        <v>#REF!</v>
      </c>
      <c r="C90" s="1401"/>
      <c r="D90" s="1401"/>
      <c r="E90" s="1401"/>
      <c r="F90" s="1401"/>
      <c r="G90" s="642" t="s">
        <v>42</v>
      </c>
      <c r="H90" s="643" t="e">
        <f>+'ปร.4 (2)'!#REF!</f>
        <v>#REF!</v>
      </c>
      <c r="I90" s="468"/>
      <c r="J90" s="468"/>
      <c r="L90" s="467"/>
      <c r="M90" s="1403" t="str">
        <f>M52</f>
        <v>ตำบลพุแค - ตำบลห้วยบง  อำเภอเฉลิมพระเกียรติ  จังหวัดสระบุรี</v>
      </c>
      <c r="N90" s="1404"/>
      <c r="O90" s="1404"/>
      <c r="P90" s="1404"/>
      <c r="Q90" s="1404"/>
      <c r="R90" s="1405"/>
      <c r="S90" s="469"/>
      <c r="T90" s="470" t="s">
        <v>608</v>
      </c>
      <c r="U90" s="1399" t="str">
        <f>+U52</f>
        <v>นายพงศกร  เพชรประดับ</v>
      </c>
      <c r="V90" s="1400"/>
    </row>
    <row r="91" spans="1:22" ht="21" customHeight="1">
      <c r="A91" s="633">
        <v>9</v>
      </c>
      <c r="B91" s="1401" t="str">
        <f>+'ปร.4 (2)'!B41</f>
        <v>งานสีเทอร์โมพลาสติกสะท้อนแสง (สีเหลือง + สีขาว)</v>
      </c>
      <c r="C91" s="1401"/>
      <c r="D91" s="1401"/>
      <c r="E91" s="1401"/>
      <c r="F91" s="1401"/>
      <c r="G91" s="642" t="s">
        <v>33</v>
      </c>
      <c r="H91" s="643">
        <f>+'ปร.4 (2)'!H41</f>
        <v>2227.35</v>
      </c>
      <c r="L91" s="472"/>
      <c r="M91" s="1406"/>
      <c r="N91" s="1407"/>
      <c r="O91" s="1407"/>
      <c r="P91" s="1407"/>
      <c r="Q91" s="1407"/>
      <c r="R91" s="1408"/>
      <c r="S91" s="501"/>
      <c r="T91" s="502"/>
      <c r="U91" s="1412"/>
      <c r="V91" s="1413"/>
    </row>
    <row r="92" spans="1:22" ht="21.75" customHeight="1">
      <c r="A92" s="633">
        <v>10</v>
      </c>
      <c r="B92" s="1401" t="str">
        <f>+'ปร.4 (2)'!B45</f>
        <v>ป้ายโครงการ(ป้ายเหล็ก)</v>
      </c>
      <c r="C92" s="1401"/>
      <c r="D92" s="1401"/>
      <c r="E92" s="1401"/>
      <c r="F92" s="1401"/>
      <c r="G92" s="642" t="s">
        <v>42</v>
      </c>
      <c r="H92" s="643">
        <v>1</v>
      </c>
      <c r="L92" s="472"/>
      <c r="M92" s="475" t="s">
        <v>569</v>
      </c>
      <c r="N92" s="476"/>
      <c r="O92" s="476"/>
      <c r="P92" s="476"/>
      <c r="Q92" s="477"/>
      <c r="R92" s="478"/>
      <c r="S92" s="469"/>
      <c r="T92" s="470" t="s">
        <v>568</v>
      </c>
      <c r="U92" s="1399" t="str">
        <f>+U90</f>
        <v>นายพงศกร  เพชรประดับ</v>
      </c>
      <c r="V92" s="1400"/>
    </row>
    <row r="93" spans="1:22" ht="21.75" customHeight="1">
      <c r="A93" s="633">
        <v>11</v>
      </c>
      <c r="B93" s="1402"/>
      <c r="C93" s="1402"/>
      <c r="D93" s="1402"/>
      <c r="E93" s="1402"/>
      <c r="F93" s="1402"/>
      <c r="G93" s="642"/>
      <c r="H93" s="642"/>
      <c r="L93" s="472"/>
      <c r="M93" s="1452" t="str">
        <f>+E79</f>
        <v>รูปตัดตามขวาง Asphaltic Concrete</v>
      </c>
      <c r="N93" s="1453"/>
      <c r="O93" s="1453"/>
      <c r="P93" s="1454"/>
      <c r="Q93" s="482"/>
      <c r="R93" s="473"/>
      <c r="S93" s="503"/>
      <c r="T93" s="502"/>
      <c r="U93" s="1412"/>
      <c r="V93" s="1413"/>
    </row>
    <row r="94" spans="1:22" ht="21.75" customHeight="1">
      <c r="A94" s="633">
        <v>12</v>
      </c>
      <c r="B94" s="1402"/>
      <c r="C94" s="1402"/>
      <c r="D94" s="1402"/>
      <c r="E94" s="1402"/>
      <c r="F94" s="1402"/>
      <c r="G94" s="642"/>
      <c r="H94" s="642"/>
      <c r="L94" s="467"/>
      <c r="M94" s="1455"/>
      <c r="N94" s="1456"/>
      <c r="O94" s="1456"/>
      <c r="P94" s="1457"/>
      <c r="Q94" s="482"/>
      <c r="R94" s="473"/>
      <c r="S94" s="1414" t="s">
        <v>582</v>
      </c>
      <c r="T94" s="1415"/>
      <c r="U94" s="1399" t="str">
        <f>U56</f>
        <v>นายมานิตย์  ชูศรีจันทร์</v>
      </c>
      <c r="V94" s="1400"/>
    </row>
    <row r="95" spans="1:22" ht="21.75" customHeight="1">
      <c r="A95" s="633">
        <v>13</v>
      </c>
      <c r="B95" s="1402"/>
      <c r="C95" s="1402"/>
      <c r="D95" s="1402"/>
      <c r="E95" s="1402"/>
      <c r="F95" s="1402"/>
      <c r="G95" s="642"/>
      <c r="H95" s="642"/>
      <c r="L95" s="467"/>
      <c r="M95" s="471"/>
      <c r="N95" s="492"/>
      <c r="O95" s="492"/>
      <c r="P95" s="492"/>
      <c r="Q95" s="506"/>
      <c r="R95" s="492"/>
      <c r="S95" s="1459" t="s">
        <v>604</v>
      </c>
      <c r="T95" s="1460"/>
      <c r="U95" s="505"/>
      <c r="V95" s="479"/>
    </row>
    <row r="96" spans="1:22" ht="21.75" customHeight="1">
      <c r="A96" s="633">
        <v>14</v>
      </c>
      <c r="B96" s="1402"/>
      <c r="C96" s="1402"/>
      <c r="D96" s="1402"/>
      <c r="E96" s="1402"/>
      <c r="F96" s="1402"/>
      <c r="G96" s="642"/>
      <c r="H96" s="642"/>
      <c r="L96" s="467"/>
      <c r="M96" s="471"/>
      <c r="N96" s="492"/>
      <c r="O96" s="492"/>
      <c r="P96" s="492"/>
      <c r="Q96" s="506"/>
      <c r="R96" s="492"/>
      <c r="S96" s="1461"/>
      <c r="T96" s="1462"/>
      <c r="U96" s="1399" t="s">
        <v>605</v>
      </c>
      <c r="V96" s="1400"/>
    </row>
    <row r="97" spans="1:22" ht="21.75" customHeight="1">
      <c r="A97" s="633">
        <v>15</v>
      </c>
      <c r="B97" s="1402"/>
      <c r="C97" s="1402"/>
      <c r="D97" s="1402"/>
      <c r="E97" s="1402"/>
      <c r="F97" s="1402"/>
      <c r="G97" s="642"/>
      <c r="H97" s="642"/>
      <c r="L97" s="467"/>
      <c r="M97" s="471"/>
      <c r="N97" s="492"/>
      <c r="O97" s="492"/>
      <c r="P97" s="492"/>
      <c r="Q97" s="506"/>
      <c r="R97" s="492"/>
      <c r="S97" s="503"/>
      <c r="T97" s="502"/>
      <c r="U97" s="504"/>
      <c r="V97" s="508"/>
    </row>
    <row r="98" spans="1:22" ht="14.25" customHeight="1">
      <c r="A98" s="466"/>
      <c r="B98" s="1463"/>
      <c r="C98" s="1463"/>
      <c r="D98" s="1463"/>
      <c r="E98" s="1463"/>
      <c r="F98" s="1463"/>
      <c r="L98" s="467"/>
      <c r="M98" s="471"/>
      <c r="N98" s="492"/>
      <c r="O98" s="492"/>
      <c r="P98" s="492"/>
      <c r="Q98" s="506"/>
      <c r="R98" s="492"/>
      <c r="S98" s="1399" t="s">
        <v>423</v>
      </c>
      <c r="T98" s="1408"/>
      <c r="U98" s="1399" t="str">
        <f>+U60</f>
        <v>นางสรารัตน์ สุขมะดัน</v>
      </c>
      <c r="V98" s="1400"/>
    </row>
    <row r="99" spans="1:22" ht="21.75" customHeight="1" thickBot="1">
      <c r="A99" s="634"/>
      <c r="B99" s="635"/>
      <c r="C99" s="636"/>
      <c r="D99" s="637"/>
      <c r="E99" s="405"/>
      <c r="F99" s="405"/>
      <c r="G99" s="405"/>
      <c r="H99" s="405"/>
      <c r="I99" s="405"/>
      <c r="J99" s="405"/>
      <c r="K99" s="405"/>
      <c r="L99" s="507"/>
      <c r="M99" s="509"/>
      <c r="N99" s="509"/>
      <c r="O99" s="1432" t="s">
        <v>607</v>
      </c>
      <c r="P99" s="1432"/>
      <c r="Q99" s="1432" t="s">
        <v>606</v>
      </c>
      <c r="R99" s="1432"/>
      <c r="S99" s="510"/>
      <c r="T99" s="510"/>
      <c r="U99" s="509"/>
      <c r="V99" s="511"/>
    </row>
  </sheetData>
  <mergeCells count="65">
    <mergeCell ref="B96:F96"/>
    <mergeCell ref="B97:F97"/>
    <mergeCell ref="B98:F98"/>
    <mergeCell ref="B82:F82"/>
    <mergeCell ref="B83:F83"/>
    <mergeCell ref="B84:F84"/>
    <mergeCell ref="B85:F85"/>
    <mergeCell ref="B86:F86"/>
    <mergeCell ref="B87:F87"/>
    <mergeCell ref="B95:F95"/>
    <mergeCell ref="O99:P99"/>
    <mergeCell ref="Q99:R99"/>
    <mergeCell ref="U96:V96"/>
    <mergeCell ref="Q70:Q71"/>
    <mergeCell ref="U89:V89"/>
    <mergeCell ref="U90:V90"/>
    <mergeCell ref="S95:T96"/>
    <mergeCell ref="S94:T94"/>
    <mergeCell ref="L25:R25"/>
    <mergeCell ref="U93:V93"/>
    <mergeCell ref="S98:T98"/>
    <mergeCell ref="U92:V92"/>
    <mergeCell ref="M87:V88"/>
    <mergeCell ref="M89:R89"/>
    <mergeCell ref="M93:P94"/>
    <mergeCell ref="U91:V91"/>
    <mergeCell ref="U98:V98"/>
    <mergeCell ref="S60:T60"/>
    <mergeCell ref="U58:V58"/>
    <mergeCell ref="U60:V60"/>
    <mergeCell ref="A16:V17"/>
    <mergeCell ref="B28:J29"/>
    <mergeCell ref="M49:V50"/>
    <mergeCell ref="O61:P61"/>
    <mergeCell ref="Q61:R61"/>
    <mergeCell ref="J18:K18"/>
    <mergeCell ref="B19:J20"/>
    <mergeCell ref="A24:K25"/>
    <mergeCell ref="U52:V52"/>
    <mergeCell ref="M51:R51"/>
    <mergeCell ref="U53:V53"/>
    <mergeCell ref="A53:J56"/>
    <mergeCell ref="S57:T58"/>
    <mergeCell ref="B26:J27"/>
    <mergeCell ref="B21:V22"/>
    <mergeCell ref="B30:J30"/>
    <mergeCell ref="D69:E71"/>
    <mergeCell ref="L28:O28"/>
    <mergeCell ref="U54:V54"/>
    <mergeCell ref="U55:V55"/>
    <mergeCell ref="U56:V56"/>
    <mergeCell ref="S56:T56"/>
    <mergeCell ref="U51:V51"/>
    <mergeCell ref="M52:R53"/>
    <mergeCell ref="K64:L64"/>
    <mergeCell ref="J65:K65"/>
    <mergeCell ref="J67:K67"/>
    <mergeCell ref="D80:H80"/>
    <mergeCell ref="U94:V94"/>
    <mergeCell ref="B90:F90"/>
    <mergeCell ref="B91:F91"/>
    <mergeCell ref="B92:F92"/>
    <mergeCell ref="B94:F94"/>
    <mergeCell ref="M90:R91"/>
    <mergeCell ref="B93:F93"/>
  </mergeCells>
  <printOptions horizontalCentered="1"/>
  <pageMargins left="0.19685039370078741" right="0.19685039370078741" top="0.19685039370078741" bottom="0.19685039370078741" header="0.51181102362204722" footer="0.51181102362204722"/>
  <pageSetup paperSize="7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75"/>
  <sheetViews>
    <sheetView showGridLines="0" topLeftCell="A61" workbookViewId="0">
      <selection activeCell="U90" sqref="U90:V90"/>
    </sheetView>
  </sheetViews>
  <sheetFormatPr defaultColWidth="9.140625" defaultRowHeight="21.75"/>
  <cols>
    <col min="1" max="1" width="5.85546875" style="654" customWidth="1"/>
    <col min="2" max="2" width="9.140625" style="658"/>
    <col min="3" max="4" width="9.140625" style="648"/>
    <col min="5" max="5" width="7.85546875" style="648" customWidth="1"/>
    <col min="6" max="6" width="15.42578125" style="647" customWidth="1"/>
    <col min="7" max="7" width="30.42578125" style="648" customWidth="1"/>
    <col min="8" max="16384" width="9.140625" style="648"/>
  </cols>
  <sheetData>
    <row r="1" spans="1:16">
      <c r="A1" s="1470" t="str">
        <f>'ปร.4 (2)'!A4</f>
        <v>โครงการ</v>
      </c>
      <c r="B1" s="1470"/>
      <c r="C1" s="1470"/>
      <c r="D1" s="1470"/>
      <c r="E1" s="1470"/>
      <c r="F1" s="1470"/>
      <c r="G1" s="1470"/>
      <c r="H1" s="647"/>
      <c r="I1" s="647"/>
      <c r="J1" s="647"/>
    </row>
    <row r="2" spans="1:16">
      <c r="A2" s="1470" t="str">
        <f>'ปร.4 (2)'!B5</f>
        <v>ตำบลพุแค - ตำบลห้วยบง  อำเภอเฉลิมพระเกียรติ  จังหวัดสระบุรี</v>
      </c>
      <c r="B2" s="1470"/>
      <c r="C2" s="1470"/>
      <c r="D2" s="1470"/>
      <c r="E2" s="1470"/>
      <c r="F2" s="1470"/>
      <c r="G2" s="1470"/>
      <c r="H2" s="647"/>
      <c r="I2" s="647"/>
      <c r="J2" s="647"/>
    </row>
    <row r="3" spans="1:16">
      <c r="A3" s="1469" t="s">
        <v>682</v>
      </c>
      <c r="B3" s="1469"/>
      <c r="C3" s="1469"/>
      <c r="D3" s="1469"/>
      <c r="E3" s="1469"/>
      <c r="F3" s="1469"/>
      <c r="G3" s="1469"/>
      <c r="H3" s="647"/>
      <c r="I3" s="647"/>
      <c r="J3" s="1468" t="s">
        <v>609</v>
      </c>
      <c r="K3" s="1469"/>
      <c r="L3" s="1469"/>
      <c r="M3" s="1469"/>
      <c r="N3" s="1469"/>
      <c r="O3" s="1469"/>
      <c r="P3" s="1469"/>
    </row>
    <row r="4" spans="1:16">
      <c r="A4" s="649" t="s">
        <v>0</v>
      </c>
      <c r="B4" s="657" t="s">
        <v>46</v>
      </c>
      <c r="C4" s="650" t="s">
        <v>610</v>
      </c>
      <c r="D4" s="650" t="s">
        <v>611</v>
      </c>
      <c r="E4" s="650" t="s">
        <v>612</v>
      </c>
      <c r="F4" s="650" t="s">
        <v>505</v>
      </c>
      <c r="G4" s="650" t="s">
        <v>20</v>
      </c>
    </row>
    <row r="5" spans="1:16">
      <c r="A5" s="659">
        <v>1</v>
      </c>
      <c r="B5" s="652" t="s">
        <v>613</v>
      </c>
      <c r="C5" s="660">
        <v>0</v>
      </c>
      <c r="D5" s="660">
        <v>0</v>
      </c>
      <c r="E5" s="653"/>
      <c r="F5" s="655">
        <f>D5*C5</f>
        <v>0</v>
      </c>
      <c r="G5" s="660"/>
    </row>
    <row r="6" spans="1:16">
      <c r="A6" s="659">
        <v>2</v>
      </c>
      <c r="B6" s="652" t="s">
        <v>614</v>
      </c>
      <c r="C6" s="660">
        <v>0</v>
      </c>
      <c r="D6" s="660">
        <v>0</v>
      </c>
      <c r="E6" s="653"/>
      <c r="F6" s="655">
        <f t="shared" ref="F6:F31" si="0">D6*C6</f>
        <v>0</v>
      </c>
      <c r="G6" s="653"/>
    </row>
    <row r="7" spans="1:16">
      <c r="A7" s="659">
        <v>3</v>
      </c>
      <c r="B7" s="652" t="s">
        <v>615</v>
      </c>
      <c r="C7" s="660">
        <v>0</v>
      </c>
      <c r="D7" s="660">
        <v>0</v>
      </c>
      <c r="E7" s="653"/>
      <c r="F7" s="655">
        <f t="shared" si="0"/>
        <v>0</v>
      </c>
      <c r="G7" s="653"/>
    </row>
    <row r="8" spans="1:16">
      <c r="A8" s="659">
        <v>4</v>
      </c>
      <c r="B8" s="652" t="s">
        <v>616</v>
      </c>
      <c r="C8" s="660">
        <v>0</v>
      </c>
      <c r="D8" s="660">
        <v>0</v>
      </c>
      <c r="E8" s="653"/>
      <c r="F8" s="655">
        <f t="shared" si="0"/>
        <v>0</v>
      </c>
      <c r="G8" s="653"/>
    </row>
    <row r="9" spans="1:16">
      <c r="A9" s="659">
        <v>5</v>
      </c>
      <c r="B9" s="652" t="s">
        <v>617</v>
      </c>
      <c r="C9" s="660">
        <v>0</v>
      </c>
      <c r="D9" s="660">
        <v>0</v>
      </c>
      <c r="E9" s="653"/>
      <c r="F9" s="655">
        <f t="shared" si="0"/>
        <v>0</v>
      </c>
      <c r="G9" s="653"/>
    </row>
    <row r="10" spans="1:16">
      <c r="A10" s="659">
        <v>6</v>
      </c>
      <c r="B10" s="652" t="s">
        <v>618</v>
      </c>
      <c r="C10" s="660">
        <v>0</v>
      </c>
      <c r="D10" s="660">
        <v>0</v>
      </c>
      <c r="E10" s="653"/>
      <c r="F10" s="655">
        <f t="shared" si="0"/>
        <v>0</v>
      </c>
      <c r="G10" s="653"/>
    </row>
    <row r="11" spans="1:16">
      <c r="A11" s="659">
        <v>7</v>
      </c>
      <c r="B11" s="652" t="s">
        <v>619</v>
      </c>
      <c r="C11" s="660">
        <v>0</v>
      </c>
      <c r="D11" s="660">
        <v>0</v>
      </c>
      <c r="E11" s="653"/>
      <c r="F11" s="655">
        <f t="shared" si="0"/>
        <v>0</v>
      </c>
      <c r="G11" s="653"/>
    </row>
    <row r="12" spans="1:16">
      <c r="A12" s="659">
        <v>8</v>
      </c>
      <c r="B12" s="652" t="s">
        <v>620</v>
      </c>
      <c r="C12" s="660">
        <v>0</v>
      </c>
      <c r="D12" s="660">
        <v>0</v>
      </c>
      <c r="E12" s="653"/>
      <c r="F12" s="655">
        <f t="shared" si="0"/>
        <v>0</v>
      </c>
      <c r="G12" s="653"/>
    </row>
    <row r="13" spans="1:16">
      <c r="A13" s="659">
        <v>9</v>
      </c>
      <c r="B13" s="652" t="s">
        <v>621</v>
      </c>
      <c r="C13" s="660">
        <v>0</v>
      </c>
      <c r="D13" s="660">
        <v>0</v>
      </c>
      <c r="E13" s="653"/>
      <c r="F13" s="655">
        <f t="shared" si="0"/>
        <v>0</v>
      </c>
      <c r="G13" s="653"/>
    </row>
    <row r="14" spans="1:16">
      <c r="A14" s="659">
        <v>10</v>
      </c>
      <c r="B14" s="652" t="s">
        <v>622</v>
      </c>
      <c r="C14" s="660">
        <v>4</v>
      </c>
      <c r="D14" s="660">
        <v>10</v>
      </c>
      <c r="E14" s="653"/>
      <c r="F14" s="655">
        <f t="shared" si="0"/>
        <v>40</v>
      </c>
      <c r="G14" s="653"/>
    </row>
    <row r="15" spans="1:16">
      <c r="A15" s="659">
        <v>11</v>
      </c>
      <c r="B15" s="652" t="s">
        <v>623</v>
      </c>
      <c r="C15" s="660">
        <v>0</v>
      </c>
      <c r="D15" s="660">
        <v>0</v>
      </c>
      <c r="E15" s="653"/>
      <c r="F15" s="655">
        <f t="shared" si="0"/>
        <v>0</v>
      </c>
      <c r="G15" s="653"/>
    </row>
    <row r="16" spans="1:16">
      <c r="A16" s="659">
        <v>12</v>
      </c>
      <c r="B16" s="652" t="s">
        <v>624</v>
      </c>
      <c r="C16" s="660">
        <v>0</v>
      </c>
      <c r="D16" s="660">
        <v>0</v>
      </c>
      <c r="E16" s="653"/>
      <c r="F16" s="655">
        <f t="shared" si="0"/>
        <v>0</v>
      </c>
      <c r="G16" s="653"/>
    </row>
    <row r="17" spans="1:7">
      <c r="A17" s="659">
        <v>13</v>
      </c>
      <c r="B17" s="652" t="s">
        <v>625</v>
      </c>
      <c r="C17" s="660">
        <v>0</v>
      </c>
      <c r="D17" s="660">
        <v>0</v>
      </c>
      <c r="E17" s="653"/>
      <c r="F17" s="655">
        <f t="shared" si="0"/>
        <v>0</v>
      </c>
      <c r="G17" s="653"/>
    </row>
    <row r="18" spans="1:7">
      <c r="A18" s="659">
        <v>14</v>
      </c>
      <c r="B18" s="652" t="s">
        <v>626</v>
      </c>
      <c r="C18" s="660">
        <v>0</v>
      </c>
      <c r="D18" s="660">
        <v>0</v>
      </c>
      <c r="E18" s="653"/>
      <c r="F18" s="655">
        <f t="shared" si="0"/>
        <v>0</v>
      </c>
      <c r="G18" s="653"/>
    </row>
    <row r="19" spans="1:7">
      <c r="A19" s="659">
        <v>15</v>
      </c>
      <c r="B19" s="652" t="s">
        <v>627</v>
      </c>
      <c r="C19" s="660">
        <v>0</v>
      </c>
      <c r="D19" s="660">
        <v>0</v>
      </c>
      <c r="E19" s="653"/>
      <c r="F19" s="655">
        <f t="shared" si="0"/>
        <v>0</v>
      </c>
      <c r="G19" s="653"/>
    </row>
    <row r="20" spans="1:7">
      <c r="A20" s="659">
        <v>16</v>
      </c>
      <c r="B20" s="652" t="s">
        <v>628</v>
      </c>
      <c r="C20" s="660">
        <v>0</v>
      </c>
      <c r="D20" s="660">
        <v>0</v>
      </c>
      <c r="E20" s="653"/>
      <c r="F20" s="655">
        <f t="shared" si="0"/>
        <v>0</v>
      </c>
      <c r="G20" s="653"/>
    </row>
    <row r="21" spans="1:7">
      <c r="A21" s="659">
        <v>17</v>
      </c>
      <c r="B21" s="652" t="s">
        <v>629</v>
      </c>
      <c r="C21" s="660">
        <v>0</v>
      </c>
      <c r="D21" s="660">
        <v>0</v>
      </c>
      <c r="E21" s="653"/>
      <c r="F21" s="655">
        <f t="shared" si="0"/>
        <v>0</v>
      </c>
      <c r="G21" s="653"/>
    </row>
    <row r="22" spans="1:7">
      <c r="A22" s="659">
        <v>18</v>
      </c>
      <c r="B22" s="652" t="s">
        <v>630</v>
      </c>
      <c r="C22" s="660">
        <v>0</v>
      </c>
      <c r="D22" s="660">
        <v>0</v>
      </c>
      <c r="E22" s="653"/>
      <c r="F22" s="655">
        <f t="shared" si="0"/>
        <v>0</v>
      </c>
      <c r="G22" s="653"/>
    </row>
    <row r="23" spans="1:7">
      <c r="A23" s="659">
        <v>19</v>
      </c>
      <c r="B23" s="652" t="s">
        <v>631</v>
      </c>
      <c r="C23" s="660">
        <v>0</v>
      </c>
      <c r="D23" s="660">
        <v>0</v>
      </c>
      <c r="E23" s="653"/>
      <c r="F23" s="655">
        <f t="shared" si="0"/>
        <v>0</v>
      </c>
      <c r="G23" s="653"/>
    </row>
    <row r="24" spans="1:7">
      <c r="A24" s="659">
        <v>20</v>
      </c>
      <c r="B24" s="652" t="s">
        <v>632</v>
      </c>
      <c r="C24" s="660">
        <v>0</v>
      </c>
      <c r="D24" s="660">
        <v>0</v>
      </c>
      <c r="E24" s="653"/>
      <c r="F24" s="655">
        <f t="shared" si="0"/>
        <v>0</v>
      </c>
      <c r="G24" s="653"/>
    </row>
    <row r="25" spans="1:7">
      <c r="A25" s="659">
        <v>21</v>
      </c>
      <c r="B25" s="652" t="s">
        <v>633</v>
      </c>
      <c r="C25" s="660">
        <v>0</v>
      </c>
      <c r="D25" s="660">
        <v>0</v>
      </c>
      <c r="E25" s="653"/>
      <c r="F25" s="655">
        <f t="shared" si="0"/>
        <v>0</v>
      </c>
      <c r="G25" s="653"/>
    </row>
    <row r="26" spans="1:7">
      <c r="A26" s="659">
        <v>22</v>
      </c>
      <c r="B26" s="652" t="s">
        <v>634</v>
      </c>
      <c r="C26" s="660">
        <v>0</v>
      </c>
      <c r="D26" s="660">
        <v>0</v>
      </c>
      <c r="E26" s="653"/>
      <c r="F26" s="655">
        <f t="shared" si="0"/>
        <v>0</v>
      </c>
      <c r="G26" s="653"/>
    </row>
    <row r="27" spans="1:7">
      <c r="A27" s="659">
        <v>23</v>
      </c>
      <c r="B27" s="652" t="s">
        <v>635</v>
      </c>
      <c r="C27" s="660">
        <v>0</v>
      </c>
      <c r="D27" s="660">
        <v>0</v>
      </c>
      <c r="E27" s="653"/>
      <c r="F27" s="655">
        <f t="shared" si="0"/>
        <v>0</v>
      </c>
      <c r="G27" s="653"/>
    </row>
    <row r="28" spans="1:7">
      <c r="A28" s="659">
        <v>24</v>
      </c>
      <c r="B28" s="652" t="s">
        <v>636</v>
      </c>
      <c r="C28" s="660">
        <v>0</v>
      </c>
      <c r="D28" s="660">
        <v>0</v>
      </c>
      <c r="E28" s="653"/>
      <c r="F28" s="655">
        <f t="shared" si="0"/>
        <v>0</v>
      </c>
      <c r="G28" s="653"/>
    </row>
    <row r="29" spans="1:7">
      <c r="A29" s="659">
        <v>25</v>
      </c>
      <c r="B29" s="652" t="s">
        <v>637</v>
      </c>
      <c r="C29" s="660">
        <v>0</v>
      </c>
      <c r="D29" s="660">
        <v>0</v>
      </c>
      <c r="E29" s="653"/>
      <c r="F29" s="655">
        <f t="shared" si="0"/>
        <v>0</v>
      </c>
      <c r="G29" s="653"/>
    </row>
    <row r="30" spans="1:7">
      <c r="A30" s="659">
        <v>26</v>
      </c>
      <c r="B30" s="652" t="s">
        <v>638</v>
      </c>
      <c r="C30" s="660">
        <v>0</v>
      </c>
      <c r="D30" s="660">
        <v>0</v>
      </c>
      <c r="E30" s="653"/>
      <c r="F30" s="655">
        <f t="shared" si="0"/>
        <v>0</v>
      </c>
      <c r="G30" s="653"/>
    </row>
    <row r="31" spans="1:7">
      <c r="A31" s="659">
        <v>27</v>
      </c>
      <c r="B31" s="652" t="s">
        <v>639</v>
      </c>
      <c r="C31" s="660">
        <v>0</v>
      </c>
      <c r="D31" s="660">
        <v>0</v>
      </c>
      <c r="E31" s="653"/>
      <c r="F31" s="655">
        <f t="shared" si="0"/>
        <v>0</v>
      </c>
      <c r="G31" s="653"/>
    </row>
    <row r="32" spans="1:7">
      <c r="A32" s="659">
        <v>28</v>
      </c>
      <c r="B32" s="652" t="s">
        <v>640</v>
      </c>
      <c r="C32" s="660">
        <v>4</v>
      </c>
      <c r="D32" s="660">
        <v>10</v>
      </c>
      <c r="E32" s="653"/>
      <c r="F32" s="655">
        <f>D32*C32</f>
        <v>40</v>
      </c>
      <c r="G32" s="653"/>
    </row>
    <row r="33" spans="1:7">
      <c r="A33" s="659">
        <v>29</v>
      </c>
      <c r="B33" s="652" t="s">
        <v>641</v>
      </c>
      <c r="C33" s="660"/>
      <c r="D33" s="660"/>
      <c r="E33" s="653"/>
      <c r="F33" s="655"/>
      <c r="G33" s="653"/>
    </row>
    <row r="34" spans="1:7">
      <c r="A34" s="659">
        <v>30</v>
      </c>
      <c r="B34" s="652" t="s">
        <v>642</v>
      </c>
      <c r="C34" s="660"/>
      <c r="D34" s="660"/>
      <c r="E34" s="653"/>
      <c r="F34" s="655"/>
      <c r="G34" s="653"/>
    </row>
    <row r="35" spans="1:7">
      <c r="A35" s="659">
        <v>31</v>
      </c>
      <c r="B35" s="652" t="s">
        <v>643</v>
      </c>
      <c r="C35" s="660"/>
      <c r="D35" s="660"/>
      <c r="E35" s="653"/>
      <c r="F35" s="655"/>
      <c r="G35" s="653"/>
    </row>
    <row r="36" spans="1:7">
      <c r="A36" s="659">
        <v>32</v>
      </c>
      <c r="B36" s="652" t="s">
        <v>644</v>
      </c>
      <c r="C36" s="660"/>
      <c r="D36" s="660"/>
      <c r="E36" s="660"/>
      <c r="F36" s="655"/>
      <c r="G36" s="660"/>
    </row>
    <row r="37" spans="1:7">
      <c r="A37" s="659">
        <v>33</v>
      </c>
      <c r="B37" s="652" t="s">
        <v>645</v>
      </c>
      <c r="C37" s="660"/>
      <c r="D37" s="660"/>
      <c r="E37" s="653"/>
      <c r="F37" s="655"/>
      <c r="G37" s="653"/>
    </row>
    <row r="38" spans="1:7">
      <c r="A38" s="659">
        <v>34</v>
      </c>
      <c r="B38" s="652" t="s">
        <v>646</v>
      </c>
      <c r="C38" s="660"/>
      <c r="D38" s="660"/>
      <c r="E38" s="653"/>
      <c r="F38" s="655"/>
      <c r="G38" s="653"/>
    </row>
    <row r="39" spans="1:7">
      <c r="A39" s="659">
        <v>35</v>
      </c>
      <c r="B39" s="652" t="s">
        <v>647</v>
      </c>
      <c r="C39" s="660"/>
      <c r="D39" s="660"/>
      <c r="E39" s="653"/>
      <c r="F39" s="655"/>
      <c r="G39" s="653"/>
    </row>
    <row r="40" spans="1:7">
      <c r="A40" s="659">
        <v>36</v>
      </c>
      <c r="B40" s="652" t="s">
        <v>648</v>
      </c>
      <c r="C40" s="660"/>
      <c r="D40" s="660"/>
      <c r="E40" s="653"/>
      <c r="F40" s="655"/>
      <c r="G40" s="653"/>
    </row>
    <row r="41" spans="1:7">
      <c r="A41" s="659">
        <v>37</v>
      </c>
      <c r="B41" s="652" t="s">
        <v>649</v>
      </c>
      <c r="C41" s="660">
        <v>0</v>
      </c>
      <c r="D41" s="660">
        <v>0</v>
      </c>
      <c r="E41" s="653"/>
      <c r="F41" s="655">
        <f t="shared" ref="F41:F65" si="1">D41*C41</f>
        <v>0</v>
      </c>
      <c r="G41" s="653"/>
    </row>
    <row r="42" spans="1:7">
      <c r="A42" s="659">
        <v>38</v>
      </c>
      <c r="B42" s="652" t="s">
        <v>650</v>
      </c>
      <c r="C42" s="660">
        <v>0</v>
      </c>
      <c r="D42" s="660">
        <v>0</v>
      </c>
      <c r="E42" s="653"/>
      <c r="F42" s="655">
        <f t="shared" si="1"/>
        <v>0</v>
      </c>
      <c r="G42" s="653"/>
    </row>
    <row r="43" spans="1:7">
      <c r="A43" s="659">
        <v>39</v>
      </c>
      <c r="B43" s="652" t="s">
        <v>651</v>
      </c>
      <c r="C43" s="660">
        <v>0</v>
      </c>
      <c r="D43" s="660">
        <v>0</v>
      </c>
      <c r="E43" s="653"/>
      <c r="F43" s="655">
        <f t="shared" si="1"/>
        <v>0</v>
      </c>
      <c r="G43" s="653"/>
    </row>
    <row r="44" spans="1:7">
      <c r="A44" s="659">
        <v>40</v>
      </c>
      <c r="B44" s="652" t="s">
        <v>652</v>
      </c>
      <c r="C44" s="660">
        <v>0</v>
      </c>
      <c r="D44" s="660">
        <v>0</v>
      </c>
      <c r="E44" s="653"/>
      <c r="F44" s="655">
        <f t="shared" si="1"/>
        <v>0</v>
      </c>
      <c r="G44" s="653"/>
    </row>
    <row r="45" spans="1:7">
      <c r="A45" s="659">
        <v>41</v>
      </c>
      <c r="B45" s="652" t="s">
        <v>653</v>
      </c>
      <c r="C45" s="660">
        <v>0</v>
      </c>
      <c r="D45" s="660">
        <v>0</v>
      </c>
      <c r="E45" s="653"/>
      <c r="F45" s="655">
        <f t="shared" si="1"/>
        <v>0</v>
      </c>
      <c r="G45" s="653"/>
    </row>
    <row r="46" spans="1:7">
      <c r="A46" s="659">
        <v>42</v>
      </c>
      <c r="B46" s="652" t="s">
        <v>654</v>
      </c>
      <c r="C46" s="660">
        <v>0</v>
      </c>
      <c r="D46" s="660">
        <v>0</v>
      </c>
      <c r="E46" s="653"/>
      <c r="F46" s="655">
        <f t="shared" si="1"/>
        <v>0</v>
      </c>
      <c r="G46" s="653"/>
    </row>
    <row r="47" spans="1:7">
      <c r="A47" s="659">
        <v>43</v>
      </c>
      <c r="B47" s="652" t="s">
        <v>655</v>
      </c>
      <c r="C47" s="660">
        <v>0</v>
      </c>
      <c r="D47" s="660">
        <v>0</v>
      </c>
      <c r="E47" s="653"/>
      <c r="F47" s="655">
        <f t="shared" si="1"/>
        <v>0</v>
      </c>
      <c r="G47" s="653"/>
    </row>
    <row r="48" spans="1:7">
      <c r="A48" s="659">
        <v>44</v>
      </c>
      <c r="B48" s="652" t="s">
        <v>656</v>
      </c>
      <c r="C48" s="660">
        <v>0</v>
      </c>
      <c r="D48" s="660">
        <v>0</v>
      </c>
      <c r="E48" s="653"/>
      <c r="F48" s="655">
        <f t="shared" si="1"/>
        <v>0</v>
      </c>
      <c r="G48" s="653"/>
    </row>
    <row r="49" spans="1:7">
      <c r="A49" s="659">
        <v>45</v>
      </c>
      <c r="B49" s="652" t="s">
        <v>657</v>
      </c>
      <c r="C49" s="660">
        <v>0</v>
      </c>
      <c r="D49" s="660">
        <v>0</v>
      </c>
      <c r="E49" s="653"/>
      <c r="F49" s="655">
        <f t="shared" si="1"/>
        <v>0</v>
      </c>
      <c r="G49" s="653"/>
    </row>
    <row r="50" spans="1:7">
      <c r="A50" s="659">
        <v>46</v>
      </c>
      <c r="B50" s="652" t="s">
        <v>658</v>
      </c>
      <c r="C50" s="660">
        <v>0</v>
      </c>
      <c r="D50" s="660">
        <v>0</v>
      </c>
      <c r="E50" s="653"/>
      <c r="F50" s="655">
        <f t="shared" si="1"/>
        <v>0</v>
      </c>
      <c r="G50" s="653"/>
    </row>
    <row r="51" spans="1:7">
      <c r="A51" s="659">
        <v>47</v>
      </c>
      <c r="B51" s="652" t="s">
        <v>659</v>
      </c>
      <c r="C51" s="660">
        <v>0</v>
      </c>
      <c r="D51" s="660">
        <v>0</v>
      </c>
      <c r="E51" s="653"/>
      <c r="F51" s="655">
        <f t="shared" si="1"/>
        <v>0</v>
      </c>
      <c r="G51" s="653"/>
    </row>
    <row r="52" spans="1:7">
      <c r="A52" s="659">
        <v>48</v>
      </c>
      <c r="B52" s="652" t="s">
        <v>660</v>
      </c>
      <c r="C52" s="660">
        <v>0</v>
      </c>
      <c r="D52" s="660">
        <v>0</v>
      </c>
      <c r="E52" s="653"/>
      <c r="F52" s="655">
        <f t="shared" si="1"/>
        <v>0</v>
      </c>
      <c r="G52" s="653"/>
    </row>
    <row r="53" spans="1:7">
      <c r="A53" s="659">
        <v>49</v>
      </c>
      <c r="B53" s="652" t="s">
        <v>661</v>
      </c>
      <c r="C53" s="660">
        <v>0</v>
      </c>
      <c r="D53" s="660">
        <v>0</v>
      </c>
      <c r="E53" s="653"/>
      <c r="F53" s="655">
        <f t="shared" si="1"/>
        <v>0</v>
      </c>
      <c r="G53" s="653"/>
    </row>
    <row r="54" spans="1:7">
      <c r="A54" s="659">
        <v>50</v>
      </c>
      <c r="B54" s="652" t="s">
        <v>662</v>
      </c>
      <c r="C54" s="660">
        <v>0</v>
      </c>
      <c r="D54" s="660">
        <v>0</v>
      </c>
      <c r="E54" s="653"/>
      <c r="F54" s="655">
        <f t="shared" si="1"/>
        <v>0</v>
      </c>
      <c r="G54" s="653"/>
    </row>
    <row r="55" spans="1:7">
      <c r="A55" s="659">
        <v>51</v>
      </c>
      <c r="B55" s="652" t="s">
        <v>663</v>
      </c>
      <c r="C55" s="660">
        <v>0</v>
      </c>
      <c r="D55" s="660">
        <v>0</v>
      </c>
      <c r="E55" s="653"/>
      <c r="F55" s="655">
        <f t="shared" si="1"/>
        <v>0</v>
      </c>
      <c r="G55" s="653"/>
    </row>
    <row r="56" spans="1:7">
      <c r="A56" s="659">
        <v>52</v>
      </c>
      <c r="B56" s="652" t="s">
        <v>664</v>
      </c>
      <c r="C56" s="660">
        <v>0</v>
      </c>
      <c r="D56" s="660">
        <v>0</v>
      </c>
      <c r="E56" s="653"/>
      <c r="F56" s="655">
        <f t="shared" si="1"/>
        <v>0</v>
      </c>
      <c r="G56" s="653"/>
    </row>
    <row r="57" spans="1:7">
      <c r="A57" s="659">
        <v>53</v>
      </c>
      <c r="B57" s="652" t="s">
        <v>665</v>
      </c>
      <c r="C57" s="660">
        <v>0</v>
      </c>
      <c r="D57" s="660">
        <v>0</v>
      </c>
      <c r="E57" s="653"/>
      <c r="F57" s="655">
        <f t="shared" si="1"/>
        <v>0</v>
      </c>
      <c r="G57" s="653"/>
    </row>
    <row r="58" spans="1:7">
      <c r="A58" s="659">
        <v>54</v>
      </c>
      <c r="B58" s="652" t="s">
        <v>666</v>
      </c>
      <c r="C58" s="660">
        <v>0</v>
      </c>
      <c r="D58" s="660">
        <v>0</v>
      </c>
      <c r="E58" s="653"/>
      <c r="F58" s="655">
        <f t="shared" si="1"/>
        <v>0</v>
      </c>
      <c r="G58" s="653"/>
    </row>
    <row r="59" spans="1:7">
      <c r="A59" s="659">
        <v>55</v>
      </c>
      <c r="B59" s="652" t="s">
        <v>667</v>
      </c>
      <c r="C59" s="660"/>
      <c r="D59" s="660"/>
      <c r="E59" s="653"/>
      <c r="F59" s="655"/>
      <c r="G59" s="653"/>
    </row>
    <row r="60" spans="1:7">
      <c r="A60" s="659">
        <v>56</v>
      </c>
      <c r="B60" s="652" t="s">
        <v>668</v>
      </c>
      <c r="C60" s="660"/>
      <c r="D60" s="660"/>
      <c r="E60" s="653"/>
      <c r="F60" s="655"/>
      <c r="G60" s="653"/>
    </row>
    <row r="61" spans="1:7">
      <c r="A61" s="659">
        <v>57</v>
      </c>
      <c r="B61" s="652" t="s">
        <v>669</v>
      </c>
      <c r="C61" s="660">
        <v>4</v>
      </c>
      <c r="D61" s="660">
        <v>25</v>
      </c>
      <c r="E61" s="653"/>
      <c r="F61" s="655">
        <f>D61*C61</f>
        <v>100</v>
      </c>
      <c r="G61" s="653"/>
    </row>
    <row r="62" spans="1:7">
      <c r="A62" s="659">
        <v>58</v>
      </c>
      <c r="B62" s="652" t="s">
        <v>670</v>
      </c>
      <c r="C62" s="660">
        <v>4</v>
      </c>
      <c r="D62" s="660">
        <v>25</v>
      </c>
      <c r="E62" s="653"/>
      <c r="F62" s="655">
        <f>D62*C62</f>
        <v>100</v>
      </c>
      <c r="G62" s="653"/>
    </row>
    <row r="63" spans="1:7">
      <c r="A63" s="659">
        <v>59</v>
      </c>
      <c r="B63" s="652" t="s">
        <v>671</v>
      </c>
      <c r="C63" s="660">
        <v>4</v>
      </c>
      <c r="D63" s="660">
        <v>25</v>
      </c>
      <c r="E63" s="653"/>
      <c r="F63" s="655">
        <f t="shared" si="1"/>
        <v>100</v>
      </c>
      <c r="G63" s="653"/>
    </row>
    <row r="64" spans="1:7">
      <c r="A64" s="659">
        <v>60</v>
      </c>
      <c r="B64" s="652" t="s">
        <v>672</v>
      </c>
      <c r="C64" s="660">
        <v>4</v>
      </c>
      <c r="D64" s="660">
        <v>25</v>
      </c>
      <c r="E64" s="653"/>
      <c r="F64" s="655">
        <f t="shared" si="1"/>
        <v>100</v>
      </c>
      <c r="G64" s="653"/>
    </row>
    <row r="65" spans="1:7">
      <c r="A65" s="659">
        <v>61</v>
      </c>
      <c r="B65" s="652" t="s">
        <v>673</v>
      </c>
      <c r="C65" s="660">
        <v>4</v>
      </c>
      <c r="D65" s="660">
        <v>25</v>
      </c>
      <c r="E65" s="653"/>
      <c r="F65" s="655">
        <f t="shared" si="1"/>
        <v>100</v>
      </c>
      <c r="G65" s="653"/>
    </row>
    <row r="66" spans="1:7">
      <c r="A66" s="659">
        <v>62</v>
      </c>
      <c r="B66" s="652" t="s">
        <v>674</v>
      </c>
      <c r="C66" s="660">
        <v>4</v>
      </c>
      <c r="D66" s="660">
        <v>25</v>
      </c>
      <c r="E66" s="653"/>
      <c r="F66" s="655">
        <f t="shared" ref="F66:F74" si="2">D66*C66</f>
        <v>100</v>
      </c>
      <c r="G66" s="653"/>
    </row>
    <row r="67" spans="1:7">
      <c r="A67" s="659">
        <v>63</v>
      </c>
      <c r="B67" s="652" t="s">
        <v>675</v>
      </c>
      <c r="C67" s="660">
        <v>4</v>
      </c>
      <c r="D67" s="660">
        <v>25</v>
      </c>
      <c r="E67" s="653"/>
      <c r="F67" s="655">
        <f t="shared" si="2"/>
        <v>100</v>
      </c>
      <c r="G67" s="660"/>
    </row>
    <row r="68" spans="1:7">
      <c r="A68" s="659">
        <v>64</v>
      </c>
      <c r="B68" s="652" t="s">
        <v>676</v>
      </c>
      <c r="C68" s="660">
        <v>4</v>
      </c>
      <c r="D68" s="660">
        <v>25</v>
      </c>
      <c r="E68" s="653"/>
      <c r="F68" s="655">
        <f t="shared" si="2"/>
        <v>100</v>
      </c>
      <c r="G68" s="653"/>
    </row>
    <row r="69" spans="1:7">
      <c r="A69" s="659">
        <v>65</v>
      </c>
      <c r="B69" s="652" t="s">
        <v>677</v>
      </c>
      <c r="C69" s="660">
        <v>4</v>
      </c>
      <c r="D69" s="660">
        <v>25</v>
      </c>
      <c r="E69" s="653"/>
      <c r="F69" s="655">
        <f t="shared" si="2"/>
        <v>100</v>
      </c>
      <c r="G69" s="653"/>
    </row>
    <row r="70" spans="1:7">
      <c r="A70" s="659">
        <v>66</v>
      </c>
      <c r="B70" s="652" t="s">
        <v>678</v>
      </c>
      <c r="C70" s="660">
        <v>4</v>
      </c>
      <c r="D70" s="660">
        <v>25</v>
      </c>
      <c r="E70" s="653"/>
      <c r="F70" s="655">
        <f t="shared" si="2"/>
        <v>100</v>
      </c>
      <c r="G70" s="653"/>
    </row>
    <row r="71" spans="1:7">
      <c r="A71" s="659">
        <v>67</v>
      </c>
      <c r="B71" s="652" t="s">
        <v>679</v>
      </c>
      <c r="C71" s="660">
        <v>4</v>
      </c>
      <c r="D71" s="660">
        <v>25</v>
      </c>
      <c r="E71" s="653"/>
      <c r="F71" s="655">
        <f t="shared" si="2"/>
        <v>100</v>
      </c>
      <c r="G71" s="653"/>
    </row>
    <row r="72" spans="1:7">
      <c r="A72" s="659">
        <v>68</v>
      </c>
      <c r="B72" s="652" t="s">
        <v>680</v>
      </c>
      <c r="C72" s="660">
        <v>4</v>
      </c>
      <c r="D72" s="660">
        <v>25</v>
      </c>
      <c r="E72" s="653"/>
      <c r="F72" s="655">
        <f t="shared" si="2"/>
        <v>100</v>
      </c>
      <c r="G72" s="653"/>
    </row>
    <row r="73" spans="1:7">
      <c r="A73" s="659">
        <v>69</v>
      </c>
      <c r="B73" s="652" t="s">
        <v>681</v>
      </c>
      <c r="C73" s="660">
        <v>4</v>
      </c>
      <c r="D73" s="660">
        <v>25</v>
      </c>
      <c r="E73" s="653"/>
      <c r="F73" s="655">
        <f t="shared" si="2"/>
        <v>100</v>
      </c>
      <c r="G73" s="653"/>
    </row>
    <row r="74" spans="1:7">
      <c r="A74" s="659">
        <v>70</v>
      </c>
      <c r="B74" s="652" t="s">
        <v>693</v>
      </c>
      <c r="C74" s="660">
        <v>4</v>
      </c>
      <c r="D74" s="660">
        <v>15</v>
      </c>
      <c r="E74" s="653"/>
      <c r="F74" s="655">
        <f t="shared" si="2"/>
        <v>60</v>
      </c>
      <c r="G74" s="653"/>
    </row>
    <row r="75" spans="1:7">
      <c r="A75" s="1465" t="s">
        <v>691</v>
      </c>
      <c r="B75" s="1466"/>
      <c r="C75" s="1466"/>
      <c r="D75" s="1466"/>
      <c r="E75" s="1467"/>
      <c r="F75" s="651">
        <f>SUM(F5:F74)</f>
        <v>1440</v>
      </c>
      <c r="G75" s="661" t="s">
        <v>33</v>
      </c>
    </row>
  </sheetData>
  <mergeCells count="5">
    <mergeCell ref="A75:E75"/>
    <mergeCell ref="J3:P3"/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75"/>
  <sheetViews>
    <sheetView showGridLines="0" workbookViewId="0">
      <selection activeCell="U90" sqref="U90:V90"/>
    </sheetView>
  </sheetViews>
  <sheetFormatPr defaultColWidth="9.140625" defaultRowHeight="21.75"/>
  <cols>
    <col min="1" max="1" width="5.85546875" style="654" customWidth="1"/>
    <col min="2" max="2" width="9.140625" style="658"/>
    <col min="3" max="4" width="9.140625" style="648"/>
    <col min="5" max="5" width="7.85546875" style="648" customWidth="1"/>
    <col min="6" max="6" width="15.42578125" style="647" customWidth="1"/>
    <col min="7" max="7" width="30.42578125" style="648" customWidth="1"/>
    <col min="8" max="16384" width="9.140625" style="648"/>
  </cols>
  <sheetData>
    <row r="1" spans="1:16">
      <c r="A1" s="1470" t="str">
        <f>deep!A1</f>
        <v>โครงการ</v>
      </c>
      <c r="B1" s="1470"/>
      <c r="C1" s="1470"/>
      <c r="D1" s="1470"/>
      <c r="E1" s="1470"/>
      <c r="F1" s="1470"/>
      <c r="G1" s="1470"/>
      <c r="H1" s="647"/>
      <c r="I1" s="647"/>
      <c r="J1" s="647"/>
    </row>
    <row r="2" spans="1:16">
      <c r="A2" s="1470" t="str">
        <f>'ปร.4 (2)'!B5</f>
        <v>ตำบลพุแค - ตำบลห้วยบง  อำเภอเฉลิมพระเกียรติ  จังหวัดสระบุรี</v>
      </c>
      <c r="B2" s="1470"/>
      <c r="C2" s="1470"/>
      <c r="D2" s="1470"/>
      <c r="E2" s="1470"/>
      <c r="F2" s="1470"/>
      <c r="G2" s="1470"/>
      <c r="H2" s="647"/>
      <c r="I2" s="647"/>
      <c r="J2" s="647"/>
    </row>
    <row r="3" spans="1:16">
      <c r="A3" s="1468" t="s">
        <v>609</v>
      </c>
      <c r="B3" s="1469"/>
      <c r="C3" s="1469"/>
      <c r="D3" s="1469"/>
      <c r="E3" s="1469"/>
      <c r="F3" s="1469"/>
      <c r="G3" s="1469"/>
      <c r="H3" s="647"/>
      <c r="I3" s="647"/>
      <c r="J3" s="1468" t="s">
        <v>609</v>
      </c>
      <c r="K3" s="1469"/>
      <c r="L3" s="1469"/>
      <c r="M3" s="1469"/>
      <c r="N3" s="1469"/>
      <c r="O3" s="1469"/>
      <c r="P3" s="1469"/>
    </row>
    <row r="4" spans="1:16">
      <c r="A4" s="649" t="s">
        <v>0</v>
      </c>
      <c r="B4" s="657" t="s">
        <v>46</v>
      </c>
      <c r="C4" s="650" t="s">
        <v>610</v>
      </c>
      <c r="D4" s="650" t="s">
        <v>611</v>
      </c>
      <c r="E4" s="650" t="s">
        <v>612</v>
      </c>
      <c r="F4" s="650" t="s">
        <v>505</v>
      </c>
      <c r="G4" s="650" t="s">
        <v>20</v>
      </c>
    </row>
    <row r="5" spans="1:16">
      <c r="A5" s="659">
        <v>1</v>
      </c>
      <c r="B5" s="652" t="s">
        <v>613</v>
      </c>
      <c r="C5" s="660">
        <v>0</v>
      </c>
      <c r="D5" s="660">
        <v>25</v>
      </c>
      <c r="E5" s="653">
        <v>0.1</v>
      </c>
      <c r="F5" s="655">
        <f>C5*D5*E5</f>
        <v>0</v>
      </c>
      <c r="G5" s="660"/>
    </row>
    <row r="6" spans="1:16">
      <c r="A6" s="659">
        <v>2</v>
      </c>
      <c r="B6" s="652" t="s">
        <v>614</v>
      </c>
      <c r="C6" s="660">
        <v>0</v>
      </c>
      <c r="D6" s="660">
        <v>25</v>
      </c>
      <c r="E6" s="653">
        <v>0.1</v>
      </c>
      <c r="F6" s="655">
        <f t="shared" ref="F6:F37" si="0">C6*D6*E6</f>
        <v>0</v>
      </c>
      <c r="G6" s="653"/>
    </row>
    <row r="7" spans="1:16">
      <c r="A7" s="659">
        <v>3</v>
      </c>
      <c r="B7" s="652" t="s">
        <v>615</v>
      </c>
      <c r="C7" s="660">
        <v>0</v>
      </c>
      <c r="D7" s="660">
        <v>25</v>
      </c>
      <c r="E7" s="653">
        <v>0.1</v>
      </c>
      <c r="F7" s="655">
        <f t="shared" si="0"/>
        <v>0</v>
      </c>
      <c r="G7" s="653"/>
    </row>
    <row r="8" spans="1:16">
      <c r="A8" s="659">
        <v>4</v>
      </c>
      <c r="B8" s="652" t="s">
        <v>616</v>
      </c>
      <c r="C8" s="660">
        <v>0</v>
      </c>
      <c r="D8" s="660">
        <v>25</v>
      </c>
      <c r="E8" s="653">
        <v>0.1</v>
      </c>
      <c r="F8" s="655">
        <f t="shared" si="0"/>
        <v>0</v>
      </c>
      <c r="G8" s="653"/>
    </row>
    <row r="9" spans="1:16">
      <c r="A9" s="659">
        <v>5</v>
      </c>
      <c r="B9" s="652" t="s">
        <v>617</v>
      </c>
      <c r="C9" s="660">
        <v>0</v>
      </c>
      <c r="D9" s="660">
        <v>25</v>
      </c>
      <c r="E9" s="653">
        <v>0.1</v>
      </c>
      <c r="F9" s="655">
        <f t="shared" si="0"/>
        <v>0</v>
      </c>
      <c r="G9" s="653"/>
    </row>
    <row r="10" spans="1:16">
      <c r="A10" s="659">
        <v>6</v>
      </c>
      <c r="B10" s="652" t="s">
        <v>618</v>
      </c>
      <c r="C10" s="660">
        <v>0</v>
      </c>
      <c r="D10" s="660">
        <v>25</v>
      </c>
      <c r="E10" s="653">
        <v>0.1</v>
      </c>
      <c r="F10" s="655">
        <f t="shared" si="0"/>
        <v>0</v>
      </c>
      <c r="G10" s="653"/>
    </row>
    <row r="11" spans="1:16">
      <c r="A11" s="659">
        <v>7</v>
      </c>
      <c r="B11" s="652" t="s">
        <v>619</v>
      </c>
      <c r="C11" s="660">
        <v>0</v>
      </c>
      <c r="D11" s="660">
        <v>25</v>
      </c>
      <c r="E11" s="653">
        <v>0.1</v>
      </c>
      <c r="F11" s="655">
        <f t="shared" si="0"/>
        <v>0</v>
      </c>
      <c r="G11" s="653"/>
    </row>
    <row r="12" spans="1:16">
      <c r="A12" s="659">
        <v>8</v>
      </c>
      <c r="B12" s="652" t="s">
        <v>620</v>
      </c>
      <c r="C12" s="660">
        <v>0</v>
      </c>
      <c r="D12" s="660">
        <v>25</v>
      </c>
      <c r="E12" s="653">
        <v>0.1</v>
      </c>
      <c r="F12" s="655">
        <f t="shared" si="0"/>
        <v>0</v>
      </c>
      <c r="G12" s="653"/>
    </row>
    <row r="13" spans="1:16">
      <c r="A13" s="659">
        <v>9</v>
      </c>
      <c r="B13" s="652" t="s">
        <v>621</v>
      </c>
      <c r="C13" s="660">
        <v>0</v>
      </c>
      <c r="D13" s="660">
        <v>25</v>
      </c>
      <c r="E13" s="653">
        <v>0.1</v>
      </c>
      <c r="F13" s="655">
        <f t="shared" si="0"/>
        <v>0</v>
      </c>
      <c r="G13" s="653"/>
    </row>
    <row r="14" spans="1:16">
      <c r="A14" s="659">
        <v>10</v>
      </c>
      <c r="B14" s="652" t="s">
        <v>622</v>
      </c>
      <c r="C14" s="660">
        <v>0</v>
      </c>
      <c r="D14" s="660">
        <v>25</v>
      </c>
      <c r="E14" s="653">
        <v>0.1</v>
      </c>
      <c r="F14" s="655">
        <f t="shared" si="0"/>
        <v>0</v>
      </c>
      <c r="G14" s="653"/>
    </row>
    <row r="15" spans="1:16">
      <c r="A15" s="659">
        <v>11</v>
      </c>
      <c r="B15" s="652" t="s">
        <v>623</v>
      </c>
      <c r="C15" s="660">
        <v>6</v>
      </c>
      <c r="D15" s="660">
        <v>25</v>
      </c>
      <c r="E15" s="653">
        <v>0.1</v>
      </c>
      <c r="F15" s="655">
        <f t="shared" si="0"/>
        <v>15</v>
      </c>
      <c r="G15" s="653"/>
    </row>
    <row r="16" spans="1:16">
      <c r="A16" s="659">
        <v>12</v>
      </c>
      <c r="B16" s="652" t="s">
        <v>624</v>
      </c>
      <c r="C16" s="660">
        <v>6</v>
      </c>
      <c r="D16" s="660">
        <v>25</v>
      </c>
      <c r="E16" s="653">
        <v>0.1</v>
      </c>
      <c r="F16" s="655">
        <f t="shared" si="0"/>
        <v>15</v>
      </c>
      <c r="G16" s="653"/>
    </row>
    <row r="17" spans="1:7">
      <c r="A17" s="659">
        <v>13</v>
      </c>
      <c r="B17" s="652" t="s">
        <v>625</v>
      </c>
      <c r="C17" s="660">
        <v>6</v>
      </c>
      <c r="D17" s="660">
        <v>25</v>
      </c>
      <c r="E17" s="653">
        <v>0.1</v>
      </c>
      <c r="F17" s="655">
        <f t="shared" si="0"/>
        <v>15</v>
      </c>
      <c r="G17" s="653"/>
    </row>
    <row r="18" spans="1:7">
      <c r="A18" s="659">
        <v>14</v>
      </c>
      <c r="B18" s="652" t="s">
        <v>626</v>
      </c>
      <c r="C18" s="660">
        <v>6</v>
      </c>
      <c r="D18" s="660">
        <v>25</v>
      </c>
      <c r="E18" s="653">
        <v>0.1</v>
      </c>
      <c r="F18" s="655">
        <f t="shared" si="0"/>
        <v>15</v>
      </c>
      <c r="G18" s="653"/>
    </row>
    <row r="19" spans="1:7">
      <c r="A19" s="659">
        <v>15</v>
      </c>
      <c r="B19" s="652" t="s">
        <v>627</v>
      </c>
      <c r="C19" s="660">
        <v>6</v>
      </c>
      <c r="D19" s="660">
        <v>25</v>
      </c>
      <c r="E19" s="653">
        <v>0.1</v>
      </c>
      <c r="F19" s="655">
        <f t="shared" si="0"/>
        <v>15</v>
      </c>
      <c r="G19" s="653"/>
    </row>
    <row r="20" spans="1:7">
      <c r="A20" s="659">
        <v>16</v>
      </c>
      <c r="B20" s="652" t="s">
        <v>628</v>
      </c>
      <c r="C20" s="660">
        <v>6</v>
      </c>
      <c r="D20" s="660">
        <v>25</v>
      </c>
      <c r="E20" s="653">
        <v>0.1</v>
      </c>
      <c r="F20" s="655">
        <f t="shared" si="0"/>
        <v>15</v>
      </c>
      <c r="G20" s="653"/>
    </row>
    <row r="21" spans="1:7">
      <c r="A21" s="659">
        <v>17</v>
      </c>
      <c r="B21" s="652" t="s">
        <v>629</v>
      </c>
      <c r="C21" s="660">
        <v>6</v>
      </c>
      <c r="D21" s="660">
        <v>25</v>
      </c>
      <c r="E21" s="653">
        <v>0.1</v>
      </c>
      <c r="F21" s="655">
        <f t="shared" si="0"/>
        <v>15</v>
      </c>
      <c r="G21" s="653"/>
    </row>
    <row r="22" spans="1:7">
      <c r="A22" s="659">
        <v>18</v>
      </c>
      <c r="B22" s="652" t="s">
        <v>630</v>
      </c>
      <c r="C22" s="660">
        <v>6</v>
      </c>
      <c r="D22" s="660">
        <v>25</v>
      </c>
      <c r="E22" s="653">
        <v>0.1</v>
      </c>
      <c r="F22" s="655">
        <f t="shared" si="0"/>
        <v>15</v>
      </c>
      <c r="G22" s="653"/>
    </row>
    <row r="23" spans="1:7">
      <c r="A23" s="659">
        <v>19</v>
      </c>
      <c r="B23" s="652" t="s">
        <v>631</v>
      </c>
      <c r="C23" s="660">
        <v>6</v>
      </c>
      <c r="D23" s="660">
        <v>25</v>
      </c>
      <c r="E23" s="653">
        <v>0.1</v>
      </c>
      <c r="F23" s="655">
        <f t="shared" si="0"/>
        <v>15</v>
      </c>
      <c r="G23" s="653"/>
    </row>
    <row r="24" spans="1:7">
      <c r="A24" s="659">
        <v>20</v>
      </c>
      <c r="B24" s="652" t="s">
        <v>632</v>
      </c>
      <c r="C24" s="660">
        <v>6</v>
      </c>
      <c r="D24" s="660">
        <v>25</v>
      </c>
      <c r="E24" s="653">
        <v>0.1</v>
      </c>
      <c r="F24" s="655">
        <f t="shared" si="0"/>
        <v>15</v>
      </c>
      <c r="G24" s="653"/>
    </row>
    <row r="25" spans="1:7">
      <c r="A25" s="659">
        <v>21</v>
      </c>
      <c r="B25" s="652" t="s">
        <v>633</v>
      </c>
      <c r="C25" s="660">
        <v>6</v>
      </c>
      <c r="D25" s="660">
        <v>25</v>
      </c>
      <c r="E25" s="653">
        <v>0.1</v>
      </c>
      <c r="F25" s="655">
        <f t="shared" si="0"/>
        <v>15</v>
      </c>
      <c r="G25" s="653"/>
    </row>
    <row r="26" spans="1:7">
      <c r="A26" s="659">
        <v>22</v>
      </c>
      <c r="B26" s="652" t="s">
        <v>634</v>
      </c>
      <c r="C26" s="660">
        <v>6</v>
      </c>
      <c r="D26" s="660">
        <v>25</v>
      </c>
      <c r="E26" s="653">
        <v>0.1</v>
      </c>
      <c r="F26" s="655">
        <f t="shared" si="0"/>
        <v>15</v>
      </c>
      <c r="G26" s="653"/>
    </row>
    <row r="27" spans="1:7">
      <c r="A27" s="659">
        <v>23</v>
      </c>
      <c r="B27" s="652" t="s">
        <v>635</v>
      </c>
      <c r="C27" s="660">
        <v>6</v>
      </c>
      <c r="D27" s="660">
        <v>25</v>
      </c>
      <c r="E27" s="653">
        <v>0.1</v>
      </c>
      <c r="F27" s="655">
        <f t="shared" si="0"/>
        <v>15</v>
      </c>
      <c r="G27" s="653"/>
    </row>
    <row r="28" spans="1:7">
      <c r="A28" s="659">
        <v>24</v>
      </c>
      <c r="B28" s="652" t="s">
        <v>636</v>
      </c>
      <c r="C28" s="660">
        <v>6</v>
      </c>
      <c r="D28" s="660">
        <v>25</v>
      </c>
      <c r="E28" s="653">
        <v>0.1</v>
      </c>
      <c r="F28" s="655">
        <f t="shared" si="0"/>
        <v>15</v>
      </c>
      <c r="G28" s="653"/>
    </row>
    <row r="29" spans="1:7">
      <c r="A29" s="659">
        <v>25</v>
      </c>
      <c r="B29" s="652" t="s">
        <v>637</v>
      </c>
      <c r="C29" s="660">
        <v>6</v>
      </c>
      <c r="D29" s="660">
        <v>25</v>
      </c>
      <c r="E29" s="653">
        <v>0.1</v>
      </c>
      <c r="F29" s="655">
        <f t="shared" si="0"/>
        <v>15</v>
      </c>
      <c r="G29" s="653"/>
    </row>
    <row r="30" spans="1:7">
      <c r="A30" s="659">
        <v>26</v>
      </c>
      <c r="B30" s="652" t="s">
        <v>638</v>
      </c>
      <c r="C30" s="660">
        <v>6</v>
      </c>
      <c r="D30" s="660">
        <v>25</v>
      </c>
      <c r="E30" s="653">
        <v>0.1</v>
      </c>
      <c r="F30" s="655">
        <f t="shared" si="0"/>
        <v>15</v>
      </c>
      <c r="G30" s="653"/>
    </row>
    <row r="31" spans="1:7">
      <c r="A31" s="659">
        <v>27</v>
      </c>
      <c r="B31" s="652" t="s">
        <v>639</v>
      </c>
      <c r="C31" s="660">
        <v>6</v>
      </c>
      <c r="D31" s="660">
        <v>25</v>
      </c>
      <c r="E31" s="653">
        <v>0.1</v>
      </c>
      <c r="F31" s="655">
        <f t="shared" si="0"/>
        <v>15</v>
      </c>
      <c r="G31" s="653"/>
    </row>
    <row r="32" spans="1:7">
      <c r="A32" s="659">
        <v>28</v>
      </c>
      <c r="B32" s="652" t="s">
        <v>640</v>
      </c>
      <c r="C32" s="660">
        <v>6</v>
      </c>
      <c r="D32" s="660">
        <v>25</v>
      </c>
      <c r="E32" s="653">
        <v>0.1</v>
      </c>
      <c r="F32" s="655">
        <f t="shared" si="0"/>
        <v>15</v>
      </c>
      <c r="G32" s="653"/>
    </row>
    <row r="33" spans="1:7">
      <c r="A33" s="659">
        <v>29</v>
      </c>
      <c r="B33" s="652" t="s">
        <v>641</v>
      </c>
      <c r="C33" s="660">
        <v>6</v>
      </c>
      <c r="D33" s="660">
        <v>25</v>
      </c>
      <c r="E33" s="653">
        <v>0.1</v>
      </c>
      <c r="F33" s="655">
        <f t="shared" si="0"/>
        <v>15</v>
      </c>
      <c r="G33" s="653"/>
    </row>
    <row r="34" spans="1:7">
      <c r="A34" s="659">
        <v>30</v>
      </c>
      <c r="B34" s="652" t="s">
        <v>642</v>
      </c>
      <c r="C34" s="660">
        <v>6</v>
      </c>
      <c r="D34" s="660">
        <v>25</v>
      </c>
      <c r="E34" s="653">
        <v>0.1</v>
      </c>
      <c r="F34" s="655">
        <f t="shared" si="0"/>
        <v>15</v>
      </c>
      <c r="G34" s="653"/>
    </row>
    <row r="35" spans="1:7">
      <c r="A35" s="659">
        <v>31</v>
      </c>
      <c r="B35" s="652" t="s">
        <v>643</v>
      </c>
      <c r="C35" s="660">
        <v>6</v>
      </c>
      <c r="D35" s="660">
        <v>25</v>
      </c>
      <c r="E35" s="653">
        <v>0.1</v>
      </c>
      <c r="F35" s="655">
        <f t="shared" si="0"/>
        <v>15</v>
      </c>
      <c r="G35" s="653"/>
    </row>
    <row r="36" spans="1:7">
      <c r="A36" s="659">
        <v>32</v>
      </c>
      <c r="B36" s="652" t="s">
        <v>644</v>
      </c>
      <c r="C36" s="660">
        <v>6</v>
      </c>
      <c r="D36" s="660">
        <v>25</v>
      </c>
      <c r="E36" s="653">
        <v>0.1</v>
      </c>
      <c r="F36" s="655">
        <f t="shared" si="0"/>
        <v>15</v>
      </c>
      <c r="G36" s="660"/>
    </row>
    <row r="37" spans="1:7">
      <c r="A37" s="659">
        <v>33</v>
      </c>
      <c r="B37" s="652" t="s">
        <v>645</v>
      </c>
      <c r="C37" s="660">
        <v>6</v>
      </c>
      <c r="D37" s="660">
        <v>25</v>
      </c>
      <c r="E37" s="653">
        <v>0.1</v>
      </c>
      <c r="F37" s="655">
        <f t="shared" si="0"/>
        <v>15</v>
      </c>
      <c r="G37" s="653"/>
    </row>
    <row r="38" spans="1:7">
      <c r="A38" s="659">
        <v>34</v>
      </c>
      <c r="B38" s="652" t="s">
        <v>646</v>
      </c>
      <c r="C38" s="660">
        <v>6</v>
      </c>
      <c r="D38" s="660">
        <v>25</v>
      </c>
      <c r="E38" s="653">
        <v>0.1</v>
      </c>
      <c r="F38" s="655">
        <f t="shared" ref="F38:F69" si="1">C38*D38*E38</f>
        <v>15</v>
      </c>
      <c r="G38" s="653"/>
    </row>
    <row r="39" spans="1:7">
      <c r="A39" s="659">
        <v>35</v>
      </c>
      <c r="B39" s="652" t="s">
        <v>647</v>
      </c>
      <c r="C39" s="660">
        <v>6</v>
      </c>
      <c r="D39" s="660">
        <v>25</v>
      </c>
      <c r="E39" s="653">
        <v>0.1</v>
      </c>
      <c r="F39" s="655">
        <f t="shared" si="1"/>
        <v>15</v>
      </c>
      <c r="G39" s="653"/>
    </row>
    <row r="40" spans="1:7">
      <c r="A40" s="659">
        <v>36</v>
      </c>
      <c r="B40" s="652" t="s">
        <v>648</v>
      </c>
      <c r="C40" s="660">
        <v>6</v>
      </c>
      <c r="D40" s="660">
        <v>25</v>
      </c>
      <c r="E40" s="653">
        <v>0.1</v>
      </c>
      <c r="F40" s="655">
        <f t="shared" si="1"/>
        <v>15</v>
      </c>
      <c r="G40" s="653"/>
    </row>
    <row r="41" spans="1:7">
      <c r="A41" s="659">
        <v>37</v>
      </c>
      <c r="B41" s="652" t="s">
        <v>649</v>
      </c>
      <c r="C41" s="660">
        <v>6</v>
      </c>
      <c r="D41" s="660">
        <v>25</v>
      </c>
      <c r="E41" s="653">
        <v>0.1</v>
      </c>
      <c r="F41" s="655">
        <f t="shared" si="1"/>
        <v>15</v>
      </c>
      <c r="G41" s="653"/>
    </row>
    <row r="42" spans="1:7">
      <c r="A42" s="659">
        <v>38</v>
      </c>
      <c r="B42" s="652" t="s">
        <v>650</v>
      </c>
      <c r="C42" s="660">
        <v>6</v>
      </c>
      <c r="D42" s="660">
        <v>25</v>
      </c>
      <c r="E42" s="653">
        <v>0.1</v>
      </c>
      <c r="F42" s="655">
        <f t="shared" si="1"/>
        <v>15</v>
      </c>
      <c r="G42" s="653"/>
    </row>
    <row r="43" spans="1:7">
      <c r="A43" s="659">
        <v>39</v>
      </c>
      <c r="B43" s="652" t="s">
        <v>651</v>
      </c>
      <c r="C43" s="660">
        <v>6</v>
      </c>
      <c r="D43" s="660">
        <v>25</v>
      </c>
      <c r="E43" s="653">
        <v>0.1</v>
      </c>
      <c r="F43" s="655">
        <f t="shared" si="1"/>
        <v>15</v>
      </c>
      <c r="G43" s="653"/>
    </row>
    <row r="44" spans="1:7">
      <c r="A44" s="659">
        <v>40</v>
      </c>
      <c r="B44" s="652" t="s">
        <v>652</v>
      </c>
      <c r="C44" s="660">
        <v>6</v>
      </c>
      <c r="D44" s="660">
        <v>25</v>
      </c>
      <c r="E44" s="653">
        <v>0.1</v>
      </c>
      <c r="F44" s="655">
        <f t="shared" si="1"/>
        <v>15</v>
      </c>
      <c r="G44" s="653"/>
    </row>
    <row r="45" spans="1:7">
      <c r="A45" s="659">
        <v>41</v>
      </c>
      <c r="B45" s="652" t="s">
        <v>653</v>
      </c>
      <c r="C45" s="660">
        <v>6</v>
      </c>
      <c r="D45" s="660">
        <v>25</v>
      </c>
      <c r="E45" s="653">
        <v>0.1</v>
      </c>
      <c r="F45" s="655">
        <f t="shared" si="1"/>
        <v>15</v>
      </c>
      <c r="G45" s="653"/>
    </row>
    <row r="46" spans="1:7">
      <c r="A46" s="659">
        <v>42</v>
      </c>
      <c r="B46" s="652" t="s">
        <v>654</v>
      </c>
      <c r="C46" s="660">
        <v>6</v>
      </c>
      <c r="D46" s="660">
        <v>25</v>
      </c>
      <c r="E46" s="653">
        <v>0.1</v>
      </c>
      <c r="F46" s="655">
        <f t="shared" si="1"/>
        <v>15</v>
      </c>
      <c r="G46" s="653"/>
    </row>
    <row r="47" spans="1:7">
      <c r="A47" s="659">
        <v>43</v>
      </c>
      <c r="B47" s="652" t="s">
        <v>655</v>
      </c>
      <c r="C47" s="660">
        <v>6</v>
      </c>
      <c r="D47" s="660">
        <v>25</v>
      </c>
      <c r="E47" s="653">
        <v>0.1</v>
      </c>
      <c r="F47" s="655">
        <f t="shared" si="1"/>
        <v>15</v>
      </c>
      <c r="G47" s="653"/>
    </row>
    <row r="48" spans="1:7">
      <c r="A48" s="659">
        <v>44</v>
      </c>
      <c r="B48" s="652" t="s">
        <v>656</v>
      </c>
      <c r="C48" s="660">
        <v>6</v>
      </c>
      <c r="D48" s="660">
        <v>25</v>
      </c>
      <c r="E48" s="653">
        <v>0.1</v>
      </c>
      <c r="F48" s="655">
        <f t="shared" si="1"/>
        <v>15</v>
      </c>
      <c r="G48" s="653"/>
    </row>
    <row r="49" spans="1:7">
      <c r="A49" s="659">
        <v>45</v>
      </c>
      <c r="B49" s="652" t="s">
        <v>657</v>
      </c>
      <c r="C49" s="660">
        <v>6</v>
      </c>
      <c r="D49" s="660">
        <v>25</v>
      </c>
      <c r="E49" s="653">
        <v>0.1</v>
      </c>
      <c r="F49" s="655">
        <f t="shared" si="1"/>
        <v>15</v>
      </c>
      <c r="G49" s="653"/>
    </row>
    <row r="50" spans="1:7">
      <c r="A50" s="659">
        <v>46</v>
      </c>
      <c r="B50" s="652" t="s">
        <v>658</v>
      </c>
      <c r="C50" s="660">
        <v>6</v>
      </c>
      <c r="D50" s="660">
        <v>25</v>
      </c>
      <c r="E50" s="653">
        <v>0.1</v>
      </c>
      <c r="F50" s="655">
        <f t="shared" si="1"/>
        <v>15</v>
      </c>
      <c r="G50" s="653"/>
    </row>
    <row r="51" spans="1:7">
      <c r="A51" s="659">
        <v>47</v>
      </c>
      <c r="B51" s="652" t="s">
        <v>659</v>
      </c>
      <c r="C51" s="660">
        <v>6</v>
      </c>
      <c r="D51" s="660">
        <v>25</v>
      </c>
      <c r="E51" s="653">
        <v>0.1</v>
      </c>
      <c r="F51" s="655">
        <f t="shared" si="1"/>
        <v>15</v>
      </c>
      <c r="G51" s="653"/>
    </row>
    <row r="52" spans="1:7">
      <c r="A52" s="659">
        <v>48</v>
      </c>
      <c r="B52" s="652" t="s">
        <v>660</v>
      </c>
      <c r="C52" s="660">
        <v>6</v>
      </c>
      <c r="D52" s="660">
        <v>25</v>
      </c>
      <c r="E52" s="653">
        <v>0.1</v>
      </c>
      <c r="F52" s="655">
        <f t="shared" si="1"/>
        <v>15</v>
      </c>
      <c r="G52" s="653"/>
    </row>
    <row r="53" spans="1:7">
      <c r="A53" s="659">
        <v>49</v>
      </c>
      <c r="B53" s="652" t="s">
        <v>661</v>
      </c>
      <c r="C53" s="660">
        <v>6</v>
      </c>
      <c r="D53" s="660">
        <v>25</v>
      </c>
      <c r="E53" s="653">
        <v>0.1</v>
      </c>
      <c r="F53" s="655">
        <f t="shared" si="1"/>
        <v>15</v>
      </c>
      <c r="G53" s="653"/>
    </row>
    <row r="54" spans="1:7">
      <c r="A54" s="659">
        <v>50</v>
      </c>
      <c r="B54" s="652" t="s">
        <v>662</v>
      </c>
      <c r="C54" s="660">
        <v>6</v>
      </c>
      <c r="D54" s="660">
        <v>25</v>
      </c>
      <c r="E54" s="653">
        <v>0.1</v>
      </c>
      <c r="F54" s="655">
        <f t="shared" si="1"/>
        <v>15</v>
      </c>
      <c r="G54" s="653"/>
    </row>
    <row r="55" spans="1:7">
      <c r="A55" s="659">
        <v>51</v>
      </c>
      <c r="B55" s="652" t="s">
        <v>663</v>
      </c>
      <c r="C55" s="660">
        <v>6</v>
      </c>
      <c r="D55" s="660">
        <v>25</v>
      </c>
      <c r="E55" s="653">
        <v>0.1</v>
      </c>
      <c r="F55" s="655">
        <f t="shared" si="1"/>
        <v>15</v>
      </c>
      <c r="G55" s="653"/>
    </row>
    <row r="56" spans="1:7">
      <c r="A56" s="659">
        <v>52</v>
      </c>
      <c r="B56" s="652" t="s">
        <v>664</v>
      </c>
      <c r="C56" s="660">
        <v>6</v>
      </c>
      <c r="D56" s="660">
        <v>25</v>
      </c>
      <c r="E56" s="653">
        <v>0.1</v>
      </c>
      <c r="F56" s="655">
        <f t="shared" si="1"/>
        <v>15</v>
      </c>
      <c r="G56" s="653"/>
    </row>
    <row r="57" spans="1:7">
      <c r="A57" s="659">
        <v>53</v>
      </c>
      <c r="B57" s="652" t="s">
        <v>665</v>
      </c>
      <c r="C57" s="660">
        <v>6</v>
      </c>
      <c r="D57" s="660">
        <v>25</v>
      </c>
      <c r="E57" s="653">
        <v>0.1</v>
      </c>
      <c r="F57" s="655">
        <f t="shared" si="1"/>
        <v>15</v>
      </c>
      <c r="G57" s="653"/>
    </row>
    <row r="58" spans="1:7">
      <c r="A58" s="659">
        <v>54</v>
      </c>
      <c r="B58" s="652" t="s">
        <v>666</v>
      </c>
      <c r="C58" s="660">
        <v>6</v>
      </c>
      <c r="D58" s="660">
        <v>25</v>
      </c>
      <c r="E58" s="653">
        <v>0.1</v>
      </c>
      <c r="F58" s="655">
        <f t="shared" si="1"/>
        <v>15</v>
      </c>
      <c r="G58" s="653"/>
    </row>
    <row r="59" spans="1:7">
      <c r="A59" s="659">
        <v>55</v>
      </c>
      <c r="B59" s="652" t="s">
        <v>667</v>
      </c>
      <c r="C59" s="660">
        <v>6</v>
      </c>
      <c r="D59" s="660">
        <v>25</v>
      </c>
      <c r="E59" s="653">
        <v>0.1</v>
      </c>
      <c r="F59" s="655">
        <f t="shared" si="1"/>
        <v>15</v>
      </c>
      <c r="G59" s="653"/>
    </row>
    <row r="60" spans="1:7">
      <c r="A60" s="659">
        <v>56</v>
      </c>
      <c r="B60" s="652" t="s">
        <v>668</v>
      </c>
      <c r="C60" s="660">
        <v>6</v>
      </c>
      <c r="D60" s="660">
        <v>25</v>
      </c>
      <c r="E60" s="653">
        <v>0.1</v>
      </c>
      <c r="F60" s="655">
        <f t="shared" si="1"/>
        <v>15</v>
      </c>
      <c r="G60" s="653"/>
    </row>
    <row r="61" spans="1:7">
      <c r="A61" s="659">
        <v>57</v>
      </c>
      <c r="B61" s="652" t="s">
        <v>669</v>
      </c>
      <c r="C61" s="660">
        <v>6</v>
      </c>
      <c r="D61" s="660">
        <v>25</v>
      </c>
      <c r="E61" s="653">
        <v>0.1</v>
      </c>
      <c r="F61" s="655">
        <f t="shared" si="1"/>
        <v>15</v>
      </c>
      <c r="G61" s="653"/>
    </row>
    <row r="62" spans="1:7">
      <c r="A62" s="659">
        <v>58</v>
      </c>
      <c r="B62" s="652" t="s">
        <v>670</v>
      </c>
      <c r="C62" s="660">
        <v>6</v>
      </c>
      <c r="D62" s="660">
        <v>25</v>
      </c>
      <c r="E62" s="653">
        <v>0.1</v>
      </c>
      <c r="F62" s="655">
        <f t="shared" si="1"/>
        <v>15</v>
      </c>
      <c r="G62" s="653"/>
    </row>
    <row r="63" spans="1:7">
      <c r="A63" s="659">
        <v>59</v>
      </c>
      <c r="B63" s="652" t="s">
        <v>671</v>
      </c>
      <c r="C63" s="660">
        <v>6</v>
      </c>
      <c r="D63" s="660">
        <v>25</v>
      </c>
      <c r="E63" s="653">
        <v>0.1</v>
      </c>
      <c r="F63" s="655">
        <f t="shared" si="1"/>
        <v>15</v>
      </c>
      <c r="G63" s="653"/>
    </row>
    <row r="64" spans="1:7">
      <c r="A64" s="659">
        <v>60</v>
      </c>
      <c r="B64" s="652" t="s">
        <v>672</v>
      </c>
      <c r="C64" s="660">
        <v>6</v>
      </c>
      <c r="D64" s="660">
        <v>25</v>
      </c>
      <c r="E64" s="653">
        <v>0.1</v>
      </c>
      <c r="F64" s="655">
        <f t="shared" si="1"/>
        <v>15</v>
      </c>
      <c r="G64" s="653"/>
    </row>
    <row r="65" spans="1:7">
      <c r="A65" s="659">
        <v>61</v>
      </c>
      <c r="B65" s="652" t="s">
        <v>673</v>
      </c>
      <c r="C65" s="660">
        <v>6</v>
      </c>
      <c r="D65" s="660">
        <v>25</v>
      </c>
      <c r="E65" s="653">
        <v>0.1</v>
      </c>
      <c r="F65" s="655">
        <f t="shared" si="1"/>
        <v>15</v>
      </c>
      <c r="G65" s="653"/>
    </row>
    <row r="66" spans="1:7">
      <c r="A66" s="659">
        <v>62</v>
      </c>
      <c r="B66" s="652" t="s">
        <v>674</v>
      </c>
      <c r="C66" s="660">
        <v>6</v>
      </c>
      <c r="D66" s="660">
        <v>25</v>
      </c>
      <c r="E66" s="653">
        <v>0.1</v>
      </c>
      <c r="F66" s="655">
        <f t="shared" si="1"/>
        <v>15</v>
      </c>
      <c r="G66" s="653"/>
    </row>
    <row r="67" spans="1:7">
      <c r="A67" s="659">
        <v>63</v>
      </c>
      <c r="B67" s="652" t="s">
        <v>675</v>
      </c>
      <c r="C67" s="660">
        <v>6</v>
      </c>
      <c r="D67" s="660">
        <v>25</v>
      </c>
      <c r="E67" s="653">
        <v>0.1</v>
      </c>
      <c r="F67" s="655">
        <f t="shared" si="1"/>
        <v>15</v>
      </c>
      <c r="G67" s="660"/>
    </row>
    <row r="68" spans="1:7">
      <c r="A68" s="659">
        <v>64</v>
      </c>
      <c r="B68" s="652" t="s">
        <v>676</v>
      </c>
      <c r="C68" s="660">
        <v>6</v>
      </c>
      <c r="D68" s="660">
        <v>25</v>
      </c>
      <c r="E68" s="653">
        <v>0.1</v>
      </c>
      <c r="F68" s="655">
        <f t="shared" si="1"/>
        <v>15</v>
      </c>
      <c r="G68" s="653"/>
    </row>
    <row r="69" spans="1:7">
      <c r="A69" s="659">
        <v>65</v>
      </c>
      <c r="B69" s="652" t="s">
        <v>677</v>
      </c>
      <c r="C69" s="660">
        <v>6</v>
      </c>
      <c r="D69" s="660">
        <v>25</v>
      </c>
      <c r="E69" s="653">
        <v>0.1</v>
      </c>
      <c r="F69" s="655">
        <f t="shared" si="1"/>
        <v>15</v>
      </c>
      <c r="G69" s="653"/>
    </row>
    <row r="70" spans="1:7">
      <c r="A70" s="659">
        <v>66</v>
      </c>
      <c r="B70" s="652" t="s">
        <v>678</v>
      </c>
      <c r="C70" s="660">
        <v>6</v>
      </c>
      <c r="D70" s="660">
        <v>25</v>
      </c>
      <c r="E70" s="653">
        <v>0.1</v>
      </c>
      <c r="F70" s="655">
        <f>C70*D70*E70</f>
        <v>15</v>
      </c>
      <c r="G70" s="653"/>
    </row>
    <row r="71" spans="1:7">
      <c r="A71" s="659">
        <v>67</v>
      </c>
      <c r="B71" s="652" t="s">
        <v>679</v>
      </c>
      <c r="C71" s="660">
        <v>6</v>
      </c>
      <c r="D71" s="660">
        <v>25</v>
      </c>
      <c r="E71" s="653">
        <v>0.1</v>
      </c>
      <c r="F71" s="655">
        <f>C71*D71*E71</f>
        <v>15</v>
      </c>
      <c r="G71" s="653"/>
    </row>
    <row r="72" spans="1:7">
      <c r="A72" s="659">
        <v>68</v>
      </c>
      <c r="B72" s="652" t="s">
        <v>680</v>
      </c>
      <c r="C72" s="660">
        <v>6</v>
      </c>
      <c r="D72" s="660">
        <v>25</v>
      </c>
      <c r="E72" s="653">
        <v>0.1</v>
      </c>
      <c r="F72" s="655">
        <f>C72*D72*E72</f>
        <v>15</v>
      </c>
      <c r="G72" s="653"/>
    </row>
    <row r="73" spans="1:7">
      <c r="A73" s="659">
        <v>69</v>
      </c>
      <c r="B73" s="652" t="s">
        <v>681</v>
      </c>
      <c r="C73" s="660">
        <v>6</v>
      </c>
      <c r="D73" s="660">
        <v>25</v>
      </c>
      <c r="E73" s="653">
        <v>0.1</v>
      </c>
      <c r="F73" s="655">
        <f>C73*D73*E73</f>
        <v>15</v>
      </c>
      <c r="G73" s="653"/>
    </row>
    <row r="74" spans="1:7">
      <c r="A74" s="659">
        <v>70</v>
      </c>
      <c r="B74" s="652" t="s">
        <v>693</v>
      </c>
      <c r="C74" s="660">
        <v>6</v>
      </c>
      <c r="D74" s="660">
        <v>25</v>
      </c>
      <c r="E74" s="653">
        <v>0.1</v>
      </c>
      <c r="F74" s="655">
        <f>C74*D74*E74</f>
        <v>15</v>
      </c>
      <c r="G74" s="653"/>
    </row>
    <row r="75" spans="1:7">
      <c r="A75" s="1465" t="s">
        <v>691</v>
      </c>
      <c r="B75" s="1466"/>
      <c r="C75" s="1466"/>
      <c r="D75" s="1466"/>
      <c r="E75" s="1467"/>
      <c r="F75" s="651">
        <f>SUM(F5:F74)</f>
        <v>900</v>
      </c>
      <c r="G75" s="661" t="s">
        <v>34</v>
      </c>
    </row>
  </sheetData>
  <mergeCells count="5">
    <mergeCell ref="A1:G1"/>
    <mergeCell ref="A2:G2"/>
    <mergeCell ref="A3:G3"/>
    <mergeCell ref="J3:P3"/>
    <mergeCell ref="A75:E75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4"/>
  <dimension ref="A1:Q137"/>
  <sheetViews>
    <sheetView topLeftCell="A145" zoomScale="110" zoomScaleNormal="110" workbookViewId="0">
      <selection activeCell="B109" sqref="B109:C119"/>
    </sheetView>
  </sheetViews>
  <sheetFormatPr defaultColWidth="9.140625" defaultRowHeight="21"/>
  <cols>
    <col min="1" max="1" width="2.85546875" style="66" customWidth="1"/>
    <col min="2" max="2" width="10.140625" style="66" customWidth="1"/>
    <col min="3" max="3" width="31.5703125" style="66" customWidth="1"/>
    <col min="4" max="4" width="7.140625" style="66" customWidth="1"/>
    <col min="5" max="5" width="5.140625" style="66" customWidth="1"/>
    <col min="6" max="6" width="7" style="66" customWidth="1"/>
    <col min="7" max="7" width="6.7109375" style="66" customWidth="1"/>
    <col min="8" max="8" width="9.42578125" style="66" customWidth="1"/>
    <col min="9" max="9" width="20.140625" style="66" customWidth="1"/>
    <col min="10" max="10" width="9.28515625" style="66" customWidth="1"/>
    <col min="11" max="11" width="10.85546875" style="66" customWidth="1"/>
    <col min="12" max="12" width="10.42578125" style="66" customWidth="1"/>
    <col min="13" max="13" width="6.7109375" style="66" customWidth="1"/>
    <col min="14" max="14" width="4" style="66" customWidth="1"/>
    <col min="15" max="16" width="9.140625" style="66"/>
    <col min="17" max="17" width="10.28515625" style="66" customWidth="1"/>
    <col min="18" max="16384" width="9.140625" style="66"/>
  </cols>
  <sheetData>
    <row r="1" spans="1:17" ht="21.75" customHeight="1">
      <c r="A1" s="1481" t="s">
        <v>61</v>
      </c>
      <c r="B1" s="1481"/>
      <c r="C1" s="1481"/>
      <c r="D1" s="1481"/>
      <c r="E1" s="1481"/>
      <c r="F1" s="1481"/>
      <c r="G1" s="1481"/>
      <c r="H1" s="1481"/>
      <c r="I1" s="1481"/>
      <c r="J1" s="1481"/>
      <c r="K1" s="1481"/>
      <c r="L1" s="1481"/>
      <c r="M1" s="1481"/>
    </row>
    <row r="2" spans="1:17">
      <c r="B2" s="230" t="s">
        <v>44</v>
      </c>
      <c r="C2" s="68" t="str">
        <f>ข้อมูล!$C$6</f>
        <v>โครงการ</v>
      </c>
      <c r="G2" s="67" t="s">
        <v>23</v>
      </c>
      <c r="I2" s="66">
        <f>ข้อมูล!$E$6</f>
        <v>0</v>
      </c>
    </row>
    <row r="3" spans="1:17" ht="21.75" customHeight="1">
      <c r="B3" s="230" t="s">
        <v>45</v>
      </c>
      <c r="C3" s="68">
        <f>ข้อมูล!$C$7</f>
        <v>0</v>
      </c>
      <c r="G3" s="67" t="s">
        <v>295</v>
      </c>
      <c r="I3" s="249">
        <f>ข้อมูล!L7</f>
        <v>0</v>
      </c>
      <c r="J3" s="68" t="s">
        <v>46</v>
      </c>
      <c r="K3" s="68"/>
      <c r="L3" s="68"/>
    </row>
    <row r="4" spans="1:17" ht="20.100000000000001" customHeight="1">
      <c r="A4" s="69" t="s">
        <v>0</v>
      </c>
      <c r="B4" s="70"/>
      <c r="C4" s="71" t="s">
        <v>47</v>
      </c>
      <c r="D4" s="69" t="s">
        <v>24</v>
      </c>
      <c r="E4" s="69" t="s">
        <v>25</v>
      </c>
      <c r="F4" s="1472" t="s">
        <v>26</v>
      </c>
      <c r="G4" s="1480"/>
      <c r="H4" s="1473"/>
      <c r="I4" s="69" t="s">
        <v>27</v>
      </c>
      <c r="J4" s="1471" t="s">
        <v>2</v>
      </c>
      <c r="K4" s="1472" t="s">
        <v>319</v>
      </c>
      <c r="L4" s="1473"/>
      <c r="M4" s="1478" t="s">
        <v>20</v>
      </c>
      <c r="N4" s="1479"/>
    </row>
    <row r="5" spans="1:17" ht="20.100000000000001" customHeight="1">
      <c r="A5" s="72"/>
      <c r="B5" s="73"/>
      <c r="C5" s="74"/>
      <c r="D5" s="72"/>
      <c r="E5" s="72"/>
      <c r="F5" s="75" t="s">
        <v>28</v>
      </c>
      <c r="G5" s="75" t="s">
        <v>29</v>
      </c>
      <c r="H5" s="75" t="s">
        <v>30</v>
      </c>
      <c r="I5" s="72" t="s">
        <v>31</v>
      </c>
      <c r="J5" s="1471"/>
      <c r="K5" s="273" t="s">
        <v>320</v>
      </c>
      <c r="L5" s="75" t="s">
        <v>30</v>
      </c>
      <c r="M5" s="73"/>
      <c r="N5" s="196"/>
    </row>
    <row r="6" spans="1:17" ht="20.100000000000001" customHeight="1">
      <c r="A6" s="76">
        <v>1</v>
      </c>
      <c r="B6" s="77" t="s">
        <v>32</v>
      </c>
      <c r="D6" s="78"/>
      <c r="E6" s="79"/>
      <c r="F6" s="79"/>
      <c r="G6" s="79"/>
      <c r="H6" s="79"/>
      <c r="I6" s="79"/>
      <c r="J6" s="90"/>
      <c r="K6" s="90"/>
      <c r="L6" s="90"/>
      <c r="M6" s="90"/>
      <c r="N6" s="111"/>
    </row>
    <row r="7" spans="1:17" ht="20.100000000000001" customHeight="1">
      <c r="A7" s="87"/>
      <c r="B7" s="81" t="s">
        <v>214</v>
      </c>
      <c r="D7" s="248">
        <v>1</v>
      </c>
      <c r="E7" s="82" t="s">
        <v>33</v>
      </c>
      <c r="F7" s="83">
        <f>IF(D7&lt;=0,0,)</f>
        <v>0</v>
      </c>
      <c r="G7" s="83">
        <f>IF(D7&lt;=0,0,)</f>
        <v>0</v>
      </c>
      <c r="H7" s="83">
        <f>ROUND(IF(D7&lt;=0,0,+'S2'!$BJ$29),2)</f>
        <v>1.76</v>
      </c>
      <c r="I7" s="84">
        <f t="shared" ref="I7:I18" si="0">D7*H7</f>
        <v>1.76</v>
      </c>
      <c r="J7" s="274">
        <v>1</v>
      </c>
      <c r="K7" s="269">
        <f>ROUNDDOWN(H7*J7,2)</f>
        <v>1.76</v>
      </c>
      <c r="L7" s="269">
        <f>D7*K7</f>
        <v>1.76</v>
      </c>
      <c r="M7" s="90"/>
      <c r="N7" s="81"/>
    </row>
    <row r="8" spans="1:17" s="216" customFormat="1" ht="20.100000000000001" customHeight="1">
      <c r="A8" s="214"/>
      <c r="B8" s="81" t="s">
        <v>278</v>
      </c>
      <c r="C8" s="66"/>
      <c r="D8" s="248">
        <v>1</v>
      </c>
      <c r="E8" s="82" t="s">
        <v>33</v>
      </c>
      <c r="F8" s="83">
        <f>IF(D8&lt;=0,0,)</f>
        <v>0</v>
      </c>
      <c r="G8" s="83">
        <f>IF(D8&lt;=0,0,)</f>
        <v>0</v>
      </c>
      <c r="H8" s="83">
        <f>ROUND(IF(D8&lt;=0,0,+'S2'!BJ12),2)</f>
        <v>11.14</v>
      </c>
      <c r="I8" s="84">
        <f>D8*H8</f>
        <v>11.14</v>
      </c>
      <c r="J8" s="274">
        <v>1</v>
      </c>
      <c r="K8" s="269">
        <f t="shared" ref="K8:K35" si="1">ROUNDDOWN(H8*J8,2)</f>
        <v>11.14</v>
      </c>
      <c r="L8" s="269">
        <f t="shared" ref="L8:L35" si="2">D8*K8</f>
        <v>11.14</v>
      </c>
      <c r="M8" s="217"/>
      <c r="N8" s="215"/>
    </row>
    <row r="9" spans="1:17" ht="20.100000000000001" customHeight="1">
      <c r="A9" s="87"/>
      <c r="B9" s="81" t="s">
        <v>279</v>
      </c>
      <c r="D9" s="248">
        <v>1</v>
      </c>
      <c r="E9" s="82" t="s">
        <v>33</v>
      </c>
      <c r="F9" s="83">
        <f>IF(D9&lt;=0,0,)</f>
        <v>0</v>
      </c>
      <c r="G9" s="83">
        <f>IF(D9&lt;=0,0,)</f>
        <v>0</v>
      </c>
      <c r="H9" s="83">
        <f>ROUND(IF(D9&lt;=0,0,+'S2'!$BJ$12),2)</f>
        <v>11.14</v>
      </c>
      <c r="I9" s="84">
        <f t="shared" si="0"/>
        <v>11.14</v>
      </c>
      <c r="J9" s="274">
        <v>1</v>
      </c>
      <c r="K9" s="269">
        <f t="shared" si="1"/>
        <v>11.14</v>
      </c>
      <c r="L9" s="269">
        <f t="shared" si="2"/>
        <v>11.14</v>
      </c>
      <c r="M9" s="90"/>
      <c r="N9" s="81"/>
    </row>
    <row r="10" spans="1:17" ht="20.100000000000001" customHeight="1">
      <c r="A10" s="80"/>
      <c r="B10" s="81" t="s">
        <v>280</v>
      </c>
      <c r="D10" s="248">
        <v>1</v>
      </c>
      <c r="E10" s="82" t="s">
        <v>34</v>
      </c>
      <c r="F10" s="83">
        <f>IF(D10&lt;=0,0,)</f>
        <v>0</v>
      </c>
      <c r="G10" s="83">
        <f>IF(D10&lt;=0,0,)</f>
        <v>0</v>
      </c>
      <c r="H10" s="83">
        <f>ROUND(IF(D10&lt;=0,0,+'S2'!$BJ$30+'S2'!$BJ$35),2)</f>
        <v>55.08</v>
      </c>
      <c r="I10" s="84">
        <f t="shared" si="0"/>
        <v>55.08</v>
      </c>
      <c r="J10" s="274">
        <v>1</v>
      </c>
      <c r="K10" s="269">
        <f t="shared" si="1"/>
        <v>55.08</v>
      </c>
      <c r="L10" s="269">
        <f t="shared" si="2"/>
        <v>55.08</v>
      </c>
      <c r="M10" s="90"/>
      <c r="N10" s="81"/>
      <c r="O10" s="186"/>
    </row>
    <row r="11" spans="1:17" s="216" customFormat="1" ht="20.100000000000001" customHeight="1">
      <c r="A11" s="218"/>
      <c r="B11" s="1482" t="s">
        <v>332</v>
      </c>
      <c r="C11" s="1483"/>
      <c r="D11" s="248">
        <v>1</v>
      </c>
      <c r="E11" s="82" t="s">
        <v>34</v>
      </c>
      <c r="F11" s="83">
        <f>IF(D11&lt;=0,0,)</f>
        <v>0</v>
      </c>
      <c r="G11" s="83">
        <f>IF(D11&lt;=0,0,'S2'!BJ32)</f>
        <v>21.84</v>
      </c>
      <c r="H11" s="84">
        <f>ROUND(F11+G11,2)</f>
        <v>21.84</v>
      </c>
      <c r="I11" s="84">
        <f>D11*H11</f>
        <v>21.84</v>
      </c>
      <c r="J11" s="274">
        <v>1</v>
      </c>
      <c r="K11" s="269">
        <f t="shared" si="1"/>
        <v>21.84</v>
      </c>
      <c r="L11" s="269">
        <f t="shared" si="2"/>
        <v>21.84</v>
      </c>
      <c r="M11" s="217"/>
      <c r="N11" s="215"/>
      <c r="O11" s="219"/>
    </row>
    <row r="12" spans="1:17" s="216" customFormat="1" ht="20.100000000000001" customHeight="1">
      <c r="A12" s="218"/>
      <c r="B12" s="90" t="s">
        <v>281</v>
      </c>
      <c r="C12" s="81"/>
      <c r="D12" s="248">
        <v>1</v>
      </c>
      <c r="E12" s="82" t="s">
        <v>34</v>
      </c>
      <c r="F12" s="83">
        <f>IF(D12&lt;=0,0,+ข้อมูล!$L$30)</f>
        <v>110.24</v>
      </c>
      <c r="G12" s="83">
        <f>IF(D12&lt;=0,0,+ข้อมูล!$L$31)</f>
        <v>46.84</v>
      </c>
      <c r="H12" s="84">
        <f>ROUND(F12+G12,2)</f>
        <v>157.08000000000001</v>
      </c>
      <c r="I12" s="84">
        <f>D12*H12</f>
        <v>157.08000000000001</v>
      </c>
      <c r="J12" s="274">
        <v>1</v>
      </c>
      <c r="K12" s="269">
        <f t="shared" si="1"/>
        <v>157.08000000000001</v>
      </c>
      <c r="L12" s="269">
        <f t="shared" si="2"/>
        <v>157.08000000000001</v>
      </c>
      <c r="M12" s="217"/>
      <c r="N12" s="215"/>
    </row>
    <row r="13" spans="1:17" ht="20.100000000000001" customHeight="1">
      <c r="A13" s="80"/>
      <c r="B13" s="90" t="s">
        <v>282</v>
      </c>
      <c r="C13" s="81"/>
      <c r="D13" s="248">
        <v>1</v>
      </c>
      <c r="E13" s="82" t="s">
        <v>34</v>
      </c>
      <c r="F13" s="83">
        <f>IF(D13&lt;=0,0,+ข้อมูล!$L$38)</f>
        <v>130.13999999999999</v>
      </c>
      <c r="G13" s="83">
        <f>IF(D13&lt;=0,0,+ข้อมูล!$L$39)</f>
        <v>56.21</v>
      </c>
      <c r="H13" s="84">
        <f>ROUND(F13+G13,2)</f>
        <v>186.35</v>
      </c>
      <c r="I13" s="84">
        <f t="shared" si="0"/>
        <v>186.35</v>
      </c>
      <c r="J13" s="274">
        <v>1</v>
      </c>
      <c r="K13" s="269">
        <f t="shared" si="1"/>
        <v>186.35</v>
      </c>
      <c r="L13" s="269">
        <f t="shared" si="2"/>
        <v>186.35</v>
      </c>
      <c r="M13" s="90"/>
      <c r="N13" s="81"/>
      <c r="Q13" s="66">
        <f>16000*0.05</f>
        <v>800</v>
      </c>
    </row>
    <row r="14" spans="1:17" ht="20.100000000000001" customHeight="1">
      <c r="A14" s="80"/>
      <c r="B14" s="81" t="s">
        <v>283</v>
      </c>
      <c r="D14" s="248">
        <v>1</v>
      </c>
      <c r="E14" s="82" t="s">
        <v>34</v>
      </c>
      <c r="F14" s="83">
        <f>IF(D14&lt;=0,0,+ข้อมูล!$L$46)</f>
        <v>110.24</v>
      </c>
      <c r="G14" s="83">
        <f>IF(D14&lt;=0,0,+ข้อมูล!$L$47)</f>
        <v>56.21</v>
      </c>
      <c r="H14" s="84">
        <f>ROUND(F14+G14,2)</f>
        <v>166.45</v>
      </c>
      <c r="I14" s="84">
        <f t="shared" si="0"/>
        <v>166.45</v>
      </c>
      <c r="J14" s="274">
        <v>1</v>
      </c>
      <c r="K14" s="269">
        <f t="shared" si="1"/>
        <v>166.45</v>
      </c>
      <c r="L14" s="269">
        <f t="shared" si="2"/>
        <v>166.45</v>
      </c>
      <c r="M14" s="90"/>
      <c r="N14" s="81"/>
    </row>
    <row r="15" spans="1:17" ht="20.100000000000001" customHeight="1">
      <c r="A15" s="80"/>
      <c r="B15" s="81" t="s">
        <v>284</v>
      </c>
      <c r="D15" s="248">
        <v>1</v>
      </c>
      <c r="E15" s="82" t="s">
        <v>34</v>
      </c>
      <c r="F15" s="83">
        <f>IF(D15&lt;=0,0,+ข้อมูล!$L$53)</f>
        <v>157.76</v>
      </c>
      <c r="G15" s="83">
        <f>IF(D15&lt;=0,0,+ข้อมูล!$L$54+ข้อมูล!$L$55)</f>
        <v>88.88</v>
      </c>
      <c r="H15" s="84">
        <f>ROUND(F15+G15,2)</f>
        <v>246.64</v>
      </c>
      <c r="I15" s="84">
        <f t="shared" si="0"/>
        <v>246.64</v>
      </c>
      <c r="J15" s="274">
        <v>1</v>
      </c>
      <c r="K15" s="269">
        <f t="shared" si="1"/>
        <v>246.64</v>
      </c>
      <c r="L15" s="269">
        <f t="shared" si="2"/>
        <v>246.64</v>
      </c>
      <c r="M15" s="90"/>
      <c r="N15" s="81"/>
    </row>
    <row r="16" spans="1:17" s="225" customFormat="1" ht="20.100000000000001" customHeight="1">
      <c r="A16" s="223"/>
      <c r="B16" s="81" t="s">
        <v>294</v>
      </c>
      <c r="C16" s="66"/>
      <c r="D16" s="259">
        <f>+'ปร.4 (2)'!H19</f>
        <v>2320</v>
      </c>
      <c r="E16" s="82" t="s">
        <v>34</v>
      </c>
      <c r="F16" s="83">
        <f>IF(D16&lt;=0,0,)</f>
        <v>0</v>
      </c>
      <c r="G16" s="83">
        <f>IF(D16&lt;=0,0,)</f>
        <v>0</v>
      </c>
      <c r="H16" s="83">
        <f>ROUND(IF(D16&lt;=0,0,+ข้อมูล!$L$69),2)</f>
        <v>105.17</v>
      </c>
      <c r="I16" s="84">
        <f>D16*H16</f>
        <v>243994.4</v>
      </c>
      <c r="J16" s="274">
        <v>1</v>
      </c>
      <c r="K16" s="269">
        <f t="shared" si="1"/>
        <v>105.17</v>
      </c>
      <c r="L16" s="269">
        <f t="shared" si="2"/>
        <v>243994.4</v>
      </c>
      <c r="M16" s="226"/>
      <c r="N16" s="224"/>
    </row>
    <row r="17" spans="1:16" ht="20.100000000000001" customHeight="1">
      <c r="A17" s="80"/>
      <c r="B17" s="81" t="s">
        <v>284</v>
      </c>
      <c r="D17" s="248">
        <v>0</v>
      </c>
      <c r="E17" s="82" t="s">
        <v>33</v>
      </c>
      <c r="F17" s="83">
        <f>IF(D17&lt;=0,0,)</f>
        <v>0</v>
      </c>
      <c r="G17" s="83">
        <f>IF(D17&lt;=0,0,)</f>
        <v>0</v>
      </c>
      <c r="H17" s="83">
        <f>ROUND(IF(D17&lt;=0,0,+ข้อมูล!$L$75),2)</f>
        <v>0</v>
      </c>
      <c r="I17" s="84">
        <f t="shared" si="0"/>
        <v>0</v>
      </c>
      <c r="J17" s="274">
        <v>1</v>
      </c>
      <c r="K17" s="269">
        <f t="shared" si="1"/>
        <v>0</v>
      </c>
      <c r="L17" s="269">
        <f t="shared" si="2"/>
        <v>0</v>
      </c>
      <c r="M17" s="90"/>
      <c r="N17" s="81"/>
    </row>
    <row r="18" spans="1:16" ht="20.100000000000001" customHeight="1">
      <c r="A18" s="80"/>
      <c r="B18" s="81" t="s">
        <v>285</v>
      </c>
      <c r="D18" s="248">
        <v>1</v>
      </c>
      <c r="E18" s="82" t="s">
        <v>33</v>
      </c>
      <c r="F18" s="83">
        <f>IF(D18&lt;=0,0,)</f>
        <v>0</v>
      </c>
      <c r="G18" s="83">
        <f>IF(D18&lt;=0,0,)</f>
        <v>0</v>
      </c>
      <c r="H18" s="83">
        <f>ROUND(IF(D18&lt;=0,0,+ข้อมูล!$L$65),2)</f>
        <v>153.33000000000001</v>
      </c>
      <c r="I18" s="84">
        <f t="shared" si="0"/>
        <v>153.33000000000001</v>
      </c>
      <c r="J18" s="274">
        <v>1</v>
      </c>
      <c r="K18" s="269">
        <f t="shared" si="1"/>
        <v>153.33000000000001</v>
      </c>
      <c r="L18" s="269">
        <f t="shared" si="2"/>
        <v>153.33000000000001</v>
      </c>
      <c r="M18" s="90"/>
      <c r="N18" s="81"/>
      <c r="P18" s="136"/>
    </row>
    <row r="19" spans="1:16" ht="20.100000000000001" customHeight="1">
      <c r="A19" s="80"/>
      <c r="B19" s="81" t="s">
        <v>286</v>
      </c>
      <c r="D19" s="248">
        <f>+'ปร.4 (2)'!H20</f>
        <v>46400</v>
      </c>
      <c r="E19" s="82" t="s">
        <v>33</v>
      </c>
      <c r="F19" s="83">
        <f>IF(D19&lt;=0,0,)</f>
        <v>0</v>
      </c>
      <c r="G19" s="83">
        <f>IF(D19&lt;=0,0,)</f>
        <v>0</v>
      </c>
      <c r="H19" s="83">
        <f>ROUND(IF(D19&lt;=0,0,+ข้อมูล!$L$94),2)</f>
        <v>91.22</v>
      </c>
      <c r="I19" s="84">
        <f>D19*H19</f>
        <v>4232608</v>
      </c>
      <c r="J19" s="274">
        <v>1</v>
      </c>
      <c r="K19" s="269">
        <f t="shared" si="1"/>
        <v>91.22</v>
      </c>
      <c r="L19" s="269">
        <f t="shared" si="2"/>
        <v>4232608</v>
      </c>
      <c r="M19" s="90"/>
      <c r="N19" s="81"/>
    </row>
    <row r="20" spans="1:16" ht="20.100000000000001" customHeight="1">
      <c r="A20" s="87">
        <v>2</v>
      </c>
      <c r="B20" s="1487" t="s">
        <v>35</v>
      </c>
      <c r="C20" s="1488"/>
      <c r="D20" s="89"/>
      <c r="E20" s="80"/>
      <c r="F20" s="84">
        <f>IF(D20&lt;=0,0,)</f>
        <v>0</v>
      </c>
      <c r="G20" s="84">
        <f>IF(D20&lt;=0,0,)</f>
        <v>0</v>
      </c>
      <c r="H20" s="84"/>
      <c r="I20" s="84"/>
      <c r="J20" s="274">
        <v>1</v>
      </c>
      <c r="K20" s="269"/>
      <c r="L20" s="269"/>
      <c r="M20" s="90"/>
      <c r="N20" s="81"/>
    </row>
    <row r="21" spans="1:16" ht="20.100000000000001" customHeight="1">
      <c r="A21" s="80"/>
      <c r="B21" s="81" t="s">
        <v>36</v>
      </c>
      <c r="D21" s="248">
        <v>1</v>
      </c>
      <c r="E21" s="82" t="s">
        <v>33</v>
      </c>
      <c r="F21" s="83" t="e">
        <f>IF(D21&lt;=0,0,+ข้อมูล!#REF!)</f>
        <v>#REF!</v>
      </c>
      <c r="G21" s="83">
        <f>IF(D21&lt;=0,0,+'S2'!$BJ$15)</f>
        <v>7.54</v>
      </c>
      <c r="H21" s="84" t="e">
        <f>ROUND(F21+G21,2)</f>
        <v>#REF!</v>
      </c>
      <c r="I21" s="84" t="e">
        <f>D21*H21</f>
        <v>#REF!</v>
      </c>
      <c r="J21" s="274">
        <v>1</v>
      </c>
      <c r="K21" s="269" t="e">
        <f t="shared" si="1"/>
        <v>#REF!</v>
      </c>
      <c r="L21" s="269" t="e">
        <f t="shared" si="2"/>
        <v>#REF!</v>
      </c>
      <c r="M21" s="90"/>
      <c r="N21" s="81"/>
    </row>
    <row r="22" spans="1:16" ht="20.100000000000001" customHeight="1">
      <c r="A22" s="80"/>
      <c r="B22" s="66" t="s">
        <v>37</v>
      </c>
      <c r="C22" s="81"/>
      <c r="D22" s="248">
        <v>1</v>
      </c>
      <c r="E22" s="82" t="s">
        <v>33</v>
      </c>
      <c r="F22" s="83" t="e">
        <f>IF(D22&lt;=0,0,+ข้อมูล!#REF!)</f>
        <v>#REF!</v>
      </c>
      <c r="G22" s="83">
        <f>IF(D22&lt;=0,0,+'S2'!$BJ$16)</f>
        <v>7.29</v>
      </c>
      <c r="H22" s="84" t="e">
        <f>ROUND(F22+G22,2)</f>
        <v>#REF!</v>
      </c>
      <c r="I22" s="84" t="e">
        <f>D22*H22</f>
        <v>#REF!</v>
      </c>
      <c r="J22" s="274">
        <v>1</v>
      </c>
      <c r="K22" s="269" t="e">
        <f t="shared" si="1"/>
        <v>#REF!</v>
      </c>
      <c r="L22" s="269" t="e">
        <f t="shared" si="2"/>
        <v>#REF!</v>
      </c>
      <c r="M22" s="90"/>
      <c r="N22" s="81"/>
    </row>
    <row r="23" spans="1:16" ht="20.100000000000001" customHeight="1">
      <c r="A23" s="80"/>
      <c r="B23" s="81" t="s">
        <v>215</v>
      </c>
      <c r="D23" s="89"/>
      <c r="E23" s="80"/>
      <c r="F23" s="84"/>
      <c r="G23" s="84"/>
      <c r="H23" s="84"/>
      <c r="I23" s="84"/>
      <c r="J23" s="274">
        <v>1</v>
      </c>
      <c r="K23" s="269"/>
      <c r="L23" s="269"/>
      <c r="M23" s="90"/>
      <c r="N23" s="81"/>
    </row>
    <row r="24" spans="1:16" ht="20.100000000000001" customHeight="1">
      <c r="A24" s="80"/>
      <c r="B24" s="81" t="s">
        <v>38</v>
      </c>
      <c r="D24" s="248">
        <f>D21</f>
        <v>1</v>
      </c>
      <c r="E24" s="82" t="s">
        <v>33</v>
      </c>
      <c r="F24" s="83" t="e">
        <f>IF(D24&lt;=0,0,+ข้อมูล!#REF!)</f>
        <v>#REF!</v>
      </c>
      <c r="G24" s="83" t="e">
        <f>IF(D24&lt;=0,0,+IF(ข้อมูล!#REF!=5,'S2'!$BJ$19,IF(ข้อมูล!#REF!=4,'S2'!$BJ$19*0.9,IF(ข้อมูล!#REF!=3.5,'S2'!$BJ$19*0.85,IF(ข้อมูล!#REF!=3,'S2'!$BJ$19*0.8)))))</f>
        <v>#REF!</v>
      </c>
      <c r="H24" s="84" t="e">
        <f>ROUND(F24+G24,2)</f>
        <v>#REF!</v>
      </c>
      <c r="I24" s="84" t="e">
        <f>D24*H24</f>
        <v>#REF!</v>
      </c>
      <c r="J24" s="274">
        <v>1</v>
      </c>
      <c r="K24" s="269" t="e">
        <f t="shared" si="1"/>
        <v>#REF!</v>
      </c>
      <c r="L24" s="269" t="e">
        <f t="shared" si="2"/>
        <v>#REF!</v>
      </c>
      <c r="M24" s="98" t="e">
        <f>ข้อมูล!#REF!</f>
        <v>#REF!</v>
      </c>
      <c r="N24" s="81" t="s">
        <v>219</v>
      </c>
    </row>
    <row r="25" spans="1:16" ht="20.100000000000001" customHeight="1">
      <c r="A25" s="80"/>
      <c r="B25" s="90" t="s">
        <v>39</v>
      </c>
      <c r="D25" s="248">
        <f>D22</f>
        <v>1</v>
      </c>
      <c r="E25" s="82" t="s">
        <v>33</v>
      </c>
      <c r="F25" s="83" t="e">
        <f>IF(D25&lt;=0,0,+ข้อมูล!#REF!)</f>
        <v>#REF!</v>
      </c>
      <c r="G25" s="83" t="e">
        <f>IF(D25&lt;=0,0,+IF(ข้อมูล!#REF!=5,'S2'!$BJ$20,IF(ข้อมูล!#REF!=4,'S2'!$BJ$20*0.9,IF(ข้อมูล!#REF!=3.5,'S2'!$BJ$20*0.85,IF(ข้อมูล!#REF!=3,'S2'!$BJ$20*0.8)))))</f>
        <v>#REF!</v>
      </c>
      <c r="H25" s="84" t="e">
        <f>ROUND(F25+G25,2)</f>
        <v>#REF!</v>
      </c>
      <c r="I25" s="84" t="e">
        <f>D25*H25</f>
        <v>#REF!</v>
      </c>
      <c r="J25" s="274">
        <v>1</v>
      </c>
      <c r="K25" s="269" t="e">
        <f t="shared" si="1"/>
        <v>#REF!</v>
      </c>
      <c r="L25" s="269" t="e">
        <f t="shared" si="2"/>
        <v>#REF!</v>
      </c>
      <c r="M25" s="98" t="e">
        <f>ข้อมูล!#REF!</f>
        <v>#REF!</v>
      </c>
      <c r="N25" s="81" t="s">
        <v>219</v>
      </c>
    </row>
    <row r="26" spans="1:16" ht="20.100000000000001" customHeight="1">
      <c r="A26" s="87">
        <v>3</v>
      </c>
      <c r="B26" s="91" t="s">
        <v>50</v>
      </c>
      <c r="D26" s="89"/>
      <c r="E26" s="82"/>
      <c r="F26" s="84"/>
      <c r="G26" s="84"/>
      <c r="H26" s="84"/>
      <c r="I26" s="84"/>
      <c r="J26" s="274">
        <v>1</v>
      </c>
      <c r="K26" s="269"/>
      <c r="L26" s="269"/>
      <c r="M26" s="90"/>
      <c r="N26" s="81"/>
    </row>
    <row r="27" spans="1:16" ht="20.100000000000001" customHeight="1">
      <c r="A27" s="80"/>
      <c r="B27" s="92" t="s">
        <v>55</v>
      </c>
      <c r="D27" s="248">
        <v>1</v>
      </c>
      <c r="E27" s="82" t="s">
        <v>33</v>
      </c>
      <c r="F27" s="83" t="e">
        <f>IF(D27&lt;=0,0,+ข้อมูล!#REF!)</f>
        <v>#REF!</v>
      </c>
      <c r="G27" s="83">
        <f>IF(D27&lt;=0,0,+'S2'!$BJ$15)</f>
        <v>7.54</v>
      </c>
      <c r="H27" s="84" t="e">
        <f>ROUND(F27+G27,2)</f>
        <v>#REF!</v>
      </c>
      <c r="I27" s="84" t="e">
        <f>D27*H27</f>
        <v>#REF!</v>
      </c>
      <c r="J27" s="274">
        <v>1</v>
      </c>
      <c r="K27" s="269" t="e">
        <f t="shared" si="1"/>
        <v>#REF!</v>
      </c>
      <c r="L27" s="269" t="e">
        <f t="shared" si="2"/>
        <v>#REF!</v>
      </c>
      <c r="M27" s="90"/>
      <c r="N27" s="81"/>
    </row>
    <row r="28" spans="1:16" ht="20.100000000000001" customHeight="1">
      <c r="A28" s="80"/>
      <c r="B28" s="92" t="s">
        <v>54</v>
      </c>
      <c r="D28" s="248">
        <v>1</v>
      </c>
      <c r="E28" s="82" t="s">
        <v>33</v>
      </c>
      <c r="F28" s="83" t="e">
        <f>IF(D28&lt;=0,0,+ข้อมูล!#REF!)</f>
        <v>#REF!</v>
      </c>
      <c r="G28" s="83">
        <f>IF(D28&lt;=0,0,+'S2'!$BJ$16)</f>
        <v>7.29</v>
      </c>
      <c r="H28" s="84" t="e">
        <f>ROUND(F28+G28,2)</f>
        <v>#REF!</v>
      </c>
      <c r="I28" s="84" t="e">
        <f>D28*H28</f>
        <v>#REF!</v>
      </c>
      <c r="J28" s="274">
        <v>1</v>
      </c>
      <c r="K28" s="269" t="e">
        <f t="shared" si="1"/>
        <v>#REF!</v>
      </c>
      <c r="L28" s="269" t="e">
        <f t="shared" si="2"/>
        <v>#REF!</v>
      </c>
      <c r="M28" s="90"/>
      <c r="N28" s="81"/>
    </row>
    <row r="29" spans="1:16" ht="20.100000000000001" customHeight="1">
      <c r="A29" s="80"/>
      <c r="B29" s="81" t="s">
        <v>216</v>
      </c>
      <c r="D29" s="89"/>
      <c r="E29" s="82"/>
      <c r="F29" s="83"/>
      <c r="G29" s="83"/>
      <c r="H29" s="84"/>
      <c r="I29" s="84"/>
      <c r="J29" s="274">
        <v>1</v>
      </c>
      <c r="K29" s="269"/>
      <c r="L29" s="269"/>
      <c r="M29" s="90"/>
      <c r="N29" s="81"/>
    </row>
    <row r="30" spans="1:16" ht="20.100000000000001" customHeight="1">
      <c r="A30" s="80"/>
      <c r="B30" s="92" t="s">
        <v>217</v>
      </c>
      <c r="D30" s="248">
        <f>D27</f>
        <v>1</v>
      </c>
      <c r="E30" s="82" t="s">
        <v>33</v>
      </c>
      <c r="F30" s="83" t="e">
        <f>IF(D30&lt;=0,0,+ข้อมูล!#REF!)</f>
        <v>#REF!</v>
      </c>
      <c r="G30" s="83" t="e">
        <f>IF(D30&lt;=0,0,+IF(ข้อมูล!#REF!=5,'S2'!$BJ$19,IF(ข้อมูล!#REF!=4,'S2'!$BJ$19*0.9,IF(ข้อมูล!#REF!=3.5,'S2'!$BJ$19*0.85,IF(ข้อมูล!#REF!=3,'S2'!$BJ$19*0.8)))))</f>
        <v>#REF!</v>
      </c>
      <c r="H30" s="84" t="e">
        <f>ROUND(F30+G30,2)</f>
        <v>#REF!</v>
      </c>
      <c r="I30" s="84" t="e">
        <f>D30*H30</f>
        <v>#REF!</v>
      </c>
      <c r="J30" s="274">
        <v>1</v>
      </c>
      <c r="K30" s="269" t="e">
        <f t="shared" si="1"/>
        <v>#REF!</v>
      </c>
      <c r="L30" s="269" t="e">
        <f t="shared" si="2"/>
        <v>#REF!</v>
      </c>
      <c r="M30" s="98" t="e">
        <f>ข้อมูล!#REF!</f>
        <v>#REF!</v>
      </c>
      <c r="N30" s="81" t="s">
        <v>219</v>
      </c>
    </row>
    <row r="31" spans="1:16" ht="20.100000000000001" customHeight="1">
      <c r="A31" s="80"/>
      <c r="B31" s="92" t="s">
        <v>218</v>
      </c>
      <c r="D31" s="248">
        <f>D28</f>
        <v>1</v>
      </c>
      <c r="E31" s="82" t="s">
        <v>33</v>
      </c>
      <c r="F31" s="83" t="e">
        <f>IF(D31&lt;=0,0,+ข้อมูล!#REF!)</f>
        <v>#REF!</v>
      </c>
      <c r="G31" s="83" t="e">
        <f>IF(D31&lt;=0,0,+IF(ข้อมูล!#REF!=5,'S2'!$BJ$20,IF(ข้อมูล!#REF!=4,'S2'!$BJ$20*0.9,IF(ข้อมูล!#REF!=3.5,'S2'!$BJ$20*0.85,IF(ข้อมูล!#REF!=3,'S2'!$BJ$20*0.8)))))</f>
        <v>#REF!</v>
      </c>
      <c r="H31" s="84" t="e">
        <f>ROUND(F31+G31,2)</f>
        <v>#REF!</v>
      </c>
      <c r="I31" s="84" t="e">
        <f>D31*H31</f>
        <v>#REF!</v>
      </c>
      <c r="J31" s="274">
        <v>1</v>
      </c>
      <c r="K31" s="269" t="e">
        <f t="shared" si="1"/>
        <v>#REF!</v>
      </c>
      <c r="L31" s="269" t="e">
        <f t="shared" si="2"/>
        <v>#REF!</v>
      </c>
      <c r="M31" s="98" t="e">
        <f>ข้อมูล!#REF!</f>
        <v>#REF!</v>
      </c>
      <c r="N31" s="81" t="s">
        <v>219</v>
      </c>
    </row>
    <row r="32" spans="1:16" ht="20.100000000000001" customHeight="1">
      <c r="A32" s="82">
        <v>4</v>
      </c>
      <c r="B32" s="88" t="s">
        <v>40</v>
      </c>
      <c r="D32" s="89"/>
      <c r="E32" s="80"/>
      <c r="F32" s="84"/>
      <c r="G32" s="84"/>
      <c r="H32" s="84"/>
      <c r="I32" s="84"/>
      <c r="J32" s="274">
        <v>1</v>
      </c>
      <c r="K32" s="269"/>
      <c r="L32" s="269"/>
      <c r="M32" s="90"/>
      <c r="N32" s="81"/>
    </row>
    <row r="33" spans="1:14" ht="20.100000000000001" customHeight="1">
      <c r="A33" s="80"/>
      <c r="B33" s="90" t="s">
        <v>56</v>
      </c>
      <c r="D33" s="248">
        <v>1</v>
      </c>
      <c r="E33" s="82" t="s">
        <v>33</v>
      </c>
      <c r="F33" s="83">
        <f>IF(D33&lt;=0,0,)</f>
        <v>0</v>
      </c>
      <c r="G33" s="83">
        <f>IF(D33&lt;=0,0,)</f>
        <v>0</v>
      </c>
      <c r="H33" s="93">
        <f>ROUND(IF(D33&lt;=0,0,270),2)</f>
        <v>270</v>
      </c>
      <c r="I33" s="84">
        <f>D33*H33</f>
        <v>270</v>
      </c>
      <c r="J33" s="274">
        <v>1</v>
      </c>
      <c r="K33" s="269">
        <f t="shared" si="1"/>
        <v>270</v>
      </c>
      <c r="L33" s="269">
        <f t="shared" si="2"/>
        <v>270</v>
      </c>
      <c r="M33" s="1485" t="s">
        <v>322</v>
      </c>
      <c r="N33" s="1486"/>
    </row>
    <row r="34" spans="1:14" ht="20.100000000000001" customHeight="1">
      <c r="A34" s="80"/>
      <c r="B34" s="85" t="s">
        <v>287</v>
      </c>
      <c r="D34" s="250">
        <v>1</v>
      </c>
      <c r="E34" s="82" t="s">
        <v>33</v>
      </c>
      <c r="F34" s="83">
        <f>IF(D34&lt;=0,0,)</f>
        <v>0</v>
      </c>
      <c r="G34" s="83">
        <f>IF(D34&lt;=0,0,)</f>
        <v>0</v>
      </c>
      <c r="H34" s="93">
        <f>ROUND(IF(D34&lt;=0,0,400),2)</f>
        <v>400</v>
      </c>
      <c r="I34" s="84">
        <f>D34*H34</f>
        <v>400</v>
      </c>
      <c r="J34" s="274" t="e">
        <f>IF(D34&gt;0,'S2'!$BP$31,0)</f>
        <v>#REF!</v>
      </c>
      <c r="K34" s="269" t="e">
        <f t="shared" si="1"/>
        <v>#REF!</v>
      </c>
      <c r="L34" s="269" t="e">
        <f t="shared" si="2"/>
        <v>#REF!</v>
      </c>
      <c r="M34" s="90"/>
      <c r="N34" s="81"/>
    </row>
    <row r="35" spans="1:14" ht="20.100000000000001" customHeight="1">
      <c r="A35" s="80"/>
      <c r="B35" s="85" t="s">
        <v>288</v>
      </c>
      <c r="D35" s="248">
        <v>1</v>
      </c>
      <c r="E35" s="86" t="s">
        <v>135</v>
      </c>
      <c r="F35" s="83">
        <f>IF(D35&lt;=0,0,)</f>
        <v>0</v>
      </c>
      <c r="G35" s="83">
        <f>IF(D35&lt;=0,0,)</f>
        <v>0</v>
      </c>
      <c r="H35" s="93">
        <f>ROUND(IF(D35&lt;=0,0,2510),2)</f>
        <v>2510</v>
      </c>
      <c r="I35" s="84">
        <f>D35*H35</f>
        <v>2510</v>
      </c>
      <c r="J35" s="274" t="e">
        <f>IF(D35&gt;0,'S2'!$BP$31,0)</f>
        <v>#REF!</v>
      </c>
      <c r="K35" s="269" t="e">
        <f t="shared" si="1"/>
        <v>#REF!</v>
      </c>
      <c r="L35" s="269" t="e">
        <f t="shared" si="2"/>
        <v>#REF!</v>
      </c>
      <c r="M35" s="90"/>
      <c r="N35" s="81"/>
    </row>
    <row r="36" spans="1:14" ht="20.100000000000001" customHeight="1">
      <c r="A36" s="80"/>
      <c r="B36" s="92"/>
      <c r="D36" s="89"/>
      <c r="E36" s="82"/>
      <c r="F36" s="83"/>
      <c r="G36" s="83"/>
      <c r="H36" s="84"/>
      <c r="I36" s="84"/>
      <c r="J36" s="269"/>
      <c r="K36" s="269"/>
      <c r="L36" s="269"/>
      <c r="M36" s="98"/>
      <c r="N36" s="81"/>
    </row>
    <row r="37" spans="1:14" ht="20.100000000000001" customHeight="1">
      <c r="A37" s="80"/>
      <c r="B37" s="92"/>
      <c r="D37" s="89"/>
      <c r="E37" s="82"/>
      <c r="F37" s="83"/>
      <c r="G37" s="83"/>
      <c r="H37" s="84"/>
      <c r="I37" s="84"/>
      <c r="J37" s="269"/>
      <c r="K37" s="269"/>
      <c r="L37" s="269"/>
      <c r="M37" s="98"/>
      <c r="N37" s="81"/>
    </row>
    <row r="38" spans="1:14" ht="20.100000000000001" customHeight="1">
      <c r="A38" s="80"/>
      <c r="B38" s="92"/>
      <c r="D38" s="89"/>
      <c r="E38" s="82"/>
      <c r="F38" s="83"/>
      <c r="G38" s="83"/>
      <c r="H38" s="84"/>
      <c r="I38" s="84"/>
      <c r="J38" s="269"/>
      <c r="K38" s="269"/>
      <c r="L38" s="269"/>
      <c r="M38" s="98"/>
      <c r="N38" s="81"/>
    </row>
    <row r="39" spans="1:14" ht="20.100000000000001" customHeight="1">
      <c r="A39" s="80"/>
      <c r="B39" s="92"/>
      <c r="D39" s="89"/>
      <c r="E39" s="82"/>
      <c r="F39" s="83"/>
      <c r="G39" s="83"/>
      <c r="H39" s="84"/>
      <c r="I39" s="84"/>
      <c r="J39" s="269"/>
      <c r="K39" s="269"/>
      <c r="L39" s="269"/>
      <c r="M39" s="98"/>
      <c r="N39" s="81"/>
    </row>
    <row r="40" spans="1:14" ht="20.100000000000001" customHeight="1">
      <c r="A40" s="80"/>
      <c r="B40" s="92"/>
      <c r="D40" s="89"/>
      <c r="E40" s="82"/>
      <c r="F40" s="83"/>
      <c r="G40" s="83"/>
      <c r="H40" s="84"/>
      <c r="I40" s="84"/>
      <c r="J40" s="269"/>
      <c r="K40" s="269"/>
      <c r="L40" s="269"/>
      <c r="M40" s="98"/>
      <c r="N40" s="81"/>
    </row>
    <row r="41" spans="1:14" ht="20.100000000000001" customHeight="1">
      <c r="A41" s="80"/>
      <c r="B41" s="92"/>
      <c r="D41" s="89"/>
      <c r="E41" s="82"/>
      <c r="F41" s="83"/>
      <c r="G41" s="83"/>
      <c r="H41" s="84"/>
      <c r="I41" s="84"/>
      <c r="J41" s="269"/>
      <c r="K41" s="269"/>
      <c r="L41" s="269"/>
      <c r="M41" s="98"/>
      <c r="N41" s="81"/>
    </row>
    <row r="42" spans="1:14" ht="20.100000000000001" customHeight="1">
      <c r="A42" s="80"/>
      <c r="B42" s="92"/>
      <c r="D42" s="89"/>
      <c r="E42" s="82"/>
      <c r="F42" s="83"/>
      <c r="G42" s="83"/>
      <c r="H42" s="84"/>
      <c r="I42" s="84"/>
      <c r="J42" s="269"/>
      <c r="K42" s="269"/>
      <c r="L42" s="269"/>
      <c r="M42" s="98"/>
      <c r="N42" s="81"/>
    </row>
    <row r="43" spans="1:14" ht="20.100000000000001" customHeight="1">
      <c r="A43" s="80"/>
      <c r="B43" s="92"/>
      <c r="D43" s="89"/>
      <c r="E43" s="82"/>
      <c r="F43" s="83"/>
      <c r="G43" s="83"/>
      <c r="H43" s="84"/>
      <c r="I43" s="84"/>
      <c r="J43" s="269"/>
      <c r="K43" s="269"/>
      <c r="L43" s="269"/>
      <c r="M43" s="98"/>
      <c r="N43" s="81"/>
    </row>
    <row r="44" spans="1:14" ht="20.100000000000001" customHeight="1">
      <c r="A44" s="80"/>
      <c r="B44" s="92"/>
      <c r="D44" s="89"/>
      <c r="E44" s="82"/>
      <c r="F44" s="83"/>
      <c r="G44" s="83"/>
      <c r="H44" s="84"/>
      <c r="I44" s="84"/>
      <c r="J44" s="269"/>
      <c r="K44" s="269"/>
      <c r="L44" s="269"/>
      <c r="M44" s="98"/>
      <c r="N44" s="81"/>
    </row>
    <row r="45" spans="1:14" ht="20.100000000000001" customHeight="1">
      <c r="A45" s="80"/>
      <c r="B45" s="92"/>
      <c r="D45" s="89"/>
      <c r="E45" s="82"/>
      <c r="F45" s="83"/>
      <c r="G45" s="83"/>
      <c r="H45" s="84"/>
      <c r="I45" s="84"/>
      <c r="J45" s="269"/>
      <c r="K45" s="269"/>
      <c r="L45" s="269"/>
      <c r="M45" s="98"/>
      <c r="N45" s="81"/>
    </row>
    <row r="46" spans="1:14" ht="20.100000000000001" customHeight="1">
      <c r="A46" s="80"/>
      <c r="B46" s="92"/>
      <c r="D46" s="89"/>
      <c r="E46" s="82"/>
      <c r="F46" s="83"/>
      <c r="G46" s="83"/>
      <c r="H46" s="84"/>
      <c r="I46" s="84"/>
      <c r="J46" s="269"/>
      <c r="K46" s="269"/>
      <c r="L46" s="269"/>
      <c r="M46" s="98"/>
      <c r="N46" s="81"/>
    </row>
    <row r="47" spans="1:14" ht="20.100000000000001" customHeight="1">
      <c r="A47" s="80"/>
      <c r="B47" s="100"/>
      <c r="C47" s="196"/>
      <c r="D47" s="89"/>
      <c r="E47" s="82"/>
      <c r="F47" s="83"/>
      <c r="G47" s="83"/>
      <c r="H47" s="83"/>
      <c r="I47" s="84"/>
      <c r="J47" s="269"/>
      <c r="K47" s="269"/>
      <c r="L47" s="269"/>
      <c r="M47" s="90"/>
      <c r="N47" s="81"/>
    </row>
    <row r="48" spans="1:14">
      <c r="A48" s="94"/>
      <c r="B48" s="95"/>
      <c r="C48" s="118" t="s">
        <v>159</v>
      </c>
      <c r="D48" s="96"/>
      <c r="E48" s="96"/>
      <c r="F48" s="96"/>
      <c r="G48" s="96"/>
      <c r="H48" s="96"/>
      <c r="I48" s="233" t="e">
        <f>SUM(I6:I47)</f>
        <v>#REF!</v>
      </c>
      <c r="J48" s="270"/>
      <c r="K48" s="270"/>
      <c r="L48" s="233" t="e">
        <f>SUM(L6:L47)</f>
        <v>#REF!</v>
      </c>
      <c r="M48" s="95"/>
      <c r="N48" s="206"/>
    </row>
    <row r="49" spans="1:14" ht="21.75" customHeight="1">
      <c r="A49" s="1481" t="s">
        <v>61</v>
      </c>
      <c r="B49" s="1481"/>
      <c r="C49" s="1481"/>
      <c r="D49" s="1481"/>
      <c r="E49" s="1481"/>
      <c r="F49" s="1481"/>
      <c r="G49" s="1481"/>
      <c r="H49" s="1481"/>
      <c r="I49" s="1481"/>
      <c r="J49" s="1481"/>
      <c r="K49" s="1481"/>
      <c r="L49" s="1481"/>
      <c r="M49" s="1481"/>
    </row>
    <row r="50" spans="1:14">
      <c r="B50" s="230" t="s">
        <v>44</v>
      </c>
      <c r="C50" s="68" t="str">
        <f>C2</f>
        <v>โครงการ</v>
      </c>
      <c r="D50" s="67"/>
      <c r="G50" s="67" t="s">
        <v>23</v>
      </c>
      <c r="I50" s="66">
        <f>$I$2</f>
        <v>0</v>
      </c>
    </row>
    <row r="51" spans="1:14" ht="21.75" customHeight="1">
      <c r="B51" s="230" t="s">
        <v>45</v>
      </c>
      <c r="C51" s="68">
        <f>C3</f>
        <v>0</v>
      </c>
      <c r="E51" s="278"/>
      <c r="F51" s="278"/>
      <c r="G51" s="67" t="s">
        <v>295</v>
      </c>
      <c r="I51" s="249">
        <f>$I$3</f>
        <v>0</v>
      </c>
      <c r="J51" s="68" t="s">
        <v>46</v>
      </c>
      <c r="K51" s="68"/>
      <c r="L51" s="68"/>
    </row>
    <row r="52" spans="1:14" ht="20.100000000000001" customHeight="1">
      <c r="A52" s="69" t="s">
        <v>0</v>
      </c>
      <c r="B52" s="70"/>
      <c r="C52" s="71" t="s">
        <v>47</v>
      </c>
      <c r="D52" s="69" t="s">
        <v>24</v>
      </c>
      <c r="E52" s="69" t="s">
        <v>25</v>
      </c>
      <c r="F52" s="1472" t="s">
        <v>26</v>
      </c>
      <c r="G52" s="1480"/>
      <c r="H52" s="1473"/>
      <c r="I52" s="69" t="s">
        <v>27</v>
      </c>
      <c r="J52" s="1471" t="s">
        <v>2</v>
      </c>
      <c r="K52" s="1472" t="s">
        <v>319</v>
      </c>
      <c r="L52" s="1473"/>
      <c r="M52" s="1478" t="s">
        <v>20</v>
      </c>
      <c r="N52" s="1479"/>
    </row>
    <row r="53" spans="1:14" ht="20.100000000000001" customHeight="1">
      <c r="A53" s="72"/>
      <c r="B53" s="73"/>
      <c r="C53" s="74"/>
      <c r="D53" s="72"/>
      <c r="E53" s="72"/>
      <c r="F53" s="75" t="s">
        <v>28</v>
      </c>
      <c r="G53" s="75" t="s">
        <v>29</v>
      </c>
      <c r="H53" s="75" t="s">
        <v>30</v>
      </c>
      <c r="I53" s="72" t="s">
        <v>31</v>
      </c>
      <c r="J53" s="1471"/>
      <c r="K53" s="273" t="s">
        <v>320</v>
      </c>
      <c r="L53" s="75" t="s">
        <v>30</v>
      </c>
      <c r="M53" s="73"/>
      <c r="N53" s="196"/>
    </row>
    <row r="54" spans="1:14" ht="20.100000000000001" customHeight="1">
      <c r="A54" s="82"/>
      <c r="B54" s="98"/>
      <c r="C54" s="117" t="s">
        <v>160</v>
      </c>
      <c r="D54" s="82"/>
      <c r="E54" s="82"/>
      <c r="F54" s="82"/>
      <c r="G54" s="82"/>
      <c r="H54" s="82"/>
      <c r="I54" s="229" t="e">
        <f>I48</f>
        <v>#REF!</v>
      </c>
      <c r="J54" s="271"/>
      <c r="K54" s="271"/>
      <c r="L54" s="229" t="e">
        <f>L48</f>
        <v>#REF!</v>
      </c>
      <c r="M54" s="70"/>
      <c r="N54" s="111"/>
    </row>
    <row r="55" spans="1:14" ht="20.100000000000001" customHeight="1">
      <c r="A55" s="82">
        <v>5</v>
      </c>
      <c r="B55" s="88" t="s">
        <v>41</v>
      </c>
      <c r="D55" s="89"/>
      <c r="E55" s="80"/>
      <c r="F55" s="84"/>
      <c r="G55" s="84"/>
      <c r="H55" s="84"/>
      <c r="I55" s="84"/>
      <c r="J55" s="269"/>
      <c r="K55" s="269"/>
      <c r="L55" s="269"/>
      <c r="M55" s="90"/>
      <c r="N55" s="81"/>
    </row>
    <row r="56" spans="1:14" ht="20.100000000000001" customHeight="1">
      <c r="A56" s="80"/>
      <c r="B56" s="90" t="s">
        <v>58</v>
      </c>
      <c r="D56" s="89"/>
      <c r="E56" s="82"/>
      <c r="F56" s="84"/>
      <c r="G56" s="84"/>
      <c r="H56" s="84"/>
      <c r="I56" s="84"/>
      <c r="J56" s="269"/>
      <c r="K56" s="269"/>
      <c r="L56" s="269"/>
      <c r="M56" s="90"/>
      <c r="N56" s="81"/>
    </row>
    <row r="57" spans="1:14" ht="20.100000000000001" customHeight="1">
      <c r="A57" s="80"/>
      <c r="B57" s="108" t="s">
        <v>136</v>
      </c>
      <c r="D57" s="248">
        <v>1</v>
      </c>
      <c r="E57" s="86" t="s">
        <v>43</v>
      </c>
      <c r="F57" s="83">
        <f>IF(D57&lt;=0,0,90)</f>
        <v>90</v>
      </c>
      <c r="G57" s="83">
        <f>IF(D57&lt;=0,0,20)</f>
        <v>20</v>
      </c>
      <c r="H57" s="84">
        <f>ROUND(F57+G57,2)</f>
        <v>110</v>
      </c>
      <c r="I57" s="84">
        <f>D57*H57</f>
        <v>110</v>
      </c>
      <c r="J57" s="274" t="e">
        <f>IF(D57&gt;0,'S2'!$BP$31,0)</f>
        <v>#REF!</v>
      </c>
      <c r="K57" s="269" t="e">
        <f>ROUNDDOWN(H57*J57,2)</f>
        <v>#REF!</v>
      </c>
      <c r="L57" s="269" t="e">
        <f>D57*K57</f>
        <v>#REF!</v>
      </c>
      <c r="M57" s="90"/>
      <c r="N57" s="81"/>
    </row>
    <row r="58" spans="1:14" ht="20.100000000000001" customHeight="1">
      <c r="A58" s="80"/>
      <c r="B58" s="108" t="s">
        <v>137</v>
      </c>
      <c r="D58" s="248">
        <v>1</v>
      </c>
      <c r="E58" s="86" t="s">
        <v>43</v>
      </c>
      <c r="F58" s="83">
        <f>IF(D58&lt;=0,0,325)</f>
        <v>325</v>
      </c>
      <c r="G58" s="83">
        <f>IF(D58&lt;=0,0,75)</f>
        <v>75</v>
      </c>
      <c r="H58" s="84">
        <f>ROUND(F58+G58,2)</f>
        <v>400</v>
      </c>
      <c r="I58" s="84">
        <f>D58*H58</f>
        <v>400</v>
      </c>
      <c r="J58" s="274" t="e">
        <f>IF(D58&gt;0,'S2'!$BP$31,0)</f>
        <v>#REF!</v>
      </c>
      <c r="K58" s="269" t="e">
        <f>ROUNDDOWN(H58*J58,2)</f>
        <v>#REF!</v>
      </c>
      <c r="L58" s="269" t="e">
        <f>D58*K58</f>
        <v>#REF!</v>
      </c>
      <c r="M58" s="90"/>
      <c r="N58" s="81"/>
    </row>
    <row r="59" spans="1:14" ht="20.100000000000001" customHeight="1">
      <c r="A59" s="80"/>
      <c r="B59" s="108" t="s">
        <v>143</v>
      </c>
      <c r="D59" s="248">
        <v>1</v>
      </c>
      <c r="E59" s="86" t="s">
        <v>42</v>
      </c>
      <c r="F59" s="83">
        <f>IF(D59&lt;=0,0,)</f>
        <v>0</v>
      </c>
      <c r="G59" s="83">
        <f>IF(D59&lt;=0,0,)</f>
        <v>0</v>
      </c>
      <c r="H59" s="83">
        <f>ROUND(IF(D59&lt;=0,0,200),2)</f>
        <v>200</v>
      </c>
      <c r="I59" s="84">
        <f>D59*H59</f>
        <v>200</v>
      </c>
      <c r="J59" s="274" t="e">
        <f>IF(D59&gt;0,'S2'!$BP$31,0)</f>
        <v>#REF!</v>
      </c>
      <c r="K59" s="269" t="e">
        <f>ROUNDDOWN(H59*J59,2)</f>
        <v>#REF!</v>
      </c>
      <c r="L59" s="269" t="e">
        <f>D59*K59</f>
        <v>#REF!</v>
      </c>
      <c r="M59" s="90"/>
      <c r="N59" s="81"/>
    </row>
    <row r="60" spans="1:14" ht="20.100000000000001" customHeight="1">
      <c r="A60" s="80"/>
      <c r="B60" s="108" t="s">
        <v>144</v>
      </c>
      <c r="D60" s="248">
        <v>1</v>
      </c>
      <c r="E60" s="86" t="s">
        <v>57</v>
      </c>
      <c r="F60" s="83">
        <f>IF(D60&lt;=0,0,)</f>
        <v>0</v>
      </c>
      <c r="G60" s="83">
        <f>IF(D60&lt;=0,0,)</f>
        <v>0</v>
      </c>
      <c r="H60" s="83">
        <f>ROUND(IF(D60&lt;=0,0,100),2)</f>
        <v>100</v>
      </c>
      <c r="I60" s="84">
        <f>D60*H60</f>
        <v>100</v>
      </c>
      <c r="J60" s="274" t="e">
        <f>IF(D60&gt;0,'S2'!$BP$31,0)</f>
        <v>#REF!</v>
      </c>
      <c r="K60" s="269" t="e">
        <f>ROUNDDOWN(H60*J60,2)</f>
        <v>#REF!</v>
      </c>
      <c r="L60" s="269" t="e">
        <f>D60*K60</f>
        <v>#REF!</v>
      </c>
      <c r="M60" s="90"/>
      <c r="N60" s="81"/>
    </row>
    <row r="61" spans="1:14" ht="20.100000000000001" customHeight="1">
      <c r="A61" s="80"/>
      <c r="B61" s="109" t="s">
        <v>59</v>
      </c>
      <c r="D61" s="99"/>
      <c r="E61" s="82"/>
      <c r="F61" s="84"/>
      <c r="G61" s="84"/>
      <c r="H61" s="84"/>
      <c r="I61" s="84"/>
      <c r="J61" s="269"/>
      <c r="K61" s="269"/>
      <c r="L61" s="269"/>
      <c r="M61" s="90"/>
      <c r="N61" s="81"/>
    </row>
    <row r="62" spans="1:14" ht="20.100000000000001" customHeight="1">
      <c r="A62" s="80"/>
      <c r="B62" s="108" t="s">
        <v>138</v>
      </c>
      <c r="D62" s="248">
        <v>1</v>
      </c>
      <c r="E62" s="86" t="s">
        <v>42</v>
      </c>
      <c r="F62" s="83">
        <f t="shared" ref="F62:F88" si="3">IF(D62&lt;=0,0,)</f>
        <v>0</v>
      </c>
      <c r="G62" s="83">
        <f t="shared" ref="G62:G88" si="4">IF(D62&lt;=0,0,)</f>
        <v>0</v>
      </c>
      <c r="H62" s="93">
        <f>ROUND(IF(D62&lt;=0,0,12710),2)</f>
        <v>12710</v>
      </c>
      <c r="I62" s="84">
        <f t="shared" ref="I62:I88" si="5">D62*H62</f>
        <v>12710</v>
      </c>
      <c r="J62" s="274" t="e">
        <f>IF(D62&gt;0,'S2'!$BP$31,0)</f>
        <v>#REF!</v>
      </c>
      <c r="K62" s="269" t="e">
        <f t="shared" ref="K62:K88" si="6">ROUNDDOWN(H62*J62,2)</f>
        <v>#REF!</v>
      </c>
      <c r="L62" s="269" t="e">
        <f t="shared" ref="L62:L88" si="7">D62*K62</f>
        <v>#REF!</v>
      </c>
      <c r="M62" s="1484"/>
      <c r="N62" s="1477"/>
    </row>
    <row r="63" spans="1:14" ht="20.100000000000001" customHeight="1">
      <c r="A63" s="80"/>
      <c r="B63" s="108" t="s">
        <v>139</v>
      </c>
      <c r="D63" s="248">
        <v>1</v>
      </c>
      <c r="E63" s="86" t="s">
        <v>42</v>
      </c>
      <c r="F63" s="83">
        <f t="shared" si="3"/>
        <v>0</v>
      </c>
      <c r="G63" s="83">
        <f t="shared" si="4"/>
        <v>0</v>
      </c>
      <c r="H63" s="93">
        <f>ROUND(IF(D63&lt;=0,0,3320),2)</f>
        <v>3320</v>
      </c>
      <c r="I63" s="84">
        <f t="shared" si="5"/>
        <v>3320</v>
      </c>
      <c r="J63" s="274" t="e">
        <f>IF(D63&gt;0,'S2'!$BP$31,0)</f>
        <v>#REF!</v>
      </c>
      <c r="K63" s="269" t="e">
        <f t="shared" si="6"/>
        <v>#REF!</v>
      </c>
      <c r="L63" s="269" t="e">
        <f t="shared" si="7"/>
        <v>#REF!</v>
      </c>
      <c r="M63" s="1476" t="s">
        <v>321</v>
      </c>
      <c r="N63" s="1477"/>
    </row>
    <row r="64" spans="1:14" ht="20.100000000000001" customHeight="1">
      <c r="A64" s="80"/>
      <c r="B64" s="85" t="s">
        <v>140</v>
      </c>
      <c r="D64" s="248">
        <v>1</v>
      </c>
      <c r="E64" s="86" t="s">
        <v>42</v>
      </c>
      <c r="F64" s="83">
        <f t="shared" si="3"/>
        <v>0</v>
      </c>
      <c r="G64" s="83">
        <f t="shared" si="4"/>
        <v>0</v>
      </c>
      <c r="H64" s="93">
        <f>ROUND(IF(D64&lt;=0,0,2390),2)</f>
        <v>2390</v>
      </c>
      <c r="I64" s="84">
        <f t="shared" si="5"/>
        <v>2390</v>
      </c>
      <c r="J64" s="274" t="e">
        <f>IF(D64&gt;0,'S2'!$BP$31,0)</f>
        <v>#REF!</v>
      </c>
      <c r="K64" s="269" t="e">
        <f t="shared" si="6"/>
        <v>#REF!</v>
      </c>
      <c r="L64" s="269" t="e">
        <f t="shared" si="7"/>
        <v>#REF!</v>
      </c>
      <c r="M64" s="90"/>
      <c r="N64" s="81"/>
    </row>
    <row r="65" spans="1:14" ht="20.100000000000001" customHeight="1">
      <c r="A65" s="80"/>
      <c r="B65" s="108" t="s">
        <v>141</v>
      </c>
      <c r="D65" s="248">
        <v>1</v>
      </c>
      <c r="E65" s="86" t="s">
        <v>42</v>
      </c>
      <c r="F65" s="83">
        <f t="shared" si="3"/>
        <v>0</v>
      </c>
      <c r="G65" s="83">
        <f t="shared" si="4"/>
        <v>0</v>
      </c>
      <c r="H65" s="93">
        <f>ROUND(IF(D65&lt;=0,0,2720),2)</f>
        <v>2720</v>
      </c>
      <c r="I65" s="84">
        <f t="shared" si="5"/>
        <v>2720</v>
      </c>
      <c r="J65" s="274" t="e">
        <f>IF(D65&gt;0,'S2'!$BP$31,0)</f>
        <v>#REF!</v>
      </c>
      <c r="K65" s="269" t="e">
        <f t="shared" si="6"/>
        <v>#REF!</v>
      </c>
      <c r="L65" s="269" t="e">
        <f t="shared" si="7"/>
        <v>#REF!</v>
      </c>
      <c r="M65" s="90"/>
      <c r="N65" s="81"/>
    </row>
    <row r="66" spans="1:14" ht="20.100000000000001" customHeight="1">
      <c r="A66" s="80"/>
      <c r="B66" s="108" t="s">
        <v>317</v>
      </c>
      <c r="D66" s="248">
        <v>1</v>
      </c>
      <c r="E66" s="86" t="s">
        <v>42</v>
      </c>
      <c r="F66" s="83">
        <f t="shared" si="3"/>
        <v>0</v>
      </c>
      <c r="G66" s="83">
        <f t="shared" si="4"/>
        <v>0</v>
      </c>
      <c r="H66" s="93">
        <f>ROUND(IF(D66&lt;=0,0,2950),2)</f>
        <v>2950</v>
      </c>
      <c r="I66" s="84">
        <f t="shared" si="5"/>
        <v>2950</v>
      </c>
      <c r="J66" s="274" t="e">
        <f>IF(D66&gt;0,'S2'!$BP$31,0)</f>
        <v>#REF!</v>
      </c>
      <c r="K66" s="269" t="e">
        <f t="shared" si="6"/>
        <v>#REF!</v>
      </c>
      <c r="L66" s="269" t="e">
        <f t="shared" si="7"/>
        <v>#REF!</v>
      </c>
      <c r="M66" s="90"/>
      <c r="N66" s="81"/>
    </row>
    <row r="67" spans="1:14" ht="20.100000000000001" customHeight="1">
      <c r="A67" s="80"/>
      <c r="B67" s="108" t="s">
        <v>306</v>
      </c>
      <c r="D67" s="248">
        <v>1</v>
      </c>
      <c r="E67" s="86" t="s">
        <v>42</v>
      </c>
      <c r="F67" s="83">
        <f>IF(D67&lt;=0,0,)</f>
        <v>0</v>
      </c>
      <c r="G67" s="83">
        <f>IF(D67&lt;=0,0,)</f>
        <v>0</v>
      </c>
      <c r="H67" s="93">
        <f>ROUND(IF(D67&lt;=0,0,4550),2)</f>
        <v>4550</v>
      </c>
      <c r="I67" s="84">
        <f>D67*H67</f>
        <v>4550</v>
      </c>
      <c r="J67" s="274" t="e">
        <f>IF(D67&gt;0,'S2'!$BP$31,0)</f>
        <v>#REF!</v>
      </c>
      <c r="K67" s="269" t="e">
        <f t="shared" si="6"/>
        <v>#REF!</v>
      </c>
      <c r="L67" s="269" t="e">
        <f t="shared" si="7"/>
        <v>#REF!</v>
      </c>
      <c r="M67" s="1476" t="s">
        <v>321</v>
      </c>
      <c r="N67" s="1477"/>
    </row>
    <row r="68" spans="1:14" ht="20.100000000000001" customHeight="1">
      <c r="A68" s="80"/>
      <c r="B68" s="108" t="s">
        <v>300</v>
      </c>
      <c r="D68" s="248">
        <v>1</v>
      </c>
      <c r="E68" s="86" t="s">
        <v>42</v>
      </c>
      <c r="F68" s="83">
        <f t="shared" si="3"/>
        <v>0</v>
      </c>
      <c r="G68" s="83">
        <f t="shared" si="4"/>
        <v>0</v>
      </c>
      <c r="H68" s="93">
        <f>ROUND(IF(D68&lt;=0,0,5570),2)</f>
        <v>5570</v>
      </c>
      <c r="I68" s="84">
        <f t="shared" si="5"/>
        <v>5570</v>
      </c>
      <c r="J68" s="274" t="e">
        <f>IF(D68&gt;0,'S2'!$BP$31,0)</f>
        <v>#REF!</v>
      </c>
      <c r="K68" s="269" t="e">
        <f t="shared" si="6"/>
        <v>#REF!</v>
      </c>
      <c r="L68" s="269" t="e">
        <f t="shared" si="7"/>
        <v>#REF!</v>
      </c>
      <c r="M68" s="1476" t="s">
        <v>321</v>
      </c>
      <c r="N68" s="1477"/>
    </row>
    <row r="69" spans="1:14" ht="20.100000000000001" customHeight="1">
      <c r="A69" s="80"/>
      <c r="B69" s="108" t="s">
        <v>301</v>
      </c>
      <c r="D69" s="248">
        <v>1</v>
      </c>
      <c r="E69" s="86" t="s">
        <v>42</v>
      </c>
      <c r="F69" s="83">
        <f t="shared" si="3"/>
        <v>0</v>
      </c>
      <c r="G69" s="83">
        <f t="shared" si="4"/>
        <v>0</v>
      </c>
      <c r="H69" s="93">
        <f>ROUND(IF(D69&lt;=0,0,8450),2)</f>
        <v>8450</v>
      </c>
      <c r="I69" s="84">
        <f t="shared" si="5"/>
        <v>8450</v>
      </c>
      <c r="J69" s="274" t="e">
        <f>IF(D69&gt;0,'S2'!$BP$31,0)</f>
        <v>#REF!</v>
      </c>
      <c r="K69" s="269" t="e">
        <f t="shared" si="6"/>
        <v>#REF!</v>
      </c>
      <c r="L69" s="269" t="e">
        <f t="shared" si="7"/>
        <v>#REF!</v>
      </c>
      <c r="M69" s="1476" t="s">
        <v>321</v>
      </c>
      <c r="N69" s="1477"/>
    </row>
    <row r="70" spans="1:14" ht="20.100000000000001" customHeight="1">
      <c r="A70" s="80"/>
      <c r="B70" s="108" t="s">
        <v>302</v>
      </c>
      <c r="D70" s="248">
        <v>1</v>
      </c>
      <c r="E70" s="86" t="s">
        <v>42</v>
      </c>
      <c r="F70" s="83">
        <f t="shared" si="3"/>
        <v>0</v>
      </c>
      <c r="G70" s="83">
        <f t="shared" si="4"/>
        <v>0</v>
      </c>
      <c r="H70" s="93">
        <f>ROUND(IF(D70&lt;=0,0,4410),2)</f>
        <v>4410</v>
      </c>
      <c r="I70" s="84">
        <f t="shared" si="5"/>
        <v>4410</v>
      </c>
      <c r="J70" s="274" t="e">
        <f>IF(D70&gt;0,'S2'!$BP$31,0)</f>
        <v>#REF!</v>
      </c>
      <c r="K70" s="269" t="e">
        <f t="shared" si="6"/>
        <v>#REF!</v>
      </c>
      <c r="L70" s="269" t="e">
        <f t="shared" si="7"/>
        <v>#REF!</v>
      </c>
      <c r="M70" s="1476" t="s">
        <v>321</v>
      </c>
      <c r="N70" s="1477"/>
    </row>
    <row r="71" spans="1:14" ht="20.100000000000001" customHeight="1">
      <c r="A71" s="80"/>
      <c r="B71" s="108" t="s">
        <v>303</v>
      </c>
      <c r="D71" s="248">
        <v>1</v>
      </c>
      <c r="E71" s="86" t="s">
        <v>42</v>
      </c>
      <c r="F71" s="83">
        <f t="shared" si="3"/>
        <v>0</v>
      </c>
      <c r="G71" s="83">
        <f t="shared" si="4"/>
        <v>0</v>
      </c>
      <c r="H71" s="93">
        <f>ROUND(IF(D71&lt;=0,0,7160),2)</f>
        <v>7160</v>
      </c>
      <c r="I71" s="84">
        <f t="shared" si="5"/>
        <v>7160</v>
      </c>
      <c r="J71" s="274" t="e">
        <f>IF(D71&gt;0,'S2'!$BP$31,0)</f>
        <v>#REF!</v>
      </c>
      <c r="K71" s="269" t="e">
        <f t="shared" si="6"/>
        <v>#REF!</v>
      </c>
      <c r="L71" s="269" t="e">
        <f t="shared" si="7"/>
        <v>#REF!</v>
      </c>
      <c r="M71" s="1476" t="s">
        <v>321</v>
      </c>
      <c r="N71" s="1477"/>
    </row>
    <row r="72" spans="1:14" ht="20.100000000000001" customHeight="1">
      <c r="A72" s="80"/>
      <c r="B72" s="108" t="s">
        <v>304</v>
      </c>
      <c r="D72" s="248">
        <v>1</v>
      </c>
      <c r="E72" s="86" t="s">
        <v>42</v>
      </c>
      <c r="F72" s="83">
        <f t="shared" si="3"/>
        <v>0</v>
      </c>
      <c r="G72" s="83">
        <f t="shared" si="4"/>
        <v>0</v>
      </c>
      <c r="H72" s="93">
        <f>ROUND(IF(D72&lt;=0,0,5710),2)</f>
        <v>5710</v>
      </c>
      <c r="I72" s="84">
        <f t="shared" si="5"/>
        <v>5710</v>
      </c>
      <c r="J72" s="274" t="e">
        <f>IF(D72&gt;0,'S2'!$BP$31,0)</f>
        <v>#REF!</v>
      </c>
      <c r="K72" s="269" t="e">
        <f t="shared" si="6"/>
        <v>#REF!</v>
      </c>
      <c r="L72" s="269" t="e">
        <f t="shared" si="7"/>
        <v>#REF!</v>
      </c>
      <c r="M72" s="1476" t="s">
        <v>321</v>
      </c>
      <c r="N72" s="1477"/>
    </row>
    <row r="73" spans="1:14" ht="20.100000000000001" customHeight="1">
      <c r="A73" s="80"/>
      <c r="B73" s="108" t="s">
        <v>305</v>
      </c>
      <c r="D73" s="248">
        <v>1</v>
      </c>
      <c r="E73" s="86" t="s">
        <v>42</v>
      </c>
      <c r="F73" s="83">
        <f>IF(D73&lt;=0,0,)</f>
        <v>0</v>
      </c>
      <c r="G73" s="83">
        <f>IF(D73&lt;=0,0,)</f>
        <v>0</v>
      </c>
      <c r="H73" s="93">
        <f>ROUND(IF(D73&lt;=0,0,7160),2)</f>
        <v>7160</v>
      </c>
      <c r="I73" s="84">
        <f>D73*H73</f>
        <v>7160</v>
      </c>
      <c r="J73" s="274" t="e">
        <f>IF(D73&gt;0,'S2'!$BP$31,0)</f>
        <v>#REF!</v>
      </c>
      <c r="K73" s="269" t="e">
        <f t="shared" si="6"/>
        <v>#REF!</v>
      </c>
      <c r="L73" s="269" t="e">
        <f t="shared" si="7"/>
        <v>#REF!</v>
      </c>
      <c r="M73" s="1476" t="s">
        <v>321</v>
      </c>
      <c r="N73" s="1477"/>
    </row>
    <row r="74" spans="1:14" ht="20.100000000000001" customHeight="1">
      <c r="A74" s="80"/>
      <c r="B74" s="108" t="s">
        <v>262</v>
      </c>
      <c r="D74" s="248">
        <v>1</v>
      </c>
      <c r="E74" s="86" t="s">
        <v>42</v>
      </c>
      <c r="F74" s="83">
        <f t="shared" si="3"/>
        <v>0</v>
      </c>
      <c r="G74" s="83">
        <f t="shared" si="4"/>
        <v>0</v>
      </c>
      <c r="H74" s="93">
        <f>ROUND(IF(D74&lt;=0,0,4410),2)</f>
        <v>4410</v>
      </c>
      <c r="I74" s="84">
        <f t="shared" si="5"/>
        <v>4410</v>
      </c>
      <c r="J74" s="274" t="e">
        <f>IF(D74&gt;0,'S2'!$BP$31,0)</f>
        <v>#REF!</v>
      </c>
      <c r="K74" s="269" t="e">
        <f t="shared" si="6"/>
        <v>#REF!</v>
      </c>
      <c r="L74" s="269" t="e">
        <f t="shared" si="7"/>
        <v>#REF!</v>
      </c>
      <c r="M74" s="1476" t="s">
        <v>321</v>
      </c>
      <c r="N74" s="1477"/>
    </row>
    <row r="75" spans="1:14" ht="20.100000000000001" customHeight="1">
      <c r="A75" s="80"/>
      <c r="B75" s="108" t="s">
        <v>263</v>
      </c>
      <c r="D75" s="248">
        <v>1</v>
      </c>
      <c r="E75" s="86" t="s">
        <v>42</v>
      </c>
      <c r="F75" s="83">
        <f t="shared" si="3"/>
        <v>0</v>
      </c>
      <c r="G75" s="83">
        <f t="shared" si="4"/>
        <v>0</v>
      </c>
      <c r="H75" s="93">
        <f>ROUND(IF(D75&lt;=0,0,4700),2)</f>
        <v>4700</v>
      </c>
      <c r="I75" s="84">
        <f t="shared" si="5"/>
        <v>4700</v>
      </c>
      <c r="J75" s="274" t="e">
        <f>IF(D75&gt;0,'S2'!$BP$31,0)</f>
        <v>#REF!</v>
      </c>
      <c r="K75" s="269" t="e">
        <f t="shared" si="6"/>
        <v>#REF!</v>
      </c>
      <c r="L75" s="269" t="e">
        <f t="shared" si="7"/>
        <v>#REF!</v>
      </c>
      <c r="M75" s="90"/>
      <c r="N75" s="81"/>
    </row>
    <row r="76" spans="1:14" ht="20.100000000000001" customHeight="1">
      <c r="A76" s="80"/>
      <c r="B76" s="108" t="s">
        <v>264</v>
      </c>
      <c r="D76" s="248">
        <v>1</v>
      </c>
      <c r="E76" s="86" t="s">
        <v>42</v>
      </c>
      <c r="F76" s="83">
        <f t="shared" si="3"/>
        <v>0</v>
      </c>
      <c r="G76" s="83">
        <f t="shared" si="4"/>
        <v>0</v>
      </c>
      <c r="H76" s="93">
        <f>ROUND(IF(D76&lt;=0,0,2500),2)</f>
        <v>2500</v>
      </c>
      <c r="I76" s="84">
        <f t="shared" si="5"/>
        <v>2500</v>
      </c>
      <c r="J76" s="274" t="e">
        <f>IF(D76&gt;0,'S2'!$BP$31,0)</f>
        <v>#REF!</v>
      </c>
      <c r="K76" s="269" t="e">
        <f t="shared" si="6"/>
        <v>#REF!</v>
      </c>
      <c r="L76" s="269" t="e">
        <f t="shared" si="7"/>
        <v>#REF!</v>
      </c>
      <c r="M76" s="90"/>
      <c r="N76" s="81"/>
    </row>
    <row r="77" spans="1:14" ht="20.100000000000001" customHeight="1">
      <c r="A77" s="80"/>
      <c r="B77" s="108" t="s">
        <v>265</v>
      </c>
      <c r="D77" s="248">
        <v>1</v>
      </c>
      <c r="E77" s="86" t="s">
        <v>42</v>
      </c>
      <c r="F77" s="83">
        <f>IF(D77&lt;=0,0,)</f>
        <v>0</v>
      </c>
      <c r="G77" s="83">
        <f>IF(D77&lt;=0,0,)</f>
        <v>0</v>
      </c>
      <c r="H77" s="93">
        <f>ROUND(IF(D77&lt;=0,0,4610),2)</f>
        <v>4610</v>
      </c>
      <c r="I77" s="84">
        <f>D77*H77</f>
        <v>4610</v>
      </c>
      <c r="J77" s="274" t="e">
        <f>IF(D77&gt;0,'S2'!$BP$31,0)</f>
        <v>#REF!</v>
      </c>
      <c r="K77" s="269" t="e">
        <f t="shared" si="6"/>
        <v>#REF!</v>
      </c>
      <c r="L77" s="269" t="e">
        <f t="shared" si="7"/>
        <v>#REF!</v>
      </c>
      <c r="M77" s="1484"/>
      <c r="N77" s="1477"/>
    </row>
    <row r="78" spans="1:14" ht="20.100000000000001" customHeight="1">
      <c r="A78" s="80"/>
      <c r="B78" s="108" t="s">
        <v>266</v>
      </c>
      <c r="D78" s="248">
        <v>1</v>
      </c>
      <c r="E78" s="86" t="s">
        <v>42</v>
      </c>
      <c r="F78" s="83">
        <f t="shared" si="3"/>
        <v>0</v>
      </c>
      <c r="G78" s="83">
        <f t="shared" si="4"/>
        <v>0</v>
      </c>
      <c r="H78" s="93">
        <f>ROUND(IF(D78&lt;=0,0,3950),2)</f>
        <v>3950</v>
      </c>
      <c r="I78" s="84">
        <f t="shared" si="5"/>
        <v>3950</v>
      </c>
      <c r="J78" s="274" t="e">
        <f>IF(D78&gt;0,'S2'!$BP$31,0)</f>
        <v>#REF!</v>
      </c>
      <c r="K78" s="269" t="e">
        <f t="shared" si="6"/>
        <v>#REF!</v>
      </c>
      <c r="L78" s="269" t="e">
        <f t="shared" si="7"/>
        <v>#REF!</v>
      </c>
      <c r="M78" s="90"/>
      <c r="N78" s="81"/>
    </row>
    <row r="79" spans="1:14" ht="20.100000000000001" customHeight="1">
      <c r="A79" s="80"/>
      <c r="B79" s="108" t="s">
        <v>267</v>
      </c>
      <c r="D79" s="248">
        <v>1</v>
      </c>
      <c r="E79" s="86" t="s">
        <v>42</v>
      </c>
      <c r="F79" s="83">
        <f t="shared" si="3"/>
        <v>0</v>
      </c>
      <c r="G79" s="83">
        <f t="shared" si="4"/>
        <v>0</v>
      </c>
      <c r="H79" s="93">
        <f>ROUND(IF(D79&lt;=0,0,5830),2)</f>
        <v>5830</v>
      </c>
      <c r="I79" s="84">
        <f t="shared" si="5"/>
        <v>5830</v>
      </c>
      <c r="J79" s="274" t="e">
        <f>IF(D79&gt;0,'S2'!$BP$31,0)</f>
        <v>#REF!</v>
      </c>
      <c r="K79" s="269" t="e">
        <f t="shared" si="6"/>
        <v>#REF!</v>
      </c>
      <c r="L79" s="269" t="e">
        <f t="shared" si="7"/>
        <v>#REF!</v>
      </c>
      <c r="M79" s="90"/>
      <c r="N79" s="81"/>
    </row>
    <row r="80" spans="1:14" ht="20.100000000000001" customHeight="1">
      <c r="A80" s="80"/>
      <c r="B80" s="108" t="s">
        <v>268</v>
      </c>
      <c r="D80" s="248">
        <v>1</v>
      </c>
      <c r="E80" s="86" t="s">
        <v>42</v>
      </c>
      <c r="F80" s="83">
        <f t="shared" si="3"/>
        <v>0</v>
      </c>
      <c r="G80" s="83">
        <f t="shared" si="4"/>
        <v>0</v>
      </c>
      <c r="H80" s="93">
        <f>ROUND(IF(D80&lt;=0,0,9190),2)</f>
        <v>9190</v>
      </c>
      <c r="I80" s="84">
        <f t="shared" si="5"/>
        <v>9190</v>
      </c>
      <c r="J80" s="274" t="e">
        <f>IF(D80&gt;0,'S2'!$BP$31,0)</f>
        <v>#REF!</v>
      </c>
      <c r="K80" s="269" t="e">
        <f t="shared" si="6"/>
        <v>#REF!</v>
      </c>
      <c r="L80" s="269" t="e">
        <f t="shared" si="7"/>
        <v>#REF!</v>
      </c>
      <c r="M80" s="90"/>
      <c r="N80" s="81"/>
    </row>
    <row r="81" spans="1:14" ht="20.100000000000001" customHeight="1">
      <c r="A81" s="80"/>
      <c r="B81" s="108" t="s">
        <v>269</v>
      </c>
      <c r="D81" s="248">
        <v>1</v>
      </c>
      <c r="E81" s="86" t="s">
        <v>42</v>
      </c>
      <c r="F81" s="83">
        <f t="shared" si="3"/>
        <v>0</v>
      </c>
      <c r="G81" s="83">
        <f t="shared" si="4"/>
        <v>0</v>
      </c>
      <c r="H81" s="93">
        <f>ROUND(IF(D81&lt;=0,0,14480),2)</f>
        <v>14480</v>
      </c>
      <c r="I81" s="84">
        <f t="shared" si="5"/>
        <v>14480</v>
      </c>
      <c r="J81" s="274" t="e">
        <f>IF(D81&gt;0,'S2'!$BP$31,0)</f>
        <v>#REF!</v>
      </c>
      <c r="K81" s="269" t="e">
        <f t="shared" si="6"/>
        <v>#REF!</v>
      </c>
      <c r="L81" s="269" t="e">
        <f t="shared" si="7"/>
        <v>#REF!</v>
      </c>
      <c r="M81" s="90"/>
      <c r="N81" s="81"/>
    </row>
    <row r="82" spans="1:14" ht="20.100000000000001" customHeight="1">
      <c r="A82" s="80"/>
      <c r="B82" s="108" t="s">
        <v>270</v>
      </c>
      <c r="D82" s="248">
        <v>1</v>
      </c>
      <c r="E82" s="86" t="s">
        <v>42</v>
      </c>
      <c r="F82" s="83">
        <f t="shared" si="3"/>
        <v>0</v>
      </c>
      <c r="G82" s="83">
        <f t="shared" si="4"/>
        <v>0</v>
      </c>
      <c r="H82" s="93">
        <f>ROUND(IF(D82&lt;=0,0,21390),2)</f>
        <v>21390</v>
      </c>
      <c r="I82" s="84">
        <f t="shared" si="5"/>
        <v>21390</v>
      </c>
      <c r="J82" s="274" t="e">
        <f>IF(D82&gt;0,'S2'!$BP$31,0)</f>
        <v>#REF!</v>
      </c>
      <c r="K82" s="269" t="e">
        <f t="shared" si="6"/>
        <v>#REF!</v>
      </c>
      <c r="L82" s="269" t="e">
        <f t="shared" si="7"/>
        <v>#REF!</v>
      </c>
      <c r="M82" s="90"/>
      <c r="N82" s="81"/>
    </row>
    <row r="83" spans="1:14" ht="20.100000000000001" customHeight="1">
      <c r="A83" s="80"/>
      <c r="B83" s="108" t="s">
        <v>271</v>
      </c>
      <c r="D83" s="248">
        <v>1</v>
      </c>
      <c r="E83" s="86" t="s">
        <v>42</v>
      </c>
      <c r="F83" s="83">
        <f t="shared" si="3"/>
        <v>0</v>
      </c>
      <c r="G83" s="83">
        <f t="shared" si="4"/>
        <v>0</v>
      </c>
      <c r="H83" s="93">
        <f>ROUND(IF(D83&lt;=0,0,8420),2)</f>
        <v>8420</v>
      </c>
      <c r="I83" s="84">
        <f t="shared" si="5"/>
        <v>8420</v>
      </c>
      <c r="J83" s="274" t="e">
        <f>IF(D83&gt;0,'S2'!$BP$31,0)</f>
        <v>#REF!</v>
      </c>
      <c r="K83" s="269" t="e">
        <f t="shared" si="6"/>
        <v>#REF!</v>
      </c>
      <c r="L83" s="269" t="e">
        <f t="shared" si="7"/>
        <v>#REF!</v>
      </c>
      <c r="M83" s="90"/>
      <c r="N83" s="81"/>
    </row>
    <row r="84" spans="1:14" ht="20.100000000000001" customHeight="1">
      <c r="A84" s="80"/>
      <c r="B84" s="108" t="s">
        <v>272</v>
      </c>
      <c r="D84" s="248">
        <v>1</v>
      </c>
      <c r="E84" s="86" t="s">
        <v>42</v>
      </c>
      <c r="F84" s="83">
        <f t="shared" si="3"/>
        <v>0</v>
      </c>
      <c r="G84" s="83">
        <f t="shared" si="4"/>
        <v>0</v>
      </c>
      <c r="H84" s="93">
        <f>ROUND(IF(D84&lt;=0,0,3550),2)</f>
        <v>3550</v>
      </c>
      <c r="I84" s="84">
        <f t="shared" si="5"/>
        <v>3550</v>
      </c>
      <c r="J84" s="274" t="e">
        <f>IF(D84&gt;0,'S2'!$BP$31,0)</f>
        <v>#REF!</v>
      </c>
      <c r="K84" s="269" t="e">
        <f t="shared" si="6"/>
        <v>#REF!</v>
      </c>
      <c r="L84" s="269" t="e">
        <f t="shared" si="7"/>
        <v>#REF!</v>
      </c>
      <c r="M84" s="90"/>
      <c r="N84" s="81"/>
    </row>
    <row r="85" spans="1:14" ht="20.100000000000001" customHeight="1">
      <c r="A85" s="80"/>
      <c r="B85" s="108" t="s">
        <v>273</v>
      </c>
      <c r="D85" s="248">
        <v>1</v>
      </c>
      <c r="E85" s="86" t="s">
        <v>42</v>
      </c>
      <c r="F85" s="83">
        <f t="shared" si="3"/>
        <v>0</v>
      </c>
      <c r="G85" s="83">
        <f t="shared" si="4"/>
        <v>0</v>
      </c>
      <c r="H85" s="93">
        <f>ROUND(IF(D85&lt;=0,0,6310),2)</f>
        <v>6310</v>
      </c>
      <c r="I85" s="84">
        <f t="shared" si="5"/>
        <v>6310</v>
      </c>
      <c r="J85" s="274" t="e">
        <f>IF(D85&gt;0,'S2'!$BP$31,0)</f>
        <v>#REF!</v>
      </c>
      <c r="K85" s="269" t="e">
        <f t="shared" si="6"/>
        <v>#REF!</v>
      </c>
      <c r="L85" s="269" t="e">
        <f t="shared" si="7"/>
        <v>#REF!</v>
      </c>
      <c r="M85" s="90"/>
      <c r="N85" s="81"/>
    </row>
    <row r="86" spans="1:14" ht="20.100000000000001" customHeight="1">
      <c r="A86" s="80"/>
      <c r="B86" s="85" t="s">
        <v>330</v>
      </c>
      <c r="D86" s="248">
        <v>1</v>
      </c>
      <c r="E86" s="86" t="s">
        <v>42</v>
      </c>
      <c r="F86" s="83">
        <f t="shared" si="3"/>
        <v>0</v>
      </c>
      <c r="G86" s="83">
        <f t="shared" si="4"/>
        <v>0</v>
      </c>
      <c r="H86" s="93">
        <f>ROUND(IF(D86&lt;=0,0,2550),2)</f>
        <v>2550</v>
      </c>
      <c r="I86" s="84">
        <f t="shared" si="5"/>
        <v>2550</v>
      </c>
      <c r="J86" s="274" t="e">
        <f>IF(D86&gt;0,'S2'!$BP$31,0)</f>
        <v>#REF!</v>
      </c>
      <c r="K86" s="269" t="e">
        <f t="shared" si="6"/>
        <v>#REF!</v>
      </c>
      <c r="L86" s="269" t="e">
        <f t="shared" si="7"/>
        <v>#REF!</v>
      </c>
      <c r="M86" s="90"/>
      <c r="N86" s="81"/>
    </row>
    <row r="87" spans="1:14" ht="20.100000000000001" customHeight="1">
      <c r="A87" s="80"/>
      <c r="B87" s="85" t="s">
        <v>331</v>
      </c>
      <c r="D87" s="248">
        <v>1</v>
      </c>
      <c r="E87" s="86" t="s">
        <v>42</v>
      </c>
      <c r="F87" s="83">
        <f>IF(D87&lt;=0,0,)</f>
        <v>0</v>
      </c>
      <c r="G87" s="83">
        <f>IF(D87&lt;=0,0,)</f>
        <v>0</v>
      </c>
      <c r="H87" s="93">
        <f>ROUND(IF(D87&lt;=0,0,2620),2)</f>
        <v>2620</v>
      </c>
      <c r="I87" s="84">
        <f>D87*H87</f>
        <v>2620</v>
      </c>
      <c r="J87" s="274" t="e">
        <f>IF(D87&gt;0,'S2'!$BP$31,0)</f>
        <v>#REF!</v>
      </c>
      <c r="K87" s="269" t="e">
        <f>ROUNDDOWN(H87*J87,2)</f>
        <v>#REF!</v>
      </c>
      <c r="L87" s="269" t="e">
        <f>D87*K87</f>
        <v>#REF!</v>
      </c>
      <c r="M87" s="90"/>
      <c r="N87" s="81"/>
    </row>
    <row r="88" spans="1:14">
      <c r="A88" s="82"/>
      <c r="B88" s="108" t="s">
        <v>329</v>
      </c>
      <c r="D88" s="248">
        <v>1</v>
      </c>
      <c r="E88" s="86" t="s">
        <v>42</v>
      </c>
      <c r="F88" s="83">
        <f t="shared" si="3"/>
        <v>0</v>
      </c>
      <c r="G88" s="83">
        <f t="shared" si="4"/>
        <v>0</v>
      </c>
      <c r="H88" s="93">
        <f>ROUND(IF(D88&lt;=0,0,3620),2)</f>
        <v>3620</v>
      </c>
      <c r="I88" s="84">
        <f t="shared" si="5"/>
        <v>3620</v>
      </c>
      <c r="J88" s="274" t="e">
        <f>IF(D88&gt;0,'S2'!$BP$31,0)</f>
        <v>#REF!</v>
      </c>
      <c r="K88" s="269" t="e">
        <f t="shared" si="6"/>
        <v>#REF!</v>
      </c>
      <c r="L88" s="269" t="e">
        <f t="shared" si="7"/>
        <v>#REF!</v>
      </c>
      <c r="M88" s="90"/>
      <c r="N88" s="81"/>
    </row>
    <row r="89" spans="1:14">
      <c r="A89" s="82"/>
      <c r="B89" s="108"/>
      <c r="D89" s="248"/>
      <c r="E89" s="86"/>
      <c r="F89" s="83"/>
      <c r="G89" s="83"/>
      <c r="H89" s="93"/>
      <c r="I89" s="84"/>
      <c r="J89" s="274"/>
      <c r="K89" s="269"/>
      <c r="L89" s="269"/>
      <c r="M89" s="90"/>
      <c r="N89" s="81"/>
    </row>
    <row r="90" spans="1:14">
      <c r="A90" s="82"/>
      <c r="B90" s="108"/>
      <c r="D90" s="248"/>
      <c r="E90" s="86"/>
      <c r="F90" s="83"/>
      <c r="G90" s="83"/>
      <c r="H90" s="93"/>
      <c r="I90" s="84"/>
      <c r="J90" s="274"/>
      <c r="K90" s="269"/>
      <c r="L90" s="269"/>
      <c r="M90" s="90"/>
      <c r="N90" s="81"/>
    </row>
    <row r="91" spans="1:14">
      <c r="A91" s="82"/>
      <c r="B91" s="108"/>
      <c r="D91" s="248"/>
      <c r="E91" s="86"/>
      <c r="F91" s="83"/>
      <c r="G91" s="83"/>
      <c r="H91" s="93"/>
      <c r="I91" s="84"/>
      <c r="J91" s="274"/>
      <c r="K91" s="269"/>
      <c r="L91" s="269"/>
      <c r="M91" s="90"/>
      <c r="N91" s="81"/>
    </row>
    <row r="92" spans="1:14">
      <c r="A92" s="82"/>
      <c r="B92" s="108"/>
      <c r="D92" s="248"/>
      <c r="E92" s="86"/>
      <c r="F92" s="83"/>
      <c r="G92" s="83"/>
      <c r="H92" s="93"/>
      <c r="I92" s="84"/>
      <c r="J92" s="274"/>
      <c r="K92" s="269"/>
      <c r="L92" s="269"/>
      <c r="M92" s="90"/>
      <c r="N92" s="81"/>
    </row>
    <row r="93" spans="1:14">
      <c r="A93" s="82"/>
      <c r="B93" s="108"/>
      <c r="D93" s="248"/>
      <c r="E93" s="86"/>
      <c r="F93" s="83"/>
      <c r="G93" s="83"/>
      <c r="H93" s="93"/>
      <c r="I93" s="84"/>
      <c r="J93" s="274"/>
      <c r="K93" s="269"/>
      <c r="L93" s="269"/>
      <c r="M93" s="90"/>
      <c r="N93" s="81"/>
    </row>
    <row r="94" spans="1:14">
      <c r="A94" s="82"/>
      <c r="B94" s="108"/>
      <c r="D94" s="248"/>
      <c r="E94" s="86"/>
      <c r="F94" s="83"/>
      <c r="G94" s="83"/>
      <c r="H94" s="93"/>
      <c r="I94" s="84"/>
      <c r="J94" s="274"/>
      <c r="K94" s="269"/>
      <c r="L94" s="269"/>
      <c r="M94" s="90"/>
      <c r="N94" s="81"/>
    </row>
    <row r="95" spans="1:14" ht="20.100000000000001" customHeight="1">
      <c r="A95" s="80"/>
      <c r="B95" s="108"/>
      <c r="D95" s="99"/>
      <c r="E95" s="86"/>
      <c r="F95" s="83"/>
      <c r="G95" s="83"/>
      <c r="H95" s="93"/>
      <c r="I95" s="84"/>
      <c r="J95" s="269"/>
      <c r="K95" s="269"/>
      <c r="L95" s="269"/>
      <c r="M95" s="90"/>
      <c r="N95" s="81"/>
    </row>
    <row r="96" spans="1:14">
      <c r="A96" s="94"/>
      <c r="B96" s="95"/>
      <c r="C96" s="118" t="s">
        <v>159</v>
      </c>
      <c r="D96" s="96"/>
      <c r="E96" s="96"/>
      <c r="F96" s="96"/>
      <c r="G96" s="96"/>
      <c r="H96" s="96"/>
      <c r="I96" s="97" t="e">
        <f>SUM(I54:I95)</f>
        <v>#REF!</v>
      </c>
      <c r="J96" s="272"/>
      <c r="K96" s="272"/>
      <c r="L96" s="97" t="e">
        <f>SUM(L54:L95)</f>
        <v>#REF!</v>
      </c>
      <c r="M96" s="95"/>
      <c r="N96" s="206"/>
    </row>
    <row r="97" spans="1:14" ht="23.25">
      <c r="A97" s="1481" t="s">
        <v>61</v>
      </c>
      <c r="B97" s="1481"/>
      <c r="C97" s="1481"/>
      <c r="D97" s="1481"/>
      <c r="E97" s="1481"/>
      <c r="F97" s="1481"/>
      <c r="G97" s="1481"/>
      <c r="H97" s="1481"/>
      <c r="I97" s="1481"/>
      <c r="J97" s="1481"/>
      <c r="K97" s="1481"/>
      <c r="L97" s="1481"/>
      <c r="M97" s="1481"/>
    </row>
    <row r="98" spans="1:14">
      <c r="B98" s="230" t="s">
        <v>44</v>
      </c>
      <c r="C98" s="68" t="str">
        <f>C2</f>
        <v>โครงการ</v>
      </c>
      <c r="D98" s="67"/>
      <c r="G98" s="67" t="s">
        <v>23</v>
      </c>
      <c r="I98" s="66">
        <f>$I$2</f>
        <v>0</v>
      </c>
    </row>
    <row r="99" spans="1:14">
      <c r="B99" s="230" t="s">
        <v>45</v>
      </c>
      <c r="C99" s="68">
        <f>C3</f>
        <v>0</v>
      </c>
      <c r="G99" s="67" t="s">
        <v>295</v>
      </c>
      <c r="I99" s="249">
        <f>$I$3</f>
        <v>0</v>
      </c>
      <c r="J99" s="68" t="s">
        <v>46</v>
      </c>
      <c r="K99" s="68"/>
      <c r="L99" s="68"/>
    </row>
    <row r="100" spans="1:14">
      <c r="A100" s="69" t="s">
        <v>0</v>
      </c>
      <c r="B100" s="70"/>
      <c r="C100" s="71" t="s">
        <v>47</v>
      </c>
      <c r="D100" s="69" t="s">
        <v>24</v>
      </c>
      <c r="E100" s="69" t="s">
        <v>25</v>
      </c>
      <c r="F100" s="1472" t="s">
        <v>26</v>
      </c>
      <c r="G100" s="1480"/>
      <c r="H100" s="1473"/>
      <c r="I100" s="69" t="s">
        <v>27</v>
      </c>
      <c r="J100" s="1471" t="s">
        <v>2</v>
      </c>
      <c r="K100" s="1472" t="s">
        <v>319</v>
      </c>
      <c r="L100" s="1473"/>
      <c r="M100" s="1478" t="s">
        <v>20</v>
      </c>
      <c r="N100" s="1479"/>
    </row>
    <row r="101" spans="1:14">
      <c r="A101" s="72"/>
      <c r="B101" s="73"/>
      <c r="C101" s="74"/>
      <c r="D101" s="72"/>
      <c r="E101" s="72"/>
      <c r="F101" s="75" t="s">
        <v>28</v>
      </c>
      <c r="G101" s="75" t="s">
        <v>29</v>
      </c>
      <c r="H101" s="75" t="s">
        <v>30</v>
      </c>
      <c r="I101" s="72" t="s">
        <v>31</v>
      </c>
      <c r="J101" s="1471"/>
      <c r="K101" s="273" t="s">
        <v>320</v>
      </c>
      <c r="L101" s="75" t="s">
        <v>30</v>
      </c>
      <c r="M101" s="73"/>
      <c r="N101" s="196"/>
    </row>
    <row r="102" spans="1:14">
      <c r="A102" s="82"/>
      <c r="B102" s="98"/>
      <c r="C102" s="117" t="s">
        <v>160</v>
      </c>
      <c r="D102" s="82"/>
      <c r="E102" s="82"/>
      <c r="F102" s="82"/>
      <c r="G102" s="82"/>
      <c r="H102" s="82"/>
      <c r="I102" s="229" t="e">
        <f>I96</f>
        <v>#REF!</v>
      </c>
      <c r="J102" s="271"/>
      <c r="K102" s="271"/>
      <c r="L102" s="229" t="e">
        <f>L96</f>
        <v>#REF!</v>
      </c>
      <c r="M102" s="70"/>
      <c r="N102" s="111"/>
    </row>
    <row r="103" spans="1:14">
      <c r="A103" s="80"/>
      <c r="B103" s="108" t="s">
        <v>336</v>
      </c>
      <c r="D103" s="248">
        <v>1</v>
      </c>
      <c r="E103" s="86" t="s">
        <v>42</v>
      </c>
      <c r="F103" s="83">
        <f>IF(D103&lt;=0,0,)</f>
        <v>0</v>
      </c>
      <c r="G103" s="83">
        <f>IF(D103&lt;=0,0,)</f>
        <v>0</v>
      </c>
      <c r="H103" s="93">
        <f>ROUND(IF(D103&lt;=0,0,5180),2)</f>
        <v>5180</v>
      </c>
      <c r="I103" s="84">
        <f t="shared" ref="I103:I118" si="8">D103*H103</f>
        <v>5180</v>
      </c>
      <c r="J103" s="274" t="e">
        <f>IF(D103&gt;0,'S2'!$BP$31,0)</f>
        <v>#REF!</v>
      </c>
      <c r="K103" s="269" t="e">
        <f t="shared" ref="K103:K118" si="9">ROUNDDOWN(H103*J103,2)</f>
        <v>#REF!</v>
      </c>
      <c r="L103" s="269" t="e">
        <f t="shared" ref="L103:L118" si="10">D103*K103</f>
        <v>#REF!</v>
      </c>
      <c r="M103" s="90"/>
      <c r="N103" s="81"/>
    </row>
    <row r="104" spans="1:14" ht="20.100000000000001" customHeight="1">
      <c r="A104" s="80"/>
      <c r="B104" s="108" t="s">
        <v>289</v>
      </c>
      <c r="D104" s="248">
        <v>0</v>
      </c>
      <c r="E104" s="86" t="s">
        <v>42</v>
      </c>
      <c r="F104" s="83">
        <f>IF(D104&lt;=0,0,)</f>
        <v>0</v>
      </c>
      <c r="G104" s="83">
        <f>IF(D104&lt;=0,0,)</f>
        <v>0</v>
      </c>
      <c r="H104" s="93">
        <f>ROUND(IF(D104&lt;=0,0,),2)</f>
        <v>0</v>
      </c>
      <c r="I104" s="84">
        <f t="shared" si="8"/>
        <v>0</v>
      </c>
      <c r="J104" s="274">
        <f>IF(D104&gt;0,'S2'!$BP$31,0)</f>
        <v>0</v>
      </c>
      <c r="K104" s="269">
        <f t="shared" si="9"/>
        <v>0</v>
      </c>
      <c r="L104" s="269">
        <f t="shared" si="10"/>
        <v>0</v>
      </c>
      <c r="M104" s="90"/>
      <c r="N104" s="81"/>
    </row>
    <row r="105" spans="1:14" ht="20.100000000000001" customHeight="1">
      <c r="A105" s="80"/>
      <c r="B105" s="108" t="s">
        <v>290</v>
      </c>
      <c r="D105" s="248">
        <v>0</v>
      </c>
      <c r="E105" s="86" t="s">
        <v>42</v>
      </c>
      <c r="F105" s="83">
        <f>IF(D105&lt;=0,0,)</f>
        <v>0</v>
      </c>
      <c r="G105" s="83">
        <f>IF(D105&lt;=0,0,)</f>
        <v>0</v>
      </c>
      <c r="H105" s="93">
        <f>ROUND(IF(D105&lt;=0,0,),2)</f>
        <v>0</v>
      </c>
      <c r="I105" s="84">
        <f t="shared" si="8"/>
        <v>0</v>
      </c>
      <c r="J105" s="274">
        <f>IF(D105&gt;0,'S2'!$BP$31,0)</f>
        <v>0</v>
      </c>
      <c r="K105" s="269">
        <f t="shared" si="9"/>
        <v>0</v>
      </c>
      <c r="L105" s="269">
        <f t="shared" si="10"/>
        <v>0</v>
      </c>
      <c r="M105" s="90"/>
      <c r="N105" s="81"/>
    </row>
    <row r="106" spans="1:14" ht="20.100000000000001" customHeight="1">
      <c r="A106" s="80"/>
      <c r="B106" s="108" t="s">
        <v>291</v>
      </c>
      <c r="D106" s="248">
        <v>0</v>
      </c>
      <c r="E106" s="86" t="s">
        <v>42</v>
      </c>
      <c r="F106" s="83">
        <f>IF(D106&lt;=0,0,)</f>
        <v>0</v>
      </c>
      <c r="G106" s="83">
        <f>IF(D106&lt;=0,0,)</f>
        <v>0</v>
      </c>
      <c r="H106" s="93">
        <f>ROUND(IF(D106&lt;=0,0,),2)</f>
        <v>0</v>
      </c>
      <c r="I106" s="84">
        <f t="shared" si="8"/>
        <v>0</v>
      </c>
      <c r="J106" s="274">
        <f>IF(D106&gt;0,'S2'!$BP$31,0)</f>
        <v>0</v>
      </c>
      <c r="K106" s="269">
        <f t="shared" si="9"/>
        <v>0</v>
      </c>
      <c r="L106" s="269">
        <f t="shared" si="10"/>
        <v>0</v>
      </c>
      <c r="M106" s="90"/>
      <c r="N106" s="81"/>
    </row>
    <row r="107" spans="1:14" ht="20.100000000000001" customHeight="1">
      <c r="A107" s="80"/>
      <c r="B107" s="108" t="s">
        <v>337</v>
      </c>
      <c r="D107" s="248">
        <v>0</v>
      </c>
      <c r="E107" s="86" t="s">
        <v>42</v>
      </c>
      <c r="F107" s="83">
        <f>IF(D107&lt;=0,0,)</f>
        <v>0</v>
      </c>
      <c r="G107" s="83">
        <f>IF(D107&lt;=0,0,)</f>
        <v>0</v>
      </c>
      <c r="H107" s="93">
        <f>ROUND(IF(D107&lt;=0,0,),2)</f>
        <v>0</v>
      </c>
      <c r="I107" s="84">
        <f t="shared" si="8"/>
        <v>0</v>
      </c>
      <c r="J107" s="274">
        <f>IF(D107&gt;0,'S2'!$BP$31,0)</f>
        <v>0</v>
      </c>
      <c r="K107" s="269">
        <f t="shared" si="9"/>
        <v>0</v>
      </c>
      <c r="L107" s="269">
        <f t="shared" si="10"/>
        <v>0</v>
      </c>
      <c r="M107" s="90"/>
      <c r="N107" s="81"/>
    </row>
    <row r="108" spans="1:14">
      <c r="A108" s="80"/>
      <c r="B108" s="108" t="s">
        <v>338</v>
      </c>
      <c r="D108" s="248">
        <v>1</v>
      </c>
      <c r="E108" s="115" t="s">
        <v>43</v>
      </c>
      <c r="F108" s="83">
        <f t="shared" ref="F108:F118" si="11">IF(D108&lt;=0,0,)</f>
        <v>0</v>
      </c>
      <c r="G108" s="83">
        <f t="shared" ref="G108:G118" si="12">IF(D108&lt;=0,0,)</f>
        <v>0</v>
      </c>
      <c r="H108" s="93">
        <f>ROUND(IF(D108&lt;=0,0,560),2)</f>
        <v>560</v>
      </c>
      <c r="I108" s="84">
        <f t="shared" si="8"/>
        <v>560</v>
      </c>
      <c r="J108" s="274" t="e">
        <f>IF(D108&gt;0,'S2'!$BP$31,0)</f>
        <v>#REF!</v>
      </c>
      <c r="K108" s="269" t="e">
        <f t="shared" si="9"/>
        <v>#REF!</v>
      </c>
      <c r="L108" s="269" t="e">
        <f t="shared" si="10"/>
        <v>#REF!</v>
      </c>
      <c r="M108" s="90"/>
      <c r="N108" s="81"/>
    </row>
    <row r="109" spans="1:14">
      <c r="A109" s="80"/>
      <c r="B109" s="108" t="s">
        <v>339</v>
      </c>
      <c r="D109" s="248">
        <v>1</v>
      </c>
      <c r="E109" s="115" t="s">
        <v>43</v>
      </c>
      <c r="F109" s="83">
        <f t="shared" si="11"/>
        <v>0</v>
      </c>
      <c r="G109" s="83">
        <f t="shared" si="12"/>
        <v>0</v>
      </c>
      <c r="H109" s="93">
        <f>ROUND(IF(D109&lt;=0,0,1690),2)</f>
        <v>1690</v>
      </c>
      <c r="I109" s="84">
        <f t="shared" si="8"/>
        <v>1690</v>
      </c>
      <c r="J109" s="274" t="e">
        <f>IF(D109&gt;0,'S2'!$BP$31,0)</f>
        <v>#REF!</v>
      </c>
      <c r="K109" s="269" t="e">
        <f t="shared" si="9"/>
        <v>#REF!</v>
      </c>
      <c r="L109" s="269" t="e">
        <f t="shared" si="10"/>
        <v>#REF!</v>
      </c>
      <c r="M109" s="90"/>
      <c r="N109" s="81"/>
    </row>
    <row r="110" spans="1:14">
      <c r="A110" s="80"/>
      <c r="B110" s="108" t="s">
        <v>340</v>
      </c>
      <c r="D110" s="248">
        <v>1</v>
      </c>
      <c r="E110" s="115" t="s">
        <v>43</v>
      </c>
      <c r="F110" s="83">
        <f t="shared" si="11"/>
        <v>0</v>
      </c>
      <c r="G110" s="83">
        <f t="shared" si="12"/>
        <v>0</v>
      </c>
      <c r="H110" s="93">
        <f>ROUND(IF(D110&lt;=0,0,280),2)</f>
        <v>280</v>
      </c>
      <c r="I110" s="84">
        <f t="shared" si="8"/>
        <v>280</v>
      </c>
      <c r="J110" s="274" t="e">
        <f>IF(D110&gt;0,'S2'!$BP$31,0)</f>
        <v>#REF!</v>
      </c>
      <c r="K110" s="269" t="e">
        <f t="shared" si="9"/>
        <v>#REF!</v>
      </c>
      <c r="L110" s="269" t="e">
        <f t="shared" si="10"/>
        <v>#REF!</v>
      </c>
      <c r="M110" s="90"/>
      <c r="N110" s="81"/>
    </row>
    <row r="111" spans="1:14">
      <c r="A111" s="80"/>
      <c r="B111" s="108" t="s">
        <v>341</v>
      </c>
      <c r="D111" s="248">
        <v>1</v>
      </c>
      <c r="E111" s="115" t="s">
        <v>43</v>
      </c>
      <c r="F111" s="83">
        <f t="shared" si="11"/>
        <v>0</v>
      </c>
      <c r="G111" s="83">
        <f t="shared" si="12"/>
        <v>0</v>
      </c>
      <c r="H111" s="93">
        <f>ROUND(IF(D111&lt;=0,0,90),2)</f>
        <v>90</v>
      </c>
      <c r="I111" s="84">
        <f t="shared" si="8"/>
        <v>90</v>
      </c>
      <c r="J111" s="274" t="e">
        <f>IF(D111&gt;0,'S2'!$BP$31,0)</f>
        <v>#REF!</v>
      </c>
      <c r="K111" s="269" t="e">
        <f t="shared" si="9"/>
        <v>#REF!</v>
      </c>
      <c r="L111" s="269" t="e">
        <f t="shared" si="10"/>
        <v>#REF!</v>
      </c>
      <c r="M111" s="90"/>
      <c r="N111" s="81"/>
    </row>
    <row r="112" spans="1:14">
      <c r="A112" s="80"/>
      <c r="B112" s="108" t="s">
        <v>342</v>
      </c>
      <c r="D112" s="248">
        <v>1</v>
      </c>
      <c r="E112" s="115" t="s">
        <v>57</v>
      </c>
      <c r="F112" s="83">
        <f t="shared" si="11"/>
        <v>0</v>
      </c>
      <c r="G112" s="83">
        <f t="shared" si="12"/>
        <v>0</v>
      </c>
      <c r="H112" s="93">
        <f>ROUND(IF(D112&lt;=0,0,1780),2)</f>
        <v>1780</v>
      </c>
      <c r="I112" s="84">
        <f t="shared" si="8"/>
        <v>1780</v>
      </c>
      <c r="J112" s="274" t="e">
        <f>IF(D112&gt;0,'S2'!$BP$31,0)</f>
        <v>#REF!</v>
      </c>
      <c r="K112" s="269" t="e">
        <f t="shared" si="9"/>
        <v>#REF!</v>
      </c>
      <c r="L112" s="269" t="e">
        <f t="shared" si="10"/>
        <v>#REF!</v>
      </c>
      <c r="M112" s="90"/>
      <c r="N112" s="81"/>
    </row>
    <row r="113" spans="1:15">
      <c r="A113" s="80"/>
      <c r="B113" s="108" t="s">
        <v>343</v>
      </c>
      <c r="D113" s="248">
        <v>1</v>
      </c>
      <c r="E113" s="115" t="s">
        <v>57</v>
      </c>
      <c r="F113" s="83">
        <f t="shared" si="11"/>
        <v>0</v>
      </c>
      <c r="G113" s="83">
        <f t="shared" si="12"/>
        <v>0</v>
      </c>
      <c r="H113" s="93">
        <f>ROUND(IF(D113&lt;=0,0,1400),2)</f>
        <v>1400</v>
      </c>
      <c r="I113" s="84">
        <f t="shared" si="8"/>
        <v>1400</v>
      </c>
      <c r="J113" s="274" t="e">
        <f>IF(D113&gt;0,'S2'!$BP$31,0)</f>
        <v>#REF!</v>
      </c>
      <c r="K113" s="269" t="e">
        <f t="shared" si="9"/>
        <v>#REF!</v>
      </c>
      <c r="L113" s="269" t="e">
        <f t="shared" si="10"/>
        <v>#REF!</v>
      </c>
      <c r="M113" s="90"/>
      <c r="N113" s="81"/>
    </row>
    <row r="114" spans="1:15">
      <c r="A114" s="80"/>
      <c r="B114" s="108" t="s">
        <v>344</v>
      </c>
      <c r="D114" s="248">
        <v>1</v>
      </c>
      <c r="E114" s="115" t="s">
        <v>135</v>
      </c>
      <c r="F114" s="83">
        <f t="shared" si="11"/>
        <v>0</v>
      </c>
      <c r="G114" s="83">
        <f t="shared" si="12"/>
        <v>0</v>
      </c>
      <c r="H114" s="93">
        <f>ROUND(IF(D114&lt;=0,0,8000),2)</f>
        <v>8000</v>
      </c>
      <c r="I114" s="84">
        <f t="shared" si="8"/>
        <v>8000</v>
      </c>
      <c r="J114" s="274" t="e">
        <f>IF(D114&gt;0,'S2'!$BP$31,0)</f>
        <v>#REF!</v>
      </c>
      <c r="K114" s="269" t="e">
        <f t="shared" si="9"/>
        <v>#REF!</v>
      </c>
      <c r="L114" s="269" t="e">
        <f t="shared" si="10"/>
        <v>#REF!</v>
      </c>
      <c r="M114" s="90"/>
      <c r="N114" s="81"/>
    </row>
    <row r="115" spans="1:15">
      <c r="A115" s="80"/>
      <c r="B115" s="108" t="s">
        <v>345</v>
      </c>
      <c r="D115" s="248">
        <v>1</v>
      </c>
      <c r="E115" s="115" t="s">
        <v>142</v>
      </c>
      <c r="F115" s="83">
        <f t="shared" si="11"/>
        <v>0</v>
      </c>
      <c r="G115" s="83">
        <f t="shared" si="12"/>
        <v>0</v>
      </c>
      <c r="H115" s="93">
        <f>ROUND(IF(D115&lt;=0,0,215),2)</f>
        <v>215</v>
      </c>
      <c r="I115" s="84">
        <f t="shared" si="8"/>
        <v>215</v>
      </c>
      <c r="J115" s="274" t="e">
        <f>IF(D115&gt;0,'S2'!$BP$31,0)</f>
        <v>#REF!</v>
      </c>
      <c r="K115" s="269" t="e">
        <f t="shared" si="9"/>
        <v>#REF!</v>
      </c>
      <c r="L115" s="269" t="e">
        <f t="shared" si="10"/>
        <v>#REF!</v>
      </c>
      <c r="M115" s="90"/>
      <c r="N115" s="81"/>
      <c r="O115" s="119"/>
    </row>
    <row r="116" spans="1:15">
      <c r="A116" s="80"/>
      <c r="B116" s="108" t="s">
        <v>346</v>
      </c>
      <c r="D116" s="248">
        <v>1</v>
      </c>
      <c r="E116" s="115" t="s">
        <v>135</v>
      </c>
      <c r="F116" s="83">
        <f t="shared" si="11"/>
        <v>0</v>
      </c>
      <c r="G116" s="83">
        <f t="shared" si="12"/>
        <v>0</v>
      </c>
      <c r="H116" s="93">
        <f>ROUND(IF(D116&lt;=0,0,13270),2)</f>
        <v>13270</v>
      </c>
      <c r="I116" s="84">
        <f t="shared" si="8"/>
        <v>13270</v>
      </c>
      <c r="J116" s="274" t="e">
        <f>IF(D116&gt;0,'S2'!$BP$31,0)</f>
        <v>#REF!</v>
      </c>
      <c r="K116" s="269" t="e">
        <f t="shared" si="9"/>
        <v>#REF!</v>
      </c>
      <c r="L116" s="269" t="e">
        <f t="shared" si="10"/>
        <v>#REF!</v>
      </c>
      <c r="M116" s="90"/>
      <c r="N116" s="81"/>
    </row>
    <row r="117" spans="1:15">
      <c r="A117" s="80"/>
      <c r="B117" s="108" t="s">
        <v>347</v>
      </c>
      <c r="D117" s="248">
        <v>1</v>
      </c>
      <c r="E117" s="115" t="s">
        <v>135</v>
      </c>
      <c r="F117" s="83">
        <f t="shared" si="11"/>
        <v>0</v>
      </c>
      <c r="G117" s="83">
        <f t="shared" si="12"/>
        <v>0</v>
      </c>
      <c r="H117" s="93">
        <f>ROUND(IF(D117&lt;=0,0,5000),2)</f>
        <v>5000</v>
      </c>
      <c r="I117" s="84">
        <f t="shared" si="8"/>
        <v>5000</v>
      </c>
      <c r="J117" s="274" t="e">
        <f>IF(D117&gt;0,'S2'!$BP$31,0)</f>
        <v>#REF!</v>
      </c>
      <c r="K117" s="269" t="e">
        <f t="shared" si="9"/>
        <v>#REF!</v>
      </c>
      <c r="L117" s="269" t="e">
        <f t="shared" si="10"/>
        <v>#REF!</v>
      </c>
      <c r="M117" s="90"/>
      <c r="N117" s="81"/>
    </row>
    <row r="118" spans="1:15">
      <c r="A118" s="80"/>
      <c r="B118" s="1474" t="s">
        <v>348</v>
      </c>
      <c r="C118" s="1475"/>
      <c r="D118" s="248">
        <v>1</v>
      </c>
      <c r="E118" s="115" t="s">
        <v>57</v>
      </c>
      <c r="F118" s="83">
        <f t="shared" si="11"/>
        <v>0</v>
      </c>
      <c r="G118" s="83">
        <f t="shared" si="12"/>
        <v>0</v>
      </c>
      <c r="H118" s="93">
        <f>ROUND(IF(D118&lt;=0,0,810),2)</f>
        <v>810</v>
      </c>
      <c r="I118" s="84">
        <f t="shared" si="8"/>
        <v>810</v>
      </c>
      <c r="J118" s="274" t="e">
        <f>IF(D118&gt;0,'S2'!$BP$31,0)</f>
        <v>#REF!</v>
      </c>
      <c r="K118" s="269" t="e">
        <f t="shared" si="9"/>
        <v>#REF!</v>
      </c>
      <c r="L118" s="269" t="e">
        <f t="shared" si="10"/>
        <v>#REF!</v>
      </c>
      <c r="M118" s="90"/>
      <c r="N118" s="81"/>
    </row>
    <row r="119" spans="1:15">
      <c r="A119" s="80"/>
      <c r="B119" s="108" t="s">
        <v>349</v>
      </c>
      <c r="D119" s="248">
        <v>1</v>
      </c>
      <c r="E119" s="115" t="s">
        <v>42</v>
      </c>
      <c r="F119" s="83">
        <f>IF(D119&lt;=0,0,)</f>
        <v>0</v>
      </c>
      <c r="G119" s="83">
        <f>IF(D119&lt;=0,0,)</f>
        <v>0</v>
      </c>
      <c r="H119" s="93">
        <f>ROUND(IF(D119&lt;=0,0,10737),2)</f>
        <v>10737</v>
      </c>
      <c r="I119" s="84">
        <f>D119*H119</f>
        <v>10737</v>
      </c>
      <c r="J119" s="274">
        <v>1.07</v>
      </c>
      <c r="K119" s="269">
        <f>ROUNDDOWN(H119*J119,2)</f>
        <v>11488.59</v>
      </c>
      <c r="L119" s="269">
        <f>D119*K119</f>
        <v>11488.59</v>
      </c>
      <c r="M119" s="90" t="s">
        <v>333</v>
      </c>
      <c r="N119" s="81"/>
    </row>
    <row r="120" spans="1:15">
      <c r="A120" s="80"/>
      <c r="B120" s="108"/>
      <c r="C120" s="108"/>
      <c r="D120" s="99"/>
      <c r="E120" s="115"/>
      <c r="F120" s="83"/>
      <c r="G120" s="83"/>
      <c r="H120" s="93"/>
      <c r="I120" s="84"/>
      <c r="J120" s="269"/>
      <c r="K120" s="269"/>
      <c r="L120" s="269"/>
      <c r="M120" s="90"/>
      <c r="N120" s="81"/>
    </row>
    <row r="121" spans="1:15">
      <c r="A121" s="80"/>
      <c r="B121" s="108"/>
      <c r="C121" s="108"/>
      <c r="D121" s="99"/>
      <c r="E121" s="115"/>
      <c r="F121" s="83"/>
      <c r="G121" s="83"/>
      <c r="H121" s="93"/>
      <c r="I121" s="84"/>
      <c r="J121" s="269"/>
      <c r="K121" s="269"/>
      <c r="L121" s="269"/>
      <c r="M121" s="90"/>
      <c r="N121" s="81"/>
    </row>
    <row r="122" spans="1:15">
      <c r="A122" s="80"/>
      <c r="B122" s="108"/>
      <c r="C122" s="108"/>
      <c r="D122" s="99"/>
      <c r="E122" s="115"/>
      <c r="F122" s="83"/>
      <c r="G122" s="83"/>
      <c r="H122" s="93"/>
      <c r="I122" s="84"/>
      <c r="J122" s="269"/>
      <c r="K122" s="269"/>
      <c r="L122" s="269"/>
      <c r="M122" s="90"/>
      <c r="N122" s="81"/>
    </row>
    <row r="123" spans="1:15">
      <c r="A123" s="80"/>
      <c r="B123" s="108"/>
      <c r="C123" s="108"/>
      <c r="D123" s="99"/>
      <c r="E123" s="115"/>
      <c r="F123" s="83"/>
      <c r="G123" s="83"/>
      <c r="H123" s="93"/>
      <c r="I123" s="84"/>
      <c r="J123" s="269"/>
      <c r="K123" s="269"/>
      <c r="L123" s="269"/>
      <c r="M123" s="90"/>
      <c r="N123" s="81"/>
    </row>
    <row r="124" spans="1:15">
      <c r="A124" s="80"/>
      <c r="B124" s="108"/>
      <c r="C124" s="108"/>
      <c r="D124" s="99"/>
      <c r="E124" s="115"/>
      <c r="F124" s="83"/>
      <c r="G124" s="83"/>
      <c r="H124" s="93"/>
      <c r="I124" s="84"/>
      <c r="J124" s="269"/>
      <c r="K124" s="269"/>
      <c r="L124" s="269"/>
      <c r="M124" s="90"/>
      <c r="N124" s="81"/>
    </row>
    <row r="125" spans="1:15">
      <c r="A125" s="80"/>
      <c r="B125" s="108"/>
      <c r="C125" s="108"/>
      <c r="D125" s="99"/>
      <c r="E125" s="115"/>
      <c r="F125" s="83"/>
      <c r="G125" s="83"/>
      <c r="H125" s="93"/>
      <c r="I125" s="84"/>
      <c r="J125" s="269"/>
      <c r="K125" s="269"/>
      <c r="L125" s="269"/>
      <c r="M125" s="90"/>
      <c r="N125" s="81"/>
    </row>
    <row r="126" spans="1:15">
      <c r="A126" s="80"/>
      <c r="B126" s="108"/>
      <c r="C126" s="108"/>
      <c r="D126" s="99"/>
      <c r="E126" s="115"/>
      <c r="F126" s="83"/>
      <c r="G126" s="83"/>
      <c r="H126" s="93"/>
      <c r="I126" s="84"/>
      <c r="J126" s="269"/>
      <c r="K126" s="269"/>
      <c r="L126" s="269"/>
      <c r="M126" s="90"/>
      <c r="N126" s="81"/>
    </row>
    <row r="127" spans="1:15">
      <c r="A127" s="80"/>
      <c r="B127" s="108"/>
      <c r="C127" s="108"/>
      <c r="D127" s="99"/>
      <c r="E127" s="115"/>
      <c r="F127" s="83"/>
      <c r="G127" s="83"/>
      <c r="H127" s="93"/>
      <c r="I127" s="84"/>
      <c r="J127" s="269"/>
      <c r="K127" s="269"/>
      <c r="L127" s="269"/>
      <c r="M127" s="90"/>
      <c r="N127" s="81"/>
    </row>
    <row r="128" spans="1:15">
      <c r="A128" s="80"/>
      <c r="B128" s="108"/>
      <c r="D128" s="89"/>
      <c r="E128" s="86"/>
      <c r="F128" s="83"/>
      <c r="G128" s="83"/>
      <c r="H128" s="84"/>
      <c r="I128" s="84"/>
      <c r="J128" s="269"/>
      <c r="K128" s="269"/>
      <c r="L128" s="269"/>
      <c r="M128" s="90"/>
      <c r="N128" s="81"/>
    </row>
    <row r="129" spans="1:14">
      <c r="A129" s="80"/>
      <c r="B129" s="85"/>
      <c r="D129" s="89"/>
      <c r="E129" s="86"/>
      <c r="F129" s="83"/>
      <c r="G129" s="83"/>
      <c r="H129" s="84"/>
      <c r="I129" s="84"/>
      <c r="J129" s="269"/>
      <c r="K129" s="269"/>
      <c r="L129" s="269"/>
      <c r="M129" s="90"/>
      <c r="N129" s="81"/>
    </row>
    <row r="130" spans="1:14">
      <c r="A130" s="80"/>
      <c r="B130" s="100"/>
      <c r="C130" s="101"/>
      <c r="D130" s="102"/>
      <c r="E130" s="94"/>
      <c r="F130" s="103"/>
      <c r="G130" s="103"/>
      <c r="H130" s="84"/>
      <c r="I130" s="84"/>
      <c r="J130" s="269"/>
      <c r="K130" s="269"/>
      <c r="L130" s="269"/>
      <c r="M130" s="100"/>
      <c r="N130" s="196"/>
    </row>
    <row r="131" spans="1:14">
      <c r="A131" s="94"/>
      <c r="B131" s="100"/>
      <c r="C131" s="107" t="s">
        <v>30</v>
      </c>
      <c r="D131" s="94"/>
      <c r="E131" s="94"/>
      <c r="F131" s="94"/>
      <c r="G131" s="94"/>
      <c r="H131" s="96"/>
      <c r="I131" s="97" t="e">
        <f>SUM(I102:I130)</f>
        <v>#REF!</v>
      </c>
      <c r="J131" s="272"/>
      <c r="K131" s="272"/>
      <c r="L131" s="97" t="e">
        <f>SUM(L102:L130)</f>
        <v>#REF!</v>
      </c>
      <c r="M131" s="95"/>
      <c r="N131" s="206"/>
    </row>
    <row r="132" spans="1:14" hidden="1">
      <c r="C132" s="227"/>
      <c r="I132" s="279" t="e">
        <f>SUM(I102:I118)</f>
        <v>#REF!</v>
      </c>
      <c r="J132" s="228"/>
      <c r="K132" s="228"/>
      <c r="L132" s="228"/>
    </row>
    <row r="133" spans="1:14">
      <c r="C133" s="227"/>
      <c r="I133" s="228"/>
      <c r="J133" s="228"/>
      <c r="K133" s="228"/>
      <c r="L133" s="228"/>
    </row>
    <row r="135" spans="1:14">
      <c r="C135" s="104" t="s">
        <v>307</v>
      </c>
      <c r="D135" s="104"/>
      <c r="E135" s="113"/>
      <c r="I135" s="104"/>
      <c r="J135" s="104" t="s">
        <v>308</v>
      </c>
      <c r="K135" s="104"/>
      <c r="L135" s="104"/>
    </row>
    <row r="136" spans="1:14">
      <c r="C136" s="263" t="str">
        <f>CONCATENATE("( ",ข้อมูล!Q48," )"," ",ข้อมูล!U48)</f>
        <v xml:space="preserve">(  ) </v>
      </c>
      <c r="E136" s="104"/>
      <c r="I136" s="104"/>
      <c r="J136" s="114"/>
      <c r="K136" s="262" t="str">
        <f>CONCATENATE("( ",ข้อมูล!Q49," )"," ",ข้อมูล!U49)</f>
        <v xml:space="preserve">(  ) </v>
      </c>
      <c r="L136" s="104"/>
    </row>
    <row r="137" spans="1:14">
      <c r="F137" s="114"/>
      <c r="G137" s="116"/>
      <c r="H137" s="104"/>
      <c r="I137" s="104"/>
      <c r="J137" s="104"/>
      <c r="K137" s="104"/>
      <c r="L137" s="104"/>
    </row>
  </sheetData>
  <mergeCells count="30">
    <mergeCell ref="A1:M1"/>
    <mergeCell ref="A49:M49"/>
    <mergeCell ref="J4:J5"/>
    <mergeCell ref="K4:L4"/>
    <mergeCell ref="F4:H4"/>
    <mergeCell ref="B20:C20"/>
    <mergeCell ref="M67:N67"/>
    <mergeCell ref="M4:N4"/>
    <mergeCell ref="M52:N52"/>
    <mergeCell ref="B11:C11"/>
    <mergeCell ref="M77:N77"/>
    <mergeCell ref="M70:N70"/>
    <mergeCell ref="M33:N33"/>
    <mergeCell ref="M62:N62"/>
    <mergeCell ref="M63:N63"/>
    <mergeCell ref="M69:N69"/>
    <mergeCell ref="F52:H52"/>
    <mergeCell ref="J52:J53"/>
    <mergeCell ref="K52:L52"/>
    <mergeCell ref="M68:N68"/>
    <mergeCell ref="J100:J101"/>
    <mergeCell ref="K100:L100"/>
    <mergeCell ref="B118:C118"/>
    <mergeCell ref="M71:N71"/>
    <mergeCell ref="M72:N72"/>
    <mergeCell ref="M73:N73"/>
    <mergeCell ref="M74:N74"/>
    <mergeCell ref="M100:N100"/>
    <mergeCell ref="F100:H100"/>
    <mergeCell ref="A97:M97"/>
  </mergeCells>
  <phoneticPr fontId="0" type="noConversion"/>
  <printOptions horizontalCentered="1"/>
  <pageMargins left="0.15748031496062992" right="0.15748031496062992" top="0.43307086614173229" bottom="0.39370078740157483" header="0" footer="0"/>
  <pageSetup paperSize="9" scale="85" orientation="portrait" blackAndWhite="1" horizontalDpi="360" verticalDpi="36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36"/>
  <sheetViews>
    <sheetView workbookViewId="0">
      <selection activeCell="M37" sqref="M37:N37"/>
    </sheetView>
  </sheetViews>
  <sheetFormatPr defaultColWidth="9.140625" defaultRowHeight="21"/>
  <cols>
    <col min="1" max="1" width="4" style="66" customWidth="1"/>
    <col min="2" max="2" width="11.7109375" style="66" customWidth="1"/>
    <col min="3" max="3" width="7.85546875" style="66" customWidth="1"/>
    <col min="4" max="4" width="6.5703125" style="66" customWidth="1"/>
    <col min="5" max="5" width="6.85546875" style="66" customWidth="1"/>
    <col min="6" max="6" width="9" style="66" customWidth="1"/>
    <col min="7" max="7" width="7.7109375" style="66" customWidth="1"/>
    <col min="8" max="8" width="9.140625" style="66"/>
    <col min="9" max="9" width="14.140625" style="105" customWidth="1"/>
    <col min="10" max="10" width="6.28515625" style="106" customWidth="1"/>
    <col min="11" max="11" width="7.85546875" style="66" customWidth="1"/>
    <col min="12" max="12" width="5.140625" style="66" customWidth="1"/>
    <col min="13" max="15" width="9.140625" style="66"/>
    <col min="16" max="16" width="12.85546875" style="66" customWidth="1"/>
    <col min="17" max="17" width="9.140625" style="66"/>
    <col min="18" max="18" width="10" style="66" bestFit="1" customWidth="1"/>
    <col min="19" max="16384" width="9.140625" style="66"/>
  </cols>
  <sheetData>
    <row r="1" spans="1:12" s="104" customFormat="1" ht="23.25" customHeight="1">
      <c r="A1" s="1498" t="s">
        <v>182</v>
      </c>
      <c r="B1" s="1498"/>
      <c r="C1" s="1498"/>
      <c r="D1" s="1498"/>
      <c r="E1" s="1498"/>
      <c r="F1" s="1498"/>
      <c r="G1" s="1498"/>
      <c r="H1" s="1498"/>
      <c r="I1" s="1498"/>
      <c r="J1" s="1498"/>
      <c r="K1" s="1498"/>
      <c r="L1" s="1498"/>
    </row>
    <row r="2" spans="1:12" s="104" customFormat="1" ht="23.25" customHeight="1">
      <c r="A2" s="1498" t="str">
        <f>ข้อมูล!$B$2</f>
        <v>ส่วนราชการ  กองช่าง  องค์การบริหารส่วนจังหวัดสระบุรี</v>
      </c>
      <c r="B2" s="1498"/>
      <c r="C2" s="1498"/>
      <c r="D2" s="1498"/>
      <c r="E2" s="1498"/>
      <c r="F2" s="1498"/>
      <c r="G2" s="1498"/>
      <c r="H2" s="1498"/>
      <c r="I2" s="1498"/>
      <c r="J2" s="1498"/>
      <c r="K2" s="1498"/>
      <c r="L2" s="1498"/>
    </row>
    <row r="3" spans="1:12">
      <c r="D3" s="67"/>
      <c r="E3" s="67"/>
      <c r="F3" s="67"/>
      <c r="G3" s="67"/>
      <c r="I3" s="205">
        <f>ข้อมูล!$I$3</f>
        <v>0</v>
      </c>
    </row>
    <row r="4" spans="1:12">
      <c r="A4" s="67" t="s">
        <v>183</v>
      </c>
      <c r="C4" s="66" t="str">
        <f>ข้อมูล!$C$4</f>
        <v xml:space="preserve">ปรับปรุงถนนลาดยางแบบ  Pavement In-Place Recycling </v>
      </c>
    </row>
    <row r="5" spans="1:12">
      <c r="A5" s="67" t="s">
        <v>184</v>
      </c>
      <c r="C5" s="66" t="str">
        <f>ข้อมูล!$C$5</f>
        <v>องค์การบริหารส่วนจังหวัดสระบุรี</v>
      </c>
    </row>
    <row r="6" spans="1:12">
      <c r="A6" s="67" t="s">
        <v>185</v>
      </c>
      <c r="C6" s="188" t="str">
        <f>ข้อมูล!$C$6</f>
        <v>โครงการ</v>
      </c>
      <c r="F6" s="189" t="s">
        <v>186</v>
      </c>
      <c r="G6" s="66">
        <f>ข้อมูล!$E$6</f>
        <v>0</v>
      </c>
    </row>
    <row r="7" spans="1:12" ht="21.75" customHeight="1">
      <c r="A7" s="67" t="s">
        <v>187</v>
      </c>
      <c r="C7" s="68">
        <f>ข้อมูล!$C$7</f>
        <v>0</v>
      </c>
      <c r="G7" s="1498" t="s">
        <v>296</v>
      </c>
      <c r="H7" s="1498"/>
      <c r="I7" s="190">
        <f>ข้อมูล!G7</f>
        <v>0</v>
      </c>
      <c r="J7" s="106" t="s">
        <v>46</v>
      </c>
    </row>
    <row r="8" spans="1:12">
      <c r="A8" s="67" t="s">
        <v>188</v>
      </c>
      <c r="C8" s="66" t="s">
        <v>189</v>
      </c>
      <c r="E8" s="258" t="s">
        <v>316</v>
      </c>
      <c r="H8" s="67" t="s">
        <v>190</v>
      </c>
      <c r="I8" s="260">
        <v>6</v>
      </c>
      <c r="J8" s="106" t="s">
        <v>57</v>
      </c>
    </row>
    <row r="9" spans="1:12">
      <c r="A9" s="66" t="s">
        <v>191</v>
      </c>
      <c r="C9" s="66" t="s">
        <v>192</v>
      </c>
      <c r="E9" s="258" t="s">
        <v>316</v>
      </c>
      <c r="H9" s="67" t="s">
        <v>193</v>
      </c>
      <c r="I9" s="258" t="s">
        <v>327</v>
      </c>
      <c r="J9" s="106" t="s">
        <v>57</v>
      </c>
    </row>
    <row r="10" spans="1:12">
      <c r="A10" s="67" t="s">
        <v>194</v>
      </c>
      <c r="F10" s="190">
        <f>ข้อมูล!L7</f>
        <v>0</v>
      </c>
      <c r="G10" s="190" t="s">
        <v>46</v>
      </c>
      <c r="H10" s="66" t="s">
        <v>195</v>
      </c>
      <c r="I10" s="258" t="s">
        <v>328</v>
      </c>
      <c r="J10" s="106" t="s">
        <v>57</v>
      </c>
    </row>
    <row r="11" spans="1:12">
      <c r="C11" s="191" t="s">
        <v>196</v>
      </c>
      <c r="D11" s="261">
        <v>0</v>
      </c>
      <c r="E11" s="188" t="s">
        <v>197</v>
      </c>
      <c r="F11" s="261">
        <v>1000</v>
      </c>
      <c r="H11" s="192"/>
      <c r="I11" s="193"/>
      <c r="J11" s="194"/>
      <c r="K11" s="193"/>
    </row>
    <row r="12" spans="1:12">
      <c r="C12" s="191"/>
      <c r="D12" s="188"/>
      <c r="E12" s="188"/>
      <c r="F12" s="188"/>
      <c r="H12" s="192"/>
      <c r="I12" s="193"/>
      <c r="J12" s="194"/>
      <c r="K12" s="193"/>
    </row>
    <row r="13" spans="1:12">
      <c r="C13" s="68"/>
      <c r="E13" s="188"/>
      <c r="H13" s="192"/>
      <c r="I13" s="193"/>
      <c r="J13" s="194"/>
      <c r="K13" s="193"/>
    </row>
    <row r="14" spans="1:12" ht="21.75" customHeight="1">
      <c r="A14" s="75" t="s">
        <v>0</v>
      </c>
      <c r="B14" s="1478" t="s">
        <v>1</v>
      </c>
      <c r="C14" s="1502"/>
      <c r="D14" s="1502"/>
      <c r="E14" s="1502"/>
      <c r="F14" s="1502"/>
      <c r="G14" s="1479"/>
      <c r="H14" s="1503" t="s">
        <v>199</v>
      </c>
      <c r="I14" s="1504"/>
      <c r="J14" s="1499" t="s">
        <v>200</v>
      </c>
      <c r="K14" s="1500"/>
      <c r="L14" s="1501"/>
    </row>
    <row r="15" spans="1:12">
      <c r="A15" s="98">
        <v>1</v>
      </c>
      <c r="B15" s="1505" t="s">
        <v>324</v>
      </c>
      <c r="C15" s="1506"/>
      <c r="D15" s="1506"/>
      <c r="E15" s="1506"/>
      <c r="F15" s="1506"/>
      <c r="G15" s="1507"/>
      <c r="H15" s="1508" t="e">
        <f>ปร.4!L131</f>
        <v>#REF!</v>
      </c>
      <c r="I15" s="1509"/>
      <c r="J15" s="199" t="s">
        <v>2</v>
      </c>
      <c r="K15" s="110"/>
      <c r="L15" s="81"/>
    </row>
    <row r="16" spans="1:12">
      <c r="A16" s="98"/>
      <c r="B16" s="1493"/>
      <c r="C16" s="1494"/>
      <c r="D16" s="1494"/>
      <c r="E16" s="1494"/>
      <c r="F16" s="1494"/>
      <c r="G16" s="1495"/>
      <c r="H16" s="1491"/>
      <c r="I16" s="1492"/>
      <c r="J16" s="199" t="s">
        <v>201</v>
      </c>
      <c r="L16" s="256">
        <f>ข้อมูล!$Q$8/100</f>
        <v>0</v>
      </c>
    </row>
    <row r="17" spans="1:16">
      <c r="A17" s="90"/>
      <c r="B17" s="1493"/>
      <c r="C17" s="1494"/>
      <c r="D17" s="1494"/>
      <c r="E17" s="1494"/>
      <c r="F17" s="1494"/>
      <c r="G17" s="1495"/>
      <c r="H17" s="1491"/>
      <c r="I17" s="1492"/>
      <c r="J17" s="199" t="s">
        <v>202</v>
      </c>
      <c r="L17" s="256">
        <f>ข้อมูล!$Q$7/100</f>
        <v>7.0000000000000007E-2</v>
      </c>
    </row>
    <row r="18" spans="1:16">
      <c r="A18" s="90"/>
      <c r="B18" s="1493"/>
      <c r="C18" s="1494"/>
      <c r="D18" s="1494"/>
      <c r="E18" s="1494"/>
      <c r="F18" s="1494"/>
      <c r="G18" s="1495"/>
      <c r="H18" s="1491"/>
      <c r="I18" s="1492"/>
      <c r="J18" s="199" t="s">
        <v>203</v>
      </c>
      <c r="L18" s="256">
        <f>ข้อมูล!$Q$10/100</f>
        <v>0</v>
      </c>
    </row>
    <row r="19" spans="1:16">
      <c r="A19" s="90"/>
      <c r="B19" s="1493"/>
      <c r="C19" s="1494"/>
      <c r="D19" s="1494"/>
      <c r="E19" s="1494"/>
      <c r="F19" s="1494"/>
      <c r="G19" s="1495"/>
      <c r="H19" s="1491"/>
      <c r="I19" s="1492"/>
      <c r="J19" s="199" t="s">
        <v>204</v>
      </c>
      <c r="K19" s="257" t="str">
        <f>ข้อมูล!$E$101</f>
        <v>ฝนตกปกติ</v>
      </c>
      <c r="L19" s="81"/>
    </row>
    <row r="20" spans="1:16">
      <c r="A20" s="100"/>
      <c r="B20" s="1510"/>
      <c r="C20" s="1511"/>
      <c r="D20" s="1511"/>
      <c r="E20" s="1511"/>
      <c r="F20" s="1511"/>
      <c r="G20" s="1512"/>
      <c r="H20" s="1513"/>
      <c r="I20" s="1514"/>
      <c r="J20" s="197"/>
      <c r="K20" s="65"/>
      <c r="L20" s="195"/>
    </row>
    <row r="21" spans="1:16">
      <c r="A21" s="90" t="s">
        <v>205</v>
      </c>
      <c r="B21" s="90" t="s">
        <v>325</v>
      </c>
      <c r="H21" s="1515" t="e">
        <f>H15</f>
        <v>#REF!</v>
      </c>
      <c r="I21" s="1516"/>
      <c r="J21" s="198"/>
      <c r="K21" s="110"/>
      <c r="L21" s="111"/>
    </row>
    <row r="22" spans="1:16" ht="21.75" thickBot="1">
      <c r="A22" s="90"/>
      <c r="B22" s="90" t="s">
        <v>326</v>
      </c>
      <c r="H22" s="1489" t="e">
        <f>IF(H21&lt;10000000,ROUNDDOWN(H21,-4),ROUNDDOWN(H21,-4))</f>
        <v>#REF!</v>
      </c>
      <c r="I22" s="1490"/>
      <c r="J22" s="199"/>
      <c r="L22" s="81"/>
      <c r="O22" s="66">
        <v>32750000</v>
      </c>
      <c r="P22" s="186">
        <f>O22-I22</f>
        <v>32750000</v>
      </c>
    </row>
    <row r="23" spans="1:16" ht="21.75" thickTop="1">
      <c r="A23" s="100"/>
      <c r="B23" s="231" t="e">
        <f xml:space="preserve"> "("&amp;BAHTTEXT($H$22)&amp;")"</f>
        <v>#REF!</v>
      </c>
      <c r="C23" s="232"/>
      <c r="D23" s="101"/>
      <c r="E23" s="101"/>
      <c r="F23" s="101"/>
      <c r="G23" s="101"/>
      <c r="H23" s="101"/>
      <c r="I23" s="277"/>
      <c r="J23" s="200"/>
      <c r="K23" s="101"/>
      <c r="L23" s="196"/>
    </row>
    <row r="24" spans="1:16">
      <c r="B24" s="66" t="s">
        <v>206</v>
      </c>
      <c r="D24" s="1496">
        <f>F10</f>
        <v>0</v>
      </c>
      <c r="E24" s="1496"/>
      <c r="F24" s="66" t="s">
        <v>46</v>
      </c>
    </row>
    <row r="25" spans="1:16">
      <c r="B25" s="66" t="s">
        <v>207</v>
      </c>
      <c r="D25" s="1497" t="e">
        <f>H22/F10</f>
        <v>#REF!</v>
      </c>
      <c r="E25" s="1497"/>
      <c r="F25" s="66" t="s">
        <v>49</v>
      </c>
    </row>
    <row r="26" spans="1:16" ht="23.25">
      <c r="D26" s="201"/>
      <c r="E26" s="201"/>
      <c r="I26" s="202" t="s">
        <v>208</v>
      </c>
    </row>
    <row r="27" spans="1:16" s="104" customFormat="1" ht="31.5" customHeight="1">
      <c r="B27" s="268" t="s">
        <v>310</v>
      </c>
      <c r="C27" s="268"/>
      <c r="D27" s="268"/>
      <c r="E27" s="268"/>
      <c r="H27" s="203" t="s">
        <v>209</v>
      </c>
      <c r="I27" s="104" t="s">
        <v>210</v>
      </c>
      <c r="K27" s="112" t="s">
        <v>211</v>
      </c>
    </row>
    <row r="28" spans="1:16" s="104" customFormat="1">
      <c r="B28" s="268"/>
      <c r="C28" s="268" t="str">
        <f>CONCATENATE("( ",ข้อมูล!Q48," )"," ",ข้อมูล!U48)</f>
        <v xml:space="preserve">(  ) </v>
      </c>
      <c r="D28" s="268"/>
      <c r="E28" s="268"/>
      <c r="I28" s="116" t="s">
        <v>212</v>
      </c>
    </row>
    <row r="29" spans="1:16" s="104" customFormat="1" ht="31.5" customHeight="1">
      <c r="B29" s="104" t="s">
        <v>309</v>
      </c>
      <c r="H29" s="203" t="s">
        <v>209</v>
      </c>
      <c r="I29" s="104" t="s">
        <v>210</v>
      </c>
      <c r="K29" s="104" t="s">
        <v>213</v>
      </c>
    </row>
    <row r="30" spans="1:16" s="104" customFormat="1">
      <c r="B30" s="266" t="str">
        <f>CONCATENATE("( ",ข้อมูล!Q50," )"," ",)</f>
        <v xml:space="preserve">(  ) </v>
      </c>
      <c r="I30" s="116" t="s">
        <v>212</v>
      </c>
      <c r="J30" s="204"/>
    </row>
    <row r="31" spans="1:16" s="104" customFormat="1" ht="19.5" customHeight="1">
      <c r="B31" s="267">
        <f>ข้อมูล!U50</f>
        <v>0</v>
      </c>
      <c r="I31" s="113"/>
      <c r="J31" s="204"/>
    </row>
    <row r="32" spans="1:16">
      <c r="B32" s="114"/>
      <c r="C32" s="104"/>
      <c r="D32" s="104"/>
      <c r="E32" s="104"/>
      <c r="F32" s="104"/>
      <c r="G32" s="104"/>
      <c r="H32" s="203" t="s">
        <v>209</v>
      </c>
      <c r="I32" s="104" t="s">
        <v>210</v>
      </c>
      <c r="J32" s="104"/>
      <c r="K32" s="104" t="s">
        <v>213</v>
      </c>
      <c r="L32" s="104"/>
    </row>
    <row r="33" spans="2:10">
      <c r="B33" s="104" t="s">
        <v>313</v>
      </c>
      <c r="C33" s="104"/>
      <c r="D33" s="104"/>
      <c r="F33" s="113"/>
      <c r="G33" s="104"/>
      <c r="I33" s="116" t="s">
        <v>212</v>
      </c>
      <c r="J33" s="204"/>
    </row>
    <row r="34" spans="2:10">
      <c r="B34" s="264" t="s">
        <v>311</v>
      </c>
      <c r="E34" s="114"/>
      <c r="F34" s="114"/>
    </row>
    <row r="35" spans="2:10">
      <c r="B35" s="265" t="s">
        <v>312</v>
      </c>
      <c r="C35" s="68"/>
    </row>
    <row r="36" spans="2:10">
      <c r="C36" s="116"/>
    </row>
  </sheetData>
  <mergeCells count="22">
    <mergeCell ref="D24:E24"/>
    <mergeCell ref="D25:E25"/>
    <mergeCell ref="A1:L1"/>
    <mergeCell ref="A2:L2"/>
    <mergeCell ref="J14:L14"/>
    <mergeCell ref="G7:H7"/>
    <mergeCell ref="B14:G14"/>
    <mergeCell ref="H14:I14"/>
    <mergeCell ref="B15:G15"/>
    <mergeCell ref="H15:I15"/>
    <mergeCell ref="B16:G16"/>
    <mergeCell ref="H16:I16"/>
    <mergeCell ref="B17:G17"/>
    <mergeCell ref="B20:G20"/>
    <mergeCell ref="H20:I20"/>
    <mergeCell ref="H21:I21"/>
    <mergeCell ref="H22:I22"/>
    <mergeCell ref="H17:I17"/>
    <mergeCell ref="B18:G18"/>
    <mergeCell ref="H18:I18"/>
    <mergeCell ref="B19:G19"/>
    <mergeCell ref="H19:I19"/>
  </mergeCells>
  <phoneticPr fontId="0" type="noConversion"/>
  <pageMargins left="0.75" right="0.54" top="0.83" bottom="0.75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4"/>
  <sheetViews>
    <sheetView topLeftCell="A4" zoomScaleNormal="100" workbookViewId="0">
      <selection activeCell="C16" sqref="C16"/>
    </sheetView>
  </sheetViews>
  <sheetFormatPr defaultColWidth="9.140625" defaultRowHeight="20.25"/>
  <cols>
    <col min="1" max="1" width="17.85546875" style="829" customWidth="1"/>
    <col min="2" max="2" width="16.85546875" style="829" customWidth="1"/>
    <col min="3" max="3" width="27.42578125" style="829" customWidth="1"/>
    <col min="4" max="4" width="25.140625" style="829" customWidth="1"/>
    <col min="5" max="6" width="10.28515625" style="829" customWidth="1"/>
    <col min="7" max="7" width="12.7109375" style="829" customWidth="1"/>
    <col min="8" max="8" width="16.42578125" style="829" bestFit="1" customWidth="1"/>
    <col min="9" max="9" width="21" style="829" customWidth="1"/>
    <col min="10" max="10" width="26.140625" style="829" bestFit="1" customWidth="1"/>
    <col min="11" max="11" width="32.7109375" style="829" customWidth="1"/>
    <col min="12" max="12" width="10.5703125" style="827" customWidth="1"/>
    <col min="13" max="13" width="27.85546875" style="828" customWidth="1"/>
    <col min="14" max="14" width="28.28515625" style="829" customWidth="1"/>
    <col min="15" max="15" width="17.5703125" style="829" bestFit="1" customWidth="1"/>
    <col min="16" max="16" width="11.5703125" style="829" bestFit="1" customWidth="1"/>
    <col min="17" max="17" width="8.7109375" style="829" bestFit="1" customWidth="1"/>
    <col min="18" max="21" width="9" style="829" bestFit="1" customWidth="1"/>
    <col min="22" max="23" width="10.7109375" style="829" bestFit="1" customWidth="1"/>
    <col min="24" max="26" width="9.28515625" style="829" bestFit="1" customWidth="1"/>
    <col min="27" max="27" width="13.5703125" style="829" bestFit="1" customWidth="1"/>
    <col min="28" max="28" width="10.140625" style="829" bestFit="1" customWidth="1"/>
    <col min="29" max="16384" width="9.140625" style="829"/>
  </cols>
  <sheetData>
    <row r="1" spans="1:28" ht="24.75" customHeight="1">
      <c r="A1" s="844" t="s">
        <v>410</v>
      </c>
      <c r="B1" s="945"/>
      <c r="C1" s="826"/>
      <c r="D1" s="826"/>
      <c r="E1" s="826"/>
      <c r="F1" s="826"/>
      <c r="G1" s="826"/>
      <c r="H1" s="826"/>
      <c r="I1" s="826" t="s">
        <v>947</v>
      </c>
      <c r="J1" s="826"/>
      <c r="K1" s="842" t="s">
        <v>1041</v>
      </c>
    </row>
    <row r="2" spans="1:28" ht="24.75" customHeight="1">
      <c r="A2" s="826" t="s">
        <v>411</v>
      </c>
      <c r="B2" s="826"/>
      <c r="C2" s="846" t="str">
        <f ca="1">TEXT($I$2,"ดดดด")&amp;" "&amp;TEXT($I$2,"bbbb")</f>
        <v>สิงหาคม 2566</v>
      </c>
      <c r="D2" s="826"/>
      <c r="E2" s="847" t="s">
        <v>1002</v>
      </c>
      <c r="F2" s="830"/>
      <c r="G2" s="831">
        <v>32.11</v>
      </c>
      <c r="H2" s="830" t="s">
        <v>1009</v>
      </c>
      <c r="I2" s="843">
        <f ca="1">TODAY()</f>
        <v>45169</v>
      </c>
      <c r="J2" s="830" t="str">
        <f ca="1">TEXT(I2,"D")&amp;" "&amp;TEXT(I2,"ดดดด")&amp;" "&amp;TEXT(I2,"BBBB")</f>
        <v>31 สิงหาคม 2566</v>
      </c>
      <c r="K2" s="842" t="s">
        <v>1042</v>
      </c>
    </row>
    <row r="3" spans="1:28" ht="24.75" customHeight="1">
      <c r="A3" s="826" t="s">
        <v>413</v>
      </c>
      <c r="B3" s="832" t="s">
        <v>1085</v>
      </c>
      <c r="C3" s="833"/>
      <c r="D3" s="833"/>
      <c r="E3" s="833"/>
      <c r="F3" s="833"/>
      <c r="G3" s="833"/>
      <c r="H3" s="833"/>
      <c r="I3" s="834"/>
      <c r="J3" s="826"/>
      <c r="K3" s="826"/>
      <c r="L3" s="829"/>
      <c r="M3" s="829"/>
    </row>
    <row r="4" spans="1:28" ht="24.75" customHeight="1">
      <c r="A4" s="826" t="s">
        <v>23</v>
      </c>
      <c r="B4" s="832" t="s">
        <v>1043</v>
      </c>
      <c r="C4" s="833"/>
      <c r="D4" s="833"/>
      <c r="E4" s="833"/>
      <c r="F4" s="833"/>
      <c r="G4" s="833"/>
      <c r="H4" s="936"/>
      <c r="I4" s="937"/>
      <c r="J4" s="826"/>
      <c r="K4" s="826"/>
      <c r="L4" s="914" t="s">
        <v>936</v>
      </c>
      <c r="M4" s="915" t="s">
        <v>937</v>
      </c>
      <c r="N4" s="915" t="s">
        <v>941</v>
      </c>
      <c r="O4" s="963" t="s">
        <v>1018</v>
      </c>
      <c r="P4" s="962" t="s">
        <v>823</v>
      </c>
      <c r="Q4" s="962" t="s">
        <v>820</v>
      </c>
      <c r="R4" s="841" t="s">
        <v>738</v>
      </c>
      <c r="S4" s="841" t="s">
        <v>773</v>
      </c>
      <c r="T4" s="841" t="s">
        <v>815</v>
      </c>
      <c r="U4" s="841" t="s">
        <v>822</v>
      </c>
      <c r="V4" s="962" t="s">
        <v>824</v>
      </c>
      <c r="W4" s="962" t="s">
        <v>768</v>
      </c>
      <c r="X4" s="841" t="s">
        <v>787</v>
      </c>
      <c r="Y4" s="841" t="s">
        <v>752</v>
      </c>
      <c r="Z4" s="841" t="s">
        <v>806</v>
      </c>
      <c r="AA4" s="962" t="s">
        <v>821</v>
      </c>
      <c r="AB4" s="962" t="s">
        <v>706</v>
      </c>
    </row>
    <row r="5" spans="1:28" ht="24.75" customHeight="1">
      <c r="A5" s="826" t="s">
        <v>414</v>
      </c>
      <c r="B5" s="838" t="s">
        <v>1045</v>
      </c>
      <c r="C5" s="826"/>
      <c r="D5" s="942" t="s">
        <v>852</v>
      </c>
      <c r="E5" s="837">
        <f>D24</f>
        <v>15</v>
      </c>
      <c r="F5" s="846" t="s">
        <v>46</v>
      </c>
      <c r="G5" s="830" t="s">
        <v>1025</v>
      </c>
      <c r="H5" s="946" t="s">
        <v>897</v>
      </c>
      <c r="I5" s="841" t="str">
        <f>M9</f>
        <v>นายพงศกร  เพชรประดับ</v>
      </c>
      <c r="J5" s="841" t="str">
        <f>N9</f>
        <v>วิศวกรโยธาชำนาญการ</v>
      </c>
      <c r="K5" s="946"/>
      <c r="L5" s="827" t="e">
        <f>HLOOKUP($B$6,ระยะขนส่ง!$B$2:$DB$3,2,FALSE)</f>
        <v>#N/A</v>
      </c>
      <c r="M5" s="835" t="s">
        <v>938</v>
      </c>
      <c r="N5" s="836" t="s">
        <v>841</v>
      </c>
      <c r="O5" s="963" t="s">
        <v>1024</v>
      </c>
      <c r="P5" s="962" t="s">
        <v>1019</v>
      </c>
      <c r="Q5" s="962" t="s">
        <v>1019</v>
      </c>
      <c r="R5" s="841" t="s">
        <v>1020</v>
      </c>
      <c r="S5" s="841" t="s">
        <v>1020</v>
      </c>
      <c r="T5" s="841" t="s">
        <v>1020</v>
      </c>
      <c r="U5" s="841" t="s">
        <v>1020</v>
      </c>
      <c r="V5" s="962" t="s">
        <v>1021</v>
      </c>
      <c r="W5" s="962" t="s">
        <v>1021</v>
      </c>
      <c r="X5" s="841" t="s">
        <v>1022</v>
      </c>
      <c r="Y5" s="841" t="s">
        <v>1022</v>
      </c>
      <c r="Z5" s="841" t="s">
        <v>1022</v>
      </c>
      <c r="AA5" s="962" t="s">
        <v>1023</v>
      </c>
      <c r="AB5" s="962" t="s">
        <v>1023</v>
      </c>
    </row>
    <row r="6" spans="1:28" ht="24.75" customHeight="1">
      <c r="A6" s="826" t="s">
        <v>415</v>
      </c>
      <c r="B6" s="941" t="s">
        <v>1044</v>
      </c>
      <c r="C6" s="826"/>
      <c r="D6" s="942" t="s">
        <v>416</v>
      </c>
      <c r="E6" s="837">
        <f>MIN(D23,D24)</f>
        <v>5</v>
      </c>
      <c r="F6" s="846" t="s">
        <v>46</v>
      </c>
      <c r="G6" s="830" t="str">
        <f>INDEX($P$4:$AB$5,2,MATCH(B7,$P$4:$AB$4,0))</f>
        <v>นายมานิตย์</v>
      </c>
      <c r="H6" s="946" t="s">
        <v>888</v>
      </c>
      <c r="I6" s="841" t="s">
        <v>893</v>
      </c>
      <c r="J6" s="841" t="str">
        <f>INDEX($M$5:$N$13,MATCH($I6,$M$5:$M$13,0),2)</f>
        <v>วิศวกรโยธาปฏิบัติการ</v>
      </c>
      <c r="K6" s="846"/>
      <c r="L6" s="827" t="e">
        <f>HLOOKUP($B$6,ระยะขนส่ง!$B$6:$DB$7,2,FALSE)</f>
        <v>#N/A</v>
      </c>
      <c r="M6" s="835" t="s">
        <v>939</v>
      </c>
      <c r="N6" s="836" t="s">
        <v>841</v>
      </c>
    </row>
    <row r="7" spans="1:28" ht="24.75" customHeight="1">
      <c r="A7" s="826" t="s">
        <v>417</v>
      </c>
      <c r="B7" s="837" t="s">
        <v>821</v>
      </c>
      <c r="C7" s="826"/>
      <c r="D7" s="942" t="s">
        <v>885</v>
      </c>
      <c r="E7" s="837">
        <f>D25</f>
        <v>15</v>
      </c>
      <c r="F7" s="846" t="s">
        <v>46</v>
      </c>
      <c r="G7" s="826"/>
      <c r="H7" s="946" t="s">
        <v>418</v>
      </c>
      <c r="I7" s="841" t="s">
        <v>944</v>
      </c>
      <c r="J7" s="947" t="s">
        <v>894</v>
      </c>
      <c r="K7" s="845" t="s">
        <v>1073</v>
      </c>
      <c r="L7" s="827" t="e">
        <f>HLOOKUP($B$6,ระยะขนส่ง!$B$10:$DB$11,2,FALSE)</f>
        <v>#N/A</v>
      </c>
      <c r="M7" s="835" t="s">
        <v>898</v>
      </c>
      <c r="N7" s="836" t="s">
        <v>841</v>
      </c>
    </row>
    <row r="8" spans="1:28" ht="24.75" customHeight="1">
      <c r="A8" s="826" t="s">
        <v>1011</v>
      </c>
      <c r="B8" s="838">
        <v>1</v>
      </c>
      <c r="C8" s="826" t="s">
        <v>1012</v>
      </c>
      <c r="D8" s="942" t="s">
        <v>531</v>
      </c>
      <c r="E8" s="837">
        <f>D27</f>
        <v>10</v>
      </c>
      <c r="F8" s="849" t="s">
        <v>46</v>
      </c>
      <c r="G8" s="830"/>
      <c r="H8" s="946" t="s">
        <v>418</v>
      </c>
      <c r="I8" s="947" t="s">
        <v>605</v>
      </c>
      <c r="J8" s="947" t="s">
        <v>889</v>
      </c>
      <c r="K8" s="845" t="s">
        <v>1047</v>
      </c>
      <c r="M8" s="835" t="s">
        <v>940</v>
      </c>
      <c r="N8" s="836" t="s">
        <v>841</v>
      </c>
    </row>
    <row r="9" spans="1:28" ht="24.75" customHeight="1" thickBot="1">
      <c r="A9" s="826"/>
      <c r="B9" s="826"/>
      <c r="C9" s="951" t="s">
        <v>984</v>
      </c>
      <c r="D9" s="958" t="s">
        <v>985</v>
      </c>
      <c r="E9" s="830"/>
      <c r="F9" s="830"/>
      <c r="G9" s="826"/>
      <c r="H9" s="946" t="s">
        <v>422</v>
      </c>
      <c r="I9" s="947" t="s">
        <v>895</v>
      </c>
      <c r="J9" s="947" t="s">
        <v>1046</v>
      </c>
      <c r="K9" s="845" t="s">
        <v>1048</v>
      </c>
      <c r="M9" s="835" t="s">
        <v>942</v>
      </c>
      <c r="N9" s="836" t="s">
        <v>841</v>
      </c>
    </row>
    <row r="10" spans="1:28" ht="24.75" customHeight="1">
      <c r="A10" s="850" t="s">
        <v>419</v>
      </c>
      <c r="B10" s="851"/>
      <c r="C10" s="952">
        <v>6</v>
      </c>
      <c r="D10" s="959"/>
      <c r="E10" s="826" t="s">
        <v>57</v>
      </c>
      <c r="F10" s="950" t="s">
        <v>1016</v>
      </c>
      <c r="G10" s="826"/>
      <c r="H10" s="826"/>
      <c r="I10" s="826"/>
      <c r="J10" s="826"/>
      <c r="K10" s="826"/>
      <c r="M10" s="835" t="s">
        <v>893</v>
      </c>
      <c r="N10" s="836" t="s">
        <v>896</v>
      </c>
    </row>
    <row r="11" spans="1:28" ht="24.75" customHeight="1">
      <c r="A11" s="852" t="s">
        <v>420</v>
      </c>
      <c r="B11" s="826"/>
      <c r="C11" s="953">
        <v>5800</v>
      </c>
      <c r="D11" s="960"/>
      <c r="E11" s="826" t="s">
        <v>57</v>
      </c>
      <c r="F11" s="826"/>
      <c r="G11" s="826"/>
      <c r="H11" s="826"/>
      <c r="I11" s="826"/>
      <c r="J11" s="826"/>
      <c r="K11" s="826"/>
      <c r="M11" s="835"/>
      <c r="N11" s="836"/>
    </row>
    <row r="12" spans="1:28" ht="24.75" customHeight="1">
      <c r="A12" s="852" t="s">
        <v>550</v>
      </c>
      <c r="B12" s="826"/>
      <c r="C12" s="954">
        <v>0.05</v>
      </c>
      <c r="D12" s="954"/>
      <c r="E12" s="826" t="s">
        <v>57</v>
      </c>
      <c r="F12" s="826"/>
      <c r="G12" s="826"/>
      <c r="H12" s="826"/>
      <c r="I12" s="826"/>
      <c r="J12" s="826"/>
      <c r="K12" s="826"/>
      <c r="M12" s="835" t="s">
        <v>943</v>
      </c>
      <c r="N12" s="836" t="s">
        <v>421</v>
      </c>
      <c r="P12" s="829" t="e">
        <f>MATCH(B7,O5:R9,0)</f>
        <v>#N/A</v>
      </c>
    </row>
    <row r="13" spans="1:28" ht="24.75" customHeight="1">
      <c r="A13" s="852" t="s">
        <v>994</v>
      </c>
      <c r="B13" s="826"/>
      <c r="C13" s="955">
        <v>1</v>
      </c>
      <c r="D13" s="955"/>
      <c r="E13" s="826" t="s">
        <v>57</v>
      </c>
      <c r="F13" s="826"/>
      <c r="G13" s="826"/>
      <c r="H13" s="826"/>
      <c r="I13" s="846" t="s">
        <v>948</v>
      </c>
      <c r="J13" s="846" t="s">
        <v>584</v>
      </c>
      <c r="K13" s="826"/>
      <c r="M13" s="835" t="s">
        <v>944</v>
      </c>
      <c r="N13" s="836" t="s">
        <v>945</v>
      </c>
    </row>
    <row r="14" spans="1:28" ht="24.75" customHeight="1">
      <c r="A14" s="852" t="s">
        <v>826</v>
      </c>
      <c r="B14" s="826"/>
      <c r="C14" s="954">
        <v>1840</v>
      </c>
      <c r="D14" s="954"/>
      <c r="E14" s="847" t="s">
        <v>33</v>
      </c>
      <c r="F14" s="847"/>
      <c r="G14" s="848">
        <v>0.05</v>
      </c>
      <c r="H14" s="849" t="s">
        <v>15</v>
      </c>
      <c r="I14" s="849">
        <f>C10*C11*$G$14</f>
        <v>1740</v>
      </c>
      <c r="J14" s="849">
        <f>D10*D11*$G$14</f>
        <v>0</v>
      </c>
      <c r="K14" s="846" t="s">
        <v>33</v>
      </c>
      <c r="L14" s="835"/>
      <c r="M14" s="827"/>
      <c r="N14" s="835"/>
      <c r="O14" s="836"/>
    </row>
    <row r="15" spans="1:28" ht="24.75" customHeight="1">
      <c r="A15" s="852" t="s">
        <v>953</v>
      </c>
      <c r="B15" s="826"/>
      <c r="C15" s="954">
        <v>0.05</v>
      </c>
      <c r="D15" s="954"/>
      <c r="E15" s="826" t="s">
        <v>57</v>
      </c>
      <c r="F15" s="826" t="s">
        <v>972</v>
      </c>
      <c r="G15" s="826"/>
      <c r="H15" s="826"/>
      <c r="I15" s="908"/>
      <c r="J15" s="908"/>
      <c r="K15" s="826"/>
      <c r="M15" s="932" t="s">
        <v>959</v>
      </c>
    </row>
    <row r="16" spans="1:28" ht="24.75" customHeight="1">
      <c r="A16" s="854" t="s">
        <v>825</v>
      </c>
      <c r="B16" s="855"/>
      <c r="C16" s="956">
        <v>120</v>
      </c>
      <c r="D16" s="961"/>
      <c r="E16" s="847" t="s">
        <v>33</v>
      </c>
      <c r="F16" s="847"/>
      <c r="G16" s="826"/>
      <c r="H16" s="826"/>
      <c r="I16" s="908"/>
      <c r="J16" s="826"/>
      <c r="K16" s="826"/>
      <c r="M16" s="835" t="s">
        <v>960</v>
      </c>
      <c r="N16" s="827">
        <v>24</v>
      </c>
      <c r="O16" s="829" t="s">
        <v>57</v>
      </c>
    </row>
    <row r="17" spans="1:15">
      <c r="A17" s="850" t="s">
        <v>963</v>
      </c>
      <c r="B17" s="851"/>
      <c r="C17" s="955">
        <v>0.15</v>
      </c>
      <c r="D17" s="955"/>
      <c r="E17" s="826" t="s">
        <v>57</v>
      </c>
      <c r="F17" s="826"/>
      <c r="G17" s="826"/>
      <c r="H17" s="826"/>
      <c r="I17" s="908"/>
      <c r="J17" s="826"/>
      <c r="K17" s="826"/>
      <c r="M17" s="835" t="s">
        <v>961</v>
      </c>
      <c r="N17" s="827">
        <v>150</v>
      </c>
      <c r="O17" s="829" t="s">
        <v>57</v>
      </c>
    </row>
    <row r="18" spans="1:15">
      <c r="A18" s="852" t="s">
        <v>964</v>
      </c>
      <c r="B18" s="826"/>
      <c r="C18" s="954">
        <v>2400</v>
      </c>
      <c r="D18" s="954"/>
      <c r="E18" s="826" t="s">
        <v>57</v>
      </c>
      <c r="F18" s="826"/>
      <c r="G18" s="826"/>
      <c r="H18" s="826"/>
      <c r="I18" s="908"/>
      <c r="J18" s="826"/>
      <c r="K18" s="826"/>
    </row>
    <row r="19" spans="1:15">
      <c r="A19" s="852" t="s">
        <v>974</v>
      </c>
      <c r="B19" s="826"/>
      <c r="C19" s="954">
        <v>0.3</v>
      </c>
      <c r="D19" s="954"/>
      <c r="E19" s="826" t="s">
        <v>57</v>
      </c>
      <c r="F19" s="826"/>
      <c r="G19" s="826"/>
      <c r="H19" s="826"/>
      <c r="I19" s="908"/>
      <c r="J19" s="826"/>
      <c r="K19" s="826"/>
      <c r="M19" s="932" t="s">
        <v>1000</v>
      </c>
    </row>
    <row r="20" spans="1:15">
      <c r="A20" s="852" t="s">
        <v>975</v>
      </c>
      <c r="B20" s="826"/>
      <c r="C20" s="954">
        <v>1</v>
      </c>
      <c r="D20" s="954"/>
      <c r="E20" s="826" t="s">
        <v>927</v>
      </c>
      <c r="F20" s="826"/>
      <c r="G20" s="826"/>
      <c r="H20" s="826"/>
      <c r="I20" s="908"/>
      <c r="J20" s="826"/>
      <c r="K20" s="826"/>
      <c r="M20" s="933">
        <v>0</v>
      </c>
      <c r="N20" s="835" t="s">
        <v>978</v>
      </c>
    </row>
    <row r="21" spans="1:15">
      <c r="A21" s="852" t="s">
        <v>980</v>
      </c>
      <c r="B21" s="826"/>
      <c r="C21" s="955">
        <v>0.1</v>
      </c>
      <c r="D21" s="955"/>
      <c r="E21" s="826" t="s">
        <v>1014</v>
      </c>
      <c r="F21" s="826"/>
      <c r="G21" s="826"/>
      <c r="H21" s="826"/>
      <c r="I21" s="908"/>
      <c r="J21" s="826"/>
      <c r="K21" s="826"/>
      <c r="M21" s="933">
        <v>0.5</v>
      </c>
      <c r="N21" s="835" t="str">
        <f>"ไหล่ทางกว้างข้างละ "&amp;TEXT(M21,"#,##0.00")&amp;" ม."</f>
        <v>ไหล่ทางกว้างข้างละ 0.50 ม.</v>
      </c>
    </row>
    <row r="22" spans="1:15" ht="21" thickBot="1">
      <c r="A22" s="854" t="s">
        <v>981</v>
      </c>
      <c r="B22" s="855"/>
      <c r="C22" s="957">
        <v>10</v>
      </c>
      <c r="D22" s="957"/>
      <c r="E22" s="826" t="s">
        <v>982</v>
      </c>
      <c r="F22" s="826"/>
      <c r="G22" s="826"/>
      <c r="H22" s="826"/>
      <c r="I22" s="908"/>
      <c r="J22" s="826"/>
      <c r="K22" s="826"/>
      <c r="M22" s="933">
        <v>1</v>
      </c>
      <c r="N22" s="835" t="str">
        <f>"ไหล่ทางกว้างข้างละ "&amp;TEXT(M22,"#,##0.00")&amp;" ม."</f>
        <v>ไหล่ทางกว้างข้างละ 1.00 ม.</v>
      </c>
    </row>
    <row r="23" spans="1:15">
      <c r="A23" s="826" t="s">
        <v>949</v>
      </c>
      <c r="B23" s="826"/>
      <c r="C23" s="826"/>
      <c r="D23" s="916">
        <v>5</v>
      </c>
      <c r="E23" s="826"/>
      <c r="F23" s="826"/>
      <c r="G23" s="826"/>
      <c r="H23" s="826"/>
      <c r="I23" s="826"/>
      <c r="J23" s="826"/>
      <c r="K23" s="826"/>
      <c r="M23" s="933">
        <v>1.5</v>
      </c>
      <c r="N23" s="835" t="str">
        <f>"ไหล่ทางกว้างข้างละ "&amp;TEXT(M23,"#,##0.00")&amp;" ม."</f>
        <v>ไหล่ทางกว้างข้างละ 1.50 ม.</v>
      </c>
    </row>
    <row r="24" spans="1:15">
      <c r="A24" s="826" t="s">
        <v>950</v>
      </c>
      <c r="B24" s="826"/>
      <c r="C24" s="826"/>
      <c r="D24" s="840">
        <v>15</v>
      </c>
      <c r="E24" s="826"/>
      <c r="F24" s="826"/>
      <c r="G24" s="826"/>
      <c r="H24" s="826"/>
      <c r="I24" s="826"/>
      <c r="J24" s="826"/>
      <c r="K24" s="826"/>
      <c r="M24" s="835"/>
      <c r="N24" s="835"/>
    </row>
    <row r="25" spans="1:15">
      <c r="A25" s="826" t="s">
        <v>951</v>
      </c>
      <c r="B25" s="826"/>
      <c r="C25" s="826"/>
      <c r="D25" s="840">
        <v>15</v>
      </c>
      <c r="E25" s="826"/>
      <c r="F25" s="826"/>
      <c r="G25" s="826"/>
      <c r="H25" s="826"/>
      <c r="I25" s="826"/>
      <c r="J25" s="826"/>
      <c r="K25" s="826"/>
      <c r="M25" s="932" t="s">
        <v>1001</v>
      </c>
      <c r="N25" s="835"/>
    </row>
    <row r="26" spans="1:15">
      <c r="A26" s="826" t="s">
        <v>952</v>
      </c>
      <c r="B26" s="826"/>
      <c r="C26" s="826"/>
      <c r="D26" s="858">
        <v>120</v>
      </c>
      <c r="E26" s="826"/>
      <c r="F26" s="826"/>
      <c r="G26" s="826"/>
      <c r="H26" s="826"/>
      <c r="I26" s="826"/>
      <c r="J26" s="826"/>
      <c r="K26" s="826"/>
      <c r="M26" s="835" t="str">
        <f>IF($B$8=1, ("ผิวจราจรกว้าง "&amp;TEXT(C10,"#,##0.00")&amp;" ม."&amp;" ยาว "&amp;TEXT(C11,"#,##0")&amp;" ม. "&amp;"หนา "&amp;TEXT(C15,"#,##0.00")&amp;" ม. "&amp;INDEX($M$20:$N$23,MATCH(C13,$M$20:$M$23,0),2)),
                          IF($C$10&lt;&gt;0, ("ช่วงที่ 1 ผิวจราจรกว้าง "&amp;TEXT(C10,"#,##0.00")&amp;" ม."&amp;" ยาว "&amp;TEXT(C11,"#,##0")&amp;" ม. "&amp;"หนา "&amp;TEXT(C15,"#,##0.00")&amp;" ม. "&amp;INDEX($M$20:$N$23,MATCH(C13,$M$20:$M$23,0),2)),                                                                                        "ช่วงที่ 2 ผิวจราจรกว้าง "&amp;TEXT(D10,"#,##0.00")&amp;" ม."&amp;" ยาว "&amp;TEXT(D11,"#,##0")&amp;" เมตร "&amp;"หนา "&amp;TEXT(D15,"#,##0.00")&amp;"  เมตร "&amp;INDEX($M$20:$N$23,MATCH(D13,$M$20:$M$23,0),2)                                                                      )
        )</f>
        <v>ผิวจราจรกว้าง 6.00 ม. ยาว 5,800 ม. หนา 0.05 ม. ไหล่ทางกว้างข้างละ 1.00 ม.</v>
      </c>
    </row>
    <row r="27" spans="1:15">
      <c r="A27" s="826" t="s">
        <v>958</v>
      </c>
      <c r="B27" s="826"/>
      <c r="C27" s="826"/>
      <c r="D27" s="858">
        <v>10</v>
      </c>
      <c r="E27" s="826"/>
      <c r="F27" s="826"/>
      <c r="G27" s="826"/>
      <c r="H27" s="826"/>
      <c r="I27" s="826"/>
      <c r="J27" s="826"/>
      <c r="K27" s="826"/>
      <c r="M27" s="835" t="s">
        <v>1083</v>
      </c>
    </row>
    <row r="28" spans="1:15">
      <c r="A28" s="850" t="s">
        <v>954</v>
      </c>
      <c r="B28" s="851"/>
      <c r="C28" s="851"/>
      <c r="D28" s="839">
        <v>2</v>
      </c>
      <c r="E28" s="826"/>
      <c r="F28" s="826"/>
      <c r="G28" s="826"/>
      <c r="H28" s="826"/>
      <c r="I28" s="826"/>
      <c r="J28" s="826"/>
      <c r="K28" s="826"/>
      <c r="M28" s="835"/>
      <c r="N28" s="827"/>
    </row>
    <row r="29" spans="1:15">
      <c r="A29" s="852" t="s">
        <v>955</v>
      </c>
      <c r="B29" s="826"/>
      <c r="C29" s="826"/>
      <c r="D29" s="839">
        <v>2</v>
      </c>
      <c r="E29" s="826"/>
      <c r="F29" s="826"/>
      <c r="G29" s="826"/>
      <c r="H29" s="826"/>
      <c r="I29" s="826"/>
      <c r="J29" s="826"/>
      <c r="K29" s="826"/>
      <c r="M29" s="835"/>
      <c r="N29" s="827"/>
    </row>
    <row r="30" spans="1:15">
      <c r="A30" s="852" t="s">
        <v>956</v>
      </c>
      <c r="B30" s="826"/>
      <c r="C30" s="826"/>
      <c r="D30" s="839">
        <v>2</v>
      </c>
      <c r="E30" s="826"/>
      <c r="F30" s="826"/>
      <c r="G30" s="826"/>
      <c r="H30" s="826"/>
      <c r="I30" s="826"/>
      <c r="J30" s="826"/>
      <c r="K30" s="826"/>
      <c r="M30" s="835"/>
      <c r="N30" s="827"/>
    </row>
    <row r="31" spans="1:15">
      <c r="A31" s="852" t="s">
        <v>156</v>
      </c>
      <c r="B31" s="826"/>
      <c r="C31" s="826"/>
      <c r="D31" s="853"/>
      <c r="E31" s="826"/>
      <c r="F31" s="826"/>
      <c r="G31" s="826"/>
      <c r="H31" s="826"/>
      <c r="I31" s="826"/>
      <c r="J31" s="826"/>
      <c r="K31" s="826"/>
      <c r="N31" s="827"/>
    </row>
    <row r="32" spans="1:15">
      <c r="A32" s="854" t="s">
        <v>173</v>
      </c>
      <c r="B32" s="855"/>
      <c r="C32" s="855"/>
      <c r="D32" s="856"/>
      <c r="E32" s="826"/>
      <c r="F32" s="826"/>
      <c r="G32" s="826"/>
      <c r="H32" s="826"/>
      <c r="I32" s="826"/>
      <c r="J32" s="826"/>
      <c r="K32" s="826"/>
      <c r="N32" s="827"/>
    </row>
    <row r="33" spans="1:14" ht="21" thickBot="1">
      <c r="A33" s="826"/>
      <c r="B33" s="826"/>
      <c r="C33" s="826"/>
      <c r="D33" s="826"/>
      <c r="E33" s="826"/>
      <c r="F33" s="826"/>
      <c r="G33" s="826"/>
      <c r="H33" s="826"/>
      <c r="I33" s="826"/>
      <c r="J33" s="826"/>
      <c r="K33" s="826"/>
      <c r="N33" s="827"/>
    </row>
    <row r="34" spans="1:14" ht="21" thickBot="1">
      <c r="A34" s="826"/>
      <c r="B34" s="944" t="s">
        <v>957</v>
      </c>
      <c r="C34" s="934">
        <f>+'ปร.5 (2)'!F19</f>
        <v>22887583.27</v>
      </c>
      <c r="D34" s="826" t="s">
        <v>49</v>
      </c>
      <c r="E34" s="826"/>
      <c r="F34" s="857" t="str">
        <f>"กม. @   "</f>
        <v xml:space="preserve">กม. @   </v>
      </c>
      <c r="G34" s="935">
        <f>ROUNDDOWN(('ปร.5 (2)'!F19/(C11+D11)*1000),2)</f>
        <v>3946135.04</v>
      </c>
      <c r="H34" s="826" t="s">
        <v>49</v>
      </c>
      <c r="I34" s="826" t="s">
        <v>1008</v>
      </c>
      <c r="J34" s="943">
        <f>'ปร.5 (2)'!D21</f>
        <v>492.84201701119724</v>
      </c>
      <c r="K34" s="826" t="s">
        <v>49</v>
      </c>
    </row>
  </sheetData>
  <sheetProtection selectLockedCells="1" selectUnlockedCells="1"/>
  <conditionalFormatting sqref="C9:D9">
    <cfRule type="duplicateValues" dxfId="2" priority="1" stopIfTrue="1"/>
  </conditionalFormatting>
  <dataValidations count="5">
    <dataValidation type="list" allowBlank="1" showInputMessage="1" showErrorMessage="1" sqref="I7" xr:uid="{00000000-0002-0000-0100-000000000000}">
      <formula1>$M$12:$M$13</formula1>
    </dataValidation>
    <dataValidation type="list" allowBlank="1" showInputMessage="1" showErrorMessage="1" sqref="I6" xr:uid="{00000000-0002-0000-0100-000001000000}">
      <formula1>$M$5:$M$10</formula1>
    </dataValidation>
    <dataValidation type="list" allowBlank="1" showInputMessage="1" showErrorMessage="1" sqref="C17:D17" xr:uid="{00000000-0002-0000-0100-000002000000}">
      <formula1>"0.10,0.15"</formula1>
    </dataValidation>
    <dataValidation type="list" allowBlank="1" showInputMessage="1" showErrorMessage="1" sqref="C21:D21" xr:uid="{00000000-0002-0000-0100-000003000000}">
      <formula1>"0.1,0.15"</formula1>
    </dataValidation>
    <dataValidation type="list" allowBlank="1" showInputMessage="1" showErrorMessage="1" sqref="B8" xr:uid="{20B83E8D-20D1-4FEF-A167-1EA09C984396}">
      <formula1>"1,2"</formula1>
    </dataValidation>
  </dataValidations>
  <pageMargins left="0.75" right="0.75" top="1" bottom="1" header="0.5" footer="0.5"/>
  <pageSetup paperSize="9" orientation="portrait" horizontalDpi="4294967294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D4AC5-8E4A-4E48-8D1B-BA4C4325A8BE}">
  <dimension ref="A1:U32"/>
  <sheetViews>
    <sheetView view="pageBreakPreview" zoomScale="90" zoomScaleNormal="100" zoomScaleSheetLayoutView="90" workbookViewId="0">
      <selection activeCell="J18" sqref="J18"/>
    </sheetView>
  </sheetViews>
  <sheetFormatPr defaultColWidth="9" defaultRowHeight="18.95" customHeight="1"/>
  <cols>
    <col min="1" max="1" width="6.85546875" style="1063" customWidth="1"/>
    <col min="2" max="2" width="80.5703125" style="1063" customWidth="1"/>
    <col min="3" max="3" width="13.28515625" style="1063" customWidth="1"/>
    <col min="4" max="4" width="25.85546875" style="1063" customWidth="1"/>
    <col min="5" max="5" width="19.140625" style="1063" customWidth="1"/>
    <col min="6" max="6" width="18.42578125" style="1063" customWidth="1"/>
    <col min="7" max="7" width="11.28515625" style="1063" customWidth="1"/>
    <col min="8" max="256" width="9" style="1063"/>
    <col min="257" max="257" width="7.42578125" style="1063" customWidth="1"/>
    <col min="258" max="258" width="79.85546875" style="1063" customWidth="1"/>
    <col min="259" max="259" width="13.28515625" style="1063" customWidth="1"/>
    <col min="260" max="260" width="25.7109375" style="1063" customWidth="1"/>
    <col min="261" max="261" width="17.85546875" style="1063" customWidth="1"/>
    <col min="262" max="262" width="20.140625" style="1063" customWidth="1"/>
    <col min="263" max="263" width="11.28515625" style="1063" customWidth="1"/>
    <col min="264" max="512" width="9" style="1063"/>
    <col min="513" max="513" width="7.42578125" style="1063" customWidth="1"/>
    <col min="514" max="514" width="79.85546875" style="1063" customWidth="1"/>
    <col min="515" max="515" width="13.28515625" style="1063" customWidth="1"/>
    <col min="516" max="516" width="25.7109375" style="1063" customWidth="1"/>
    <col min="517" max="517" width="17.85546875" style="1063" customWidth="1"/>
    <col min="518" max="518" width="20.140625" style="1063" customWidth="1"/>
    <col min="519" max="519" width="11.28515625" style="1063" customWidth="1"/>
    <col min="520" max="768" width="9" style="1063"/>
    <col min="769" max="769" width="7.42578125" style="1063" customWidth="1"/>
    <col min="770" max="770" width="79.85546875" style="1063" customWidth="1"/>
    <col min="771" max="771" width="13.28515625" style="1063" customWidth="1"/>
    <col min="772" max="772" width="25.7109375" style="1063" customWidth="1"/>
    <col min="773" max="773" width="17.85546875" style="1063" customWidth="1"/>
    <col min="774" max="774" width="20.140625" style="1063" customWidth="1"/>
    <col min="775" max="775" width="11.28515625" style="1063" customWidth="1"/>
    <col min="776" max="1024" width="9" style="1063"/>
    <col min="1025" max="1025" width="7.42578125" style="1063" customWidth="1"/>
    <col min="1026" max="1026" width="79.85546875" style="1063" customWidth="1"/>
    <col min="1027" max="1027" width="13.28515625" style="1063" customWidth="1"/>
    <col min="1028" max="1028" width="25.7109375" style="1063" customWidth="1"/>
    <col min="1029" max="1029" width="17.85546875" style="1063" customWidth="1"/>
    <col min="1030" max="1030" width="20.140625" style="1063" customWidth="1"/>
    <col min="1031" max="1031" width="11.28515625" style="1063" customWidth="1"/>
    <col min="1032" max="1280" width="9" style="1063"/>
    <col min="1281" max="1281" width="7.42578125" style="1063" customWidth="1"/>
    <col min="1282" max="1282" width="79.85546875" style="1063" customWidth="1"/>
    <col min="1283" max="1283" width="13.28515625" style="1063" customWidth="1"/>
    <col min="1284" max="1284" width="25.7109375" style="1063" customWidth="1"/>
    <col min="1285" max="1285" width="17.85546875" style="1063" customWidth="1"/>
    <col min="1286" max="1286" width="20.140625" style="1063" customWidth="1"/>
    <col min="1287" max="1287" width="11.28515625" style="1063" customWidth="1"/>
    <col min="1288" max="1536" width="9" style="1063"/>
    <col min="1537" max="1537" width="7.42578125" style="1063" customWidth="1"/>
    <col min="1538" max="1538" width="79.85546875" style="1063" customWidth="1"/>
    <col min="1539" max="1539" width="13.28515625" style="1063" customWidth="1"/>
    <col min="1540" max="1540" width="25.7109375" style="1063" customWidth="1"/>
    <col min="1541" max="1541" width="17.85546875" style="1063" customWidth="1"/>
    <col min="1542" max="1542" width="20.140625" style="1063" customWidth="1"/>
    <col min="1543" max="1543" width="11.28515625" style="1063" customWidth="1"/>
    <col min="1544" max="1792" width="9" style="1063"/>
    <col min="1793" max="1793" width="7.42578125" style="1063" customWidth="1"/>
    <col min="1794" max="1794" width="79.85546875" style="1063" customWidth="1"/>
    <col min="1795" max="1795" width="13.28515625" style="1063" customWidth="1"/>
    <col min="1796" max="1796" width="25.7109375" style="1063" customWidth="1"/>
    <col min="1797" max="1797" width="17.85546875" style="1063" customWidth="1"/>
    <col min="1798" max="1798" width="20.140625" style="1063" customWidth="1"/>
    <col min="1799" max="1799" width="11.28515625" style="1063" customWidth="1"/>
    <col min="1800" max="2048" width="9" style="1063"/>
    <col min="2049" max="2049" width="7.42578125" style="1063" customWidth="1"/>
    <col min="2050" max="2050" width="79.85546875" style="1063" customWidth="1"/>
    <col min="2051" max="2051" width="13.28515625" style="1063" customWidth="1"/>
    <col min="2052" max="2052" width="25.7109375" style="1063" customWidth="1"/>
    <col min="2053" max="2053" width="17.85546875" style="1063" customWidth="1"/>
    <col min="2054" max="2054" width="20.140625" style="1063" customWidth="1"/>
    <col min="2055" max="2055" width="11.28515625" style="1063" customWidth="1"/>
    <col min="2056" max="2304" width="9" style="1063"/>
    <col min="2305" max="2305" width="7.42578125" style="1063" customWidth="1"/>
    <col min="2306" max="2306" width="79.85546875" style="1063" customWidth="1"/>
    <col min="2307" max="2307" width="13.28515625" style="1063" customWidth="1"/>
    <col min="2308" max="2308" width="25.7109375" style="1063" customWidth="1"/>
    <col min="2309" max="2309" width="17.85546875" style="1063" customWidth="1"/>
    <col min="2310" max="2310" width="20.140625" style="1063" customWidth="1"/>
    <col min="2311" max="2311" width="11.28515625" style="1063" customWidth="1"/>
    <col min="2312" max="2560" width="9" style="1063"/>
    <col min="2561" max="2561" width="7.42578125" style="1063" customWidth="1"/>
    <col min="2562" max="2562" width="79.85546875" style="1063" customWidth="1"/>
    <col min="2563" max="2563" width="13.28515625" style="1063" customWidth="1"/>
    <col min="2564" max="2564" width="25.7109375" style="1063" customWidth="1"/>
    <col min="2565" max="2565" width="17.85546875" style="1063" customWidth="1"/>
    <col min="2566" max="2566" width="20.140625" style="1063" customWidth="1"/>
    <col min="2567" max="2567" width="11.28515625" style="1063" customWidth="1"/>
    <col min="2568" max="2816" width="9" style="1063"/>
    <col min="2817" max="2817" width="7.42578125" style="1063" customWidth="1"/>
    <col min="2818" max="2818" width="79.85546875" style="1063" customWidth="1"/>
    <col min="2819" max="2819" width="13.28515625" style="1063" customWidth="1"/>
    <col min="2820" max="2820" width="25.7109375" style="1063" customWidth="1"/>
    <col min="2821" max="2821" width="17.85546875" style="1063" customWidth="1"/>
    <col min="2822" max="2822" width="20.140625" style="1063" customWidth="1"/>
    <col min="2823" max="2823" width="11.28515625" style="1063" customWidth="1"/>
    <col min="2824" max="3072" width="9" style="1063"/>
    <col min="3073" max="3073" width="7.42578125" style="1063" customWidth="1"/>
    <col min="3074" max="3074" width="79.85546875" style="1063" customWidth="1"/>
    <col min="3075" max="3075" width="13.28515625" style="1063" customWidth="1"/>
    <col min="3076" max="3076" width="25.7109375" style="1063" customWidth="1"/>
    <col min="3077" max="3077" width="17.85546875" style="1063" customWidth="1"/>
    <col min="3078" max="3078" width="20.140625" style="1063" customWidth="1"/>
    <col min="3079" max="3079" width="11.28515625" style="1063" customWidth="1"/>
    <col min="3080" max="3328" width="9" style="1063"/>
    <col min="3329" max="3329" width="7.42578125" style="1063" customWidth="1"/>
    <col min="3330" max="3330" width="79.85546875" style="1063" customWidth="1"/>
    <col min="3331" max="3331" width="13.28515625" style="1063" customWidth="1"/>
    <col min="3332" max="3332" width="25.7109375" style="1063" customWidth="1"/>
    <col min="3333" max="3333" width="17.85546875" style="1063" customWidth="1"/>
    <col min="3334" max="3334" width="20.140625" style="1063" customWidth="1"/>
    <col min="3335" max="3335" width="11.28515625" style="1063" customWidth="1"/>
    <col min="3336" max="3584" width="9" style="1063"/>
    <col min="3585" max="3585" width="7.42578125" style="1063" customWidth="1"/>
    <col min="3586" max="3586" width="79.85546875" style="1063" customWidth="1"/>
    <col min="3587" max="3587" width="13.28515625" style="1063" customWidth="1"/>
    <col min="3588" max="3588" width="25.7109375" style="1063" customWidth="1"/>
    <col min="3589" max="3589" width="17.85546875" style="1063" customWidth="1"/>
    <col min="3590" max="3590" width="20.140625" style="1063" customWidth="1"/>
    <col min="3591" max="3591" width="11.28515625" style="1063" customWidth="1"/>
    <col min="3592" max="3840" width="9" style="1063"/>
    <col min="3841" max="3841" width="7.42578125" style="1063" customWidth="1"/>
    <col min="3842" max="3842" width="79.85546875" style="1063" customWidth="1"/>
    <col min="3843" max="3843" width="13.28515625" style="1063" customWidth="1"/>
    <col min="3844" max="3844" width="25.7109375" style="1063" customWidth="1"/>
    <col min="3845" max="3845" width="17.85546875" style="1063" customWidth="1"/>
    <col min="3846" max="3846" width="20.140625" style="1063" customWidth="1"/>
    <col min="3847" max="3847" width="11.28515625" style="1063" customWidth="1"/>
    <col min="3848" max="4096" width="9" style="1063"/>
    <col min="4097" max="4097" width="7.42578125" style="1063" customWidth="1"/>
    <col min="4098" max="4098" width="79.85546875" style="1063" customWidth="1"/>
    <col min="4099" max="4099" width="13.28515625" style="1063" customWidth="1"/>
    <col min="4100" max="4100" width="25.7109375" style="1063" customWidth="1"/>
    <col min="4101" max="4101" width="17.85546875" style="1063" customWidth="1"/>
    <col min="4102" max="4102" width="20.140625" style="1063" customWidth="1"/>
    <col min="4103" max="4103" width="11.28515625" style="1063" customWidth="1"/>
    <col min="4104" max="4352" width="9" style="1063"/>
    <col min="4353" max="4353" width="7.42578125" style="1063" customWidth="1"/>
    <col min="4354" max="4354" width="79.85546875" style="1063" customWidth="1"/>
    <col min="4355" max="4355" width="13.28515625" style="1063" customWidth="1"/>
    <col min="4356" max="4356" width="25.7109375" style="1063" customWidth="1"/>
    <col min="4357" max="4357" width="17.85546875" style="1063" customWidth="1"/>
    <col min="4358" max="4358" width="20.140625" style="1063" customWidth="1"/>
    <col min="4359" max="4359" width="11.28515625" style="1063" customWidth="1"/>
    <col min="4360" max="4608" width="9" style="1063"/>
    <col min="4609" max="4609" width="7.42578125" style="1063" customWidth="1"/>
    <col min="4610" max="4610" width="79.85546875" style="1063" customWidth="1"/>
    <col min="4611" max="4611" width="13.28515625" style="1063" customWidth="1"/>
    <col min="4612" max="4612" width="25.7109375" style="1063" customWidth="1"/>
    <col min="4613" max="4613" width="17.85546875" style="1063" customWidth="1"/>
    <col min="4614" max="4614" width="20.140625" style="1063" customWidth="1"/>
    <col min="4615" max="4615" width="11.28515625" style="1063" customWidth="1"/>
    <col min="4616" max="4864" width="9" style="1063"/>
    <col min="4865" max="4865" width="7.42578125" style="1063" customWidth="1"/>
    <col min="4866" max="4866" width="79.85546875" style="1063" customWidth="1"/>
    <col min="4867" max="4867" width="13.28515625" style="1063" customWidth="1"/>
    <col min="4868" max="4868" width="25.7109375" style="1063" customWidth="1"/>
    <col min="4869" max="4869" width="17.85546875" style="1063" customWidth="1"/>
    <col min="4870" max="4870" width="20.140625" style="1063" customWidth="1"/>
    <col min="4871" max="4871" width="11.28515625" style="1063" customWidth="1"/>
    <col min="4872" max="5120" width="9" style="1063"/>
    <col min="5121" max="5121" width="7.42578125" style="1063" customWidth="1"/>
    <col min="5122" max="5122" width="79.85546875" style="1063" customWidth="1"/>
    <col min="5123" max="5123" width="13.28515625" style="1063" customWidth="1"/>
    <col min="5124" max="5124" width="25.7109375" style="1063" customWidth="1"/>
    <col min="5125" max="5125" width="17.85546875" style="1063" customWidth="1"/>
    <col min="5126" max="5126" width="20.140625" style="1063" customWidth="1"/>
    <col min="5127" max="5127" width="11.28515625" style="1063" customWidth="1"/>
    <col min="5128" max="5376" width="9" style="1063"/>
    <col min="5377" max="5377" width="7.42578125" style="1063" customWidth="1"/>
    <col min="5378" max="5378" width="79.85546875" style="1063" customWidth="1"/>
    <col min="5379" max="5379" width="13.28515625" style="1063" customWidth="1"/>
    <col min="5380" max="5380" width="25.7109375" style="1063" customWidth="1"/>
    <col min="5381" max="5381" width="17.85546875" style="1063" customWidth="1"/>
    <col min="5382" max="5382" width="20.140625" style="1063" customWidth="1"/>
    <col min="5383" max="5383" width="11.28515625" style="1063" customWidth="1"/>
    <col min="5384" max="5632" width="9" style="1063"/>
    <col min="5633" max="5633" width="7.42578125" style="1063" customWidth="1"/>
    <col min="5634" max="5634" width="79.85546875" style="1063" customWidth="1"/>
    <col min="5635" max="5635" width="13.28515625" style="1063" customWidth="1"/>
    <col min="5636" max="5636" width="25.7109375" style="1063" customWidth="1"/>
    <col min="5637" max="5637" width="17.85546875" style="1063" customWidth="1"/>
    <col min="5638" max="5638" width="20.140625" style="1063" customWidth="1"/>
    <col min="5639" max="5639" width="11.28515625" style="1063" customWidth="1"/>
    <col min="5640" max="5888" width="9" style="1063"/>
    <col min="5889" max="5889" width="7.42578125" style="1063" customWidth="1"/>
    <col min="5890" max="5890" width="79.85546875" style="1063" customWidth="1"/>
    <col min="5891" max="5891" width="13.28515625" style="1063" customWidth="1"/>
    <col min="5892" max="5892" width="25.7109375" style="1063" customWidth="1"/>
    <col min="5893" max="5893" width="17.85546875" style="1063" customWidth="1"/>
    <col min="5894" max="5894" width="20.140625" style="1063" customWidth="1"/>
    <col min="5895" max="5895" width="11.28515625" style="1063" customWidth="1"/>
    <col min="5896" max="6144" width="9" style="1063"/>
    <col min="6145" max="6145" width="7.42578125" style="1063" customWidth="1"/>
    <col min="6146" max="6146" width="79.85546875" style="1063" customWidth="1"/>
    <col min="6147" max="6147" width="13.28515625" style="1063" customWidth="1"/>
    <col min="6148" max="6148" width="25.7109375" style="1063" customWidth="1"/>
    <col min="6149" max="6149" width="17.85546875" style="1063" customWidth="1"/>
    <col min="6150" max="6150" width="20.140625" style="1063" customWidth="1"/>
    <col min="6151" max="6151" width="11.28515625" style="1063" customWidth="1"/>
    <col min="6152" max="6400" width="9" style="1063"/>
    <col min="6401" max="6401" width="7.42578125" style="1063" customWidth="1"/>
    <col min="6402" max="6402" width="79.85546875" style="1063" customWidth="1"/>
    <col min="6403" max="6403" width="13.28515625" style="1063" customWidth="1"/>
    <col min="6404" max="6404" width="25.7109375" style="1063" customWidth="1"/>
    <col min="6405" max="6405" width="17.85546875" style="1063" customWidth="1"/>
    <col min="6406" max="6406" width="20.140625" style="1063" customWidth="1"/>
    <col min="6407" max="6407" width="11.28515625" style="1063" customWidth="1"/>
    <col min="6408" max="6656" width="9" style="1063"/>
    <col min="6657" max="6657" width="7.42578125" style="1063" customWidth="1"/>
    <col min="6658" max="6658" width="79.85546875" style="1063" customWidth="1"/>
    <col min="6659" max="6659" width="13.28515625" style="1063" customWidth="1"/>
    <col min="6660" max="6660" width="25.7109375" style="1063" customWidth="1"/>
    <col min="6661" max="6661" width="17.85546875" style="1063" customWidth="1"/>
    <col min="6662" max="6662" width="20.140625" style="1063" customWidth="1"/>
    <col min="6663" max="6663" width="11.28515625" style="1063" customWidth="1"/>
    <col min="6664" max="6912" width="9" style="1063"/>
    <col min="6913" max="6913" width="7.42578125" style="1063" customWidth="1"/>
    <col min="6914" max="6914" width="79.85546875" style="1063" customWidth="1"/>
    <col min="6915" max="6915" width="13.28515625" style="1063" customWidth="1"/>
    <col min="6916" max="6916" width="25.7109375" style="1063" customWidth="1"/>
    <col min="6917" max="6917" width="17.85546875" style="1063" customWidth="1"/>
    <col min="6918" max="6918" width="20.140625" style="1063" customWidth="1"/>
    <col min="6919" max="6919" width="11.28515625" style="1063" customWidth="1"/>
    <col min="6920" max="7168" width="9" style="1063"/>
    <col min="7169" max="7169" width="7.42578125" style="1063" customWidth="1"/>
    <col min="7170" max="7170" width="79.85546875" style="1063" customWidth="1"/>
    <col min="7171" max="7171" width="13.28515625" style="1063" customWidth="1"/>
    <col min="7172" max="7172" width="25.7109375" style="1063" customWidth="1"/>
    <col min="7173" max="7173" width="17.85546875" style="1063" customWidth="1"/>
    <col min="7174" max="7174" width="20.140625" style="1063" customWidth="1"/>
    <col min="7175" max="7175" width="11.28515625" style="1063" customWidth="1"/>
    <col min="7176" max="7424" width="9" style="1063"/>
    <col min="7425" max="7425" width="7.42578125" style="1063" customWidth="1"/>
    <col min="7426" max="7426" width="79.85546875" style="1063" customWidth="1"/>
    <col min="7427" max="7427" width="13.28515625" style="1063" customWidth="1"/>
    <col min="7428" max="7428" width="25.7109375" style="1063" customWidth="1"/>
    <col min="7429" max="7429" width="17.85546875" style="1063" customWidth="1"/>
    <col min="7430" max="7430" width="20.140625" style="1063" customWidth="1"/>
    <col min="7431" max="7431" width="11.28515625" style="1063" customWidth="1"/>
    <col min="7432" max="7680" width="9" style="1063"/>
    <col min="7681" max="7681" width="7.42578125" style="1063" customWidth="1"/>
    <col min="7682" max="7682" width="79.85546875" style="1063" customWidth="1"/>
    <col min="7683" max="7683" width="13.28515625" style="1063" customWidth="1"/>
    <col min="7684" max="7684" width="25.7109375" style="1063" customWidth="1"/>
    <col min="7685" max="7685" width="17.85546875" style="1063" customWidth="1"/>
    <col min="7686" max="7686" width="20.140625" style="1063" customWidth="1"/>
    <col min="7687" max="7687" width="11.28515625" style="1063" customWidth="1"/>
    <col min="7688" max="7936" width="9" style="1063"/>
    <col min="7937" max="7937" width="7.42578125" style="1063" customWidth="1"/>
    <col min="7938" max="7938" width="79.85546875" style="1063" customWidth="1"/>
    <col min="7939" max="7939" width="13.28515625" style="1063" customWidth="1"/>
    <col min="7940" max="7940" width="25.7109375" style="1063" customWidth="1"/>
    <col min="7941" max="7941" width="17.85546875" style="1063" customWidth="1"/>
    <col min="7942" max="7942" width="20.140625" style="1063" customWidth="1"/>
    <col min="7943" max="7943" width="11.28515625" style="1063" customWidth="1"/>
    <col min="7944" max="8192" width="9" style="1063"/>
    <col min="8193" max="8193" width="7.42578125" style="1063" customWidth="1"/>
    <col min="8194" max="8194" width="79.85546875" style="1063" customWidth="1"/>
    <col min="8195" max="8195" width="13.28515625" style="1063" customWidth="1"/>
    <col min="8196" max="8196" width="25.7109375" style="1063" customWidth="1"/>
    <col min="8197" max="8197" width="17.85546875" style="1063" customWidth="1"/>
    <col min="8198" max="8198" width="20.140625" style="1063" customWidth="1"/>
    <col min="8199" max="8199" width="11.28515625" style="1063" customWidth="1"/>
    <col min="8200" max="8448" width="9" style="1063"/>
    <col min="8449" max="8449" width="7.42578125" style="1063" customWidth="1"/>
    <col min="8450" max="8450" width="79.85546875" style="1063" customWidth="1"/>
    <col min="8451" max="8451" width="13.28515625" style="1063" customWidth="1"/>
    <col min="8452" max="8452" width="25.7109375" style="1063" customWidth="1"/>
    <col min="8453" max="8453" width="17.85546875" style="1063" customWidth="1"/>
    <col min="8454" max="8454" width="20.140625" style="1063" customWidth="1"/>
    <col min="8455" max="8455" width="11.28515625" style="1063" customWidth="1"/>
    <col min="8456" max="8704" width="9" style="1063"/>
    <col min="8705" max="8705" width="7.42578125" style="1063" customWidth="1"/>
    <col min="8706" max="8706" width="79.85546875" style="1063" customWidth="1"/>
    <col min="8707" max="8707" width="13.28515625" style="1063" customWidth="1"/>
    <col min="8708" max="8708" width="25.7109375" style="1063" customWidth="1"/>
    <col min="8709" max="8709" width="17.85546875" style="1063" customWidth="1"/>
    <col min="8710" max="8710" width="20.140625" style="1063" customWidth="1"/>
    <col min="8711" max="8711" width="11.28515625" style="1063" customWidth="1"/>
    <col min="8712" max="8960" width="9" style="1063"/>
    <col min="8961" max="8961" width="7.42578125" style="1063" customWidth="1"/>
    <col min="8962" max="8962" width="79.85546875" style="1063" customWidth="1"/>
    <col min="8963" max="8963" width="13.28515625" style="1063" customWidth="1"/>
    <col min="8964" max="8964" width="25.7109375" style="1063" customWidth="1"/>
    <col min="8965" max="8965" width="17.85546875" style="1063" customWidth="1"/>
    <col min="8966" max="8966" width="20.140625" style="1063" customWidth="1"/>
    <col min="8967" max="8967" width="11.28515625" style="1063" customWidth="1"/>
    <col min="8968" max="9216" width="9" style="1063"/>
    <col min="9217" max="9217" width="7.42578125" style="1063" customWidth="1"/>
    <col min="9218" max="9218" width="79.85546875" style="1063" customWidth="1"/>
    <col min="9219" max="9219" width="13.28515625" style="1063" customWidth="1"/>
    <col min="9220" max="9220" width="25.7109375" style="1063" customWidth="1"/>
    <col min="9221" max="9221" width="17.85546875" style="1063" customWidth="1"/>
    <col min="9222" max="9222" width="20.140625" style="1063" customWidth="1"/>
    <col min="9223" max="9223" width="11.28515625" style="1063" customWidth="1"/>
    <col min="9224" max="9472" width="9" style="1063"/>
    <col min="9473" max="9473" width="7.42578125" style="1063" customWidth="1"/>
    <col min="9474" max="9474" width="79.85546875" style="1063" customWidth="1"/>
    <col min="9475" max="9475" width="13.28515625" style="1063" customWidth="1"/>
    <col min="9476" max="9476" width="25.7109375" style="1063" customWidth="1"/>
    <col min="9477" max="9477" width="17.85546875" style="1063" customWidth="1"/>
    <col min="9478" max="9478" width="20.140625" style="1063" customWidth="1"/>
    <col min="9479" max="9479" width="11.28515625" style="1063" customWidth="1"/>
    <col min="9480" max="9728" width="9" style="1063"/>
    <col min="9729" max="9729" width="7.42578125" style="1063" customWidth="1"/>
    <col min="9730" max="9730" width="79.85546875" style="1063" customWidth="1"/>
    <col min="9731" max="9731" width="13.28515625" style="1063" customWidth="1"/>
    <col min="9732" max="9732" width="25.7109375" style="1063" customWidth="1"/>
    <col min="9733" max="9733" width="17.85546875" style="1063" customWidth="1"/>
    <col min="9734" max="9734" width="20.140625" style="1063" customWidth="1"/>
    <col min="9735" max="9735" width="11.28515625" style="1063" customWidth="1"/>
    <col min="9736" max="9984" width="9" style="1063"/>
    <col min="9985" max="9985" width="7.42578125" style="1063" customWidth="1"/>
    <col min="9986" max="9986" width="79.85546875" style="1063" customWidth="1"/>
    <col min="9987" max="9987" width="13.28515625" style="1063" customWidth="1"/>
    <col min="9988" max="9988" width="25.7109375" style="1063" customWidth="1"/>
    <col min="9989" max="9989" width="17.85546875" style="1063" customWidth="1"/>
    <col min="9990" max="9990" width="20.140625" style="1063" customWidth="1"/>
    <col min="9991" max="9991" width="11.28515625" style="1063" customWidth="1"/>
    <col min="9992" max="10240" width="9" style="1063"/>
    <col min="10241" max="10241" width="7.42578125" style="1063" customWidth="1"/>
    <col min="10242" max="10242" width="79.85546875" style="1063" customWidth="1"/>
    <col min="10243" max="10243" width="13.28515625" style="1063" customWidth="1"/>
    <col min="10244" max="10244" width="25.7109375" style="1063" customWidth="1"/>
    <col min="10245" max="10245" width="17.85546875" style="1063" customWidth="1"/>
    <col min="10246" max="10246" width="20.140625" style="1063" customWidth="1"/>
    <col min="10247" max="10247" width="11.28515625" style="1063" customWidth="1"/>
    <col min="10248" max="10496" width="9" style="1063"/>
    <col min="10497" max="10497" width="7.42578125" style="1063" customWidth="1"/>
    <col min="10498" max="10498" width="79.85546875" style="1063" customWidth="1"/>
    <col min="10499" max="10499" width="13.28515625" style="1063" customWidth="1"/>
    <col min="10500" max="10500" width="25.7109375" style="1063" customWidth="1"/>
    <col min="10501" max="10501" width="17.85546875" style="1063" customWidth="1"/>
    <col min="10502" max="10502" width="20.140625" style="1063" customWidth="1"/>
    <col min="10503" max="10503" width="11.28515625" style="1063" customWidth="1"/>
    <col min="10504" max="10752" width="9" style="1063"/>
    <col min="10753" max="10753" width="7.42578125" style="1063" customWidth="1"/>
    <col min="10754" max="10754" width="79.85546875" style="1063" customWidth="1"/>
    <col min="10755" max="10755" width="13.28515625" style="1063" customWidth="1"/>
    <col min="10756" max="10756" width="25.7109375" style="1063" customWidth="1"/>
    <col min="10757" max="10757" width="17.85546875" style="1063" customWidth="1"/>
    <col min="10758" max="10758" width="20.140625" style="1063" customWidth="1"/>
    <col min="10759" max="10759" width="11.28515625" style="1063" customWidth="1"/>
    <col min="10760" max="11008" width="9" style="1063"/>
    <col min="11009" max="11009" width="7.42578125" style="1063" customWidth="1"/>
    <col min="11010" max="11010" width="79.85546875" style="1063" customWidth="1"/>
    <col min="11011" max="11011" width="13.28515625" style="1063" customWidth="1"/>
    <col min="11012" max="11012" width="25.7109375" style="1063" customWidth="1"/>
    <col min="11013" max="11013" width="17.85546875" style="1063" customWidth="1"/>
    <col min="11014" max="11014" width="20.140625" style="1063" customWidth="1"/>
    <col min="11015" max="11015" width="11.28515625" style="1063" customWidth="1"/>
    <col min="11016" max="11264" width="9" style="1063"/>
    <col min="11265" max="11265" width="7.42578125" style="1063" customWidth="1"/>
    <col min="11266" max="11266" width="79.85546875" style="1063" customWidth="1"/>
    <col min="11267" max="11267" width="13.28515625" style="1063" customWidth="1"/>
    <col min="11268" max="11268" width="25.7109375" style="1063" customWidth="1"/>
    <col min="11269" max="11269" width="17.85546875" style="1063" customWidth="1"/>
    <col min="11270" max="11270" width="20.140625" style="1063" customWidth="1"/>
    <col min="11271" max="11271" width="11.28515625" style="1063" customWidth="1"/>
    <col min="11272" max="11520" width="9" style="1063"/>
    <col min="11521" max="11521" width="7.42578125" style="1063" customWidth="1"/>
    <col min="11522" max="11522" width="79.85546875" style="1063" customWidth="1"/>
    <col min="11523" max="11523" width="13.28515625" style="1063" customWidth="1"/>
    <col min="11524" max="11524" width="25.7109375" style="1063" customWidth="1"/>
    <col min="11525" max="11525" width="17.85546875" style="1063" customWidth="1"/>
    <col min="11526" max="11526" width="20.140625" style="1063" customWidth="1"/>
    <col min="11527" max="11527" width="11.28515625" style="1063" customWidth="1"/>
    <col min="11528" max="11776" width="9" style="1063"/>
    <col min="11777" max="11777" width="7.42578125" style="1063" customWidth="1"/>
    <col min="11778" max="11778" width="79.85546875" style="1063" customWidth="1"/>
    <col min="11779" max="11779" width="13.28515625" style="1063" customWidth="1"/>
    <col min="11780" max="11780" width="25.7109375" style="1063" customWidth="1"/>
    <col min="11781" max="11781" width="17.85546875" style="1063" customWidth="1"/>
    <col min="11782" max="11782" width="20.140625" style="1063" customWidth="1"/>
    <col min="11783" max="11783" width="11.28515625" style="1063" customWidth="1"/>
    <col min="11784" max="12032" width="9" style="1063"/>
    <col min="12033" max="12033" width="7.42578125" style="1063" customWidth="1"/>
    <col min="12034" max="12034" width="79.85546875" style="1063" customWidth="1"/>
    <col min="12035" max="12035" width="13.28515625" style="1063" customWidth="1"/>
    <col min="12036" max="12036" width="25.7109375" style="1063" customWidth="1"/>
    <col min="12037" max="12037" width="17.85546875" style="1063" customWidth="1"/>
    <col min="12038" max="12038" width="20.140625" style="1063" customWidth="1"/>
    <col min="12039" max="12039" width="11.28515625" style="1063" customWidth="1"/>
    <col min="12040" max="12288" width="9" style="1063"/>
    <col min="12289" max="12289" width="7.42578125" style="1063" customWidth="1"/>
    <col min="12290" max="12290" width="79.85546875" style="1063" customWidth="1"/>
    <col min="12291" max="12291" width="13.28515625" style="1063" customWidth="1"/>
    <col min="12292" max="12292" width="25.7109375" style="1063" customWidth="1"/>
    <col min="12293" max="12293" width="17.85546875" style="1063" customWidth="1"/>
    <col min="12294" max="12294" width="20.140625" style="1063" customWidth="1"/>
    <col min="12295" max="12295" width="11.28515625" style="1063" customWidth="1"/>
    <col min="12296" max="12544" width="9" style="1063"/>
    <col min="12545" max="12545" width="7.42578125" style="1063" customWidth="1"/>
    <col min="12546" max="12546" width="79.85546875" style="1063" customWidth="1"/>
    <col min="12547" max="12547" width="13.28515625" style="1063" customWidth="1"/>
    <col min="12548" max="12548" width="25.7109375" style="1063" customWidth="1"/>
    <col min="12549" max="12549" width="17.85546875" style="1063" customWidth="1"/>
    <col min="12550" max="12550" width="20.140625" style="1063" customWidth="1"/>
    <col min="12551" max="12551" width="11.28515625" style="1063" customWidth="1"/>
    <col min="12552" max="12800" width="9" style="1063"/>
    <col min="12801" max="12801" width="7.42578125" style="1063" customWidth="1"/>
    <col min="12802" max="12802" width="79.85546875" style="1063" customWidth="1"/>
    <col min="12803" max="12803" width="13.28515625" style="1063" customWidth="1"/>
    <col min="12804" max="12804" width="25.7109375" style="1063" customWidth="1"/>
    <col min="12805" max="12805" width="17.85546875" style="1063" customWidth="1"/>
    <col min="12806" max="12806" width="20.140625" style="1063" customWidth="1"/>
    <col min="12807" max="12807" width="11.28515625" style="1063" customWidth="1"/>
    <col min="12808" max="13056" width="9" style="1063"/>
    <col min="13057" max="13057" width="7.42578125" style="1063" customWidth="1"/>
    <col min="13058" max="13058" width="79.85546875" style="1063" customWidth="1"/>
    <col min="13059" max="13059" width="13.28515625" style="1063" customWidth="1"/>
    <col min="13060" max="13060" width="25.7109375" style="1063" customWidth="1"/>
    <col min="13061" max="13061" width="17.85546875" style="1063" customWidth="1"/>
    <col min="13062" max="13062" width="20.140625" style="1063" customWidth="1"/>
    <col min="13063" max="13063" width="11.28515625" style="1063" customWidth="1"/>
    <col min="13064" max="13312" width="9" style="1063"/>
    <col min="13313" max="13313" width="7.42578125" style="1063" customWidth="1"/>
    <col min="13314" max="13314" width="79.85546875" style="1063" customWidth="1"/>
    <col min="13315" max="13315" width="13.28515625" style="1063" customWidth="1"/>
    <col min="13316" max="13316" width="25.7109375" style="1063" customWidth="1"/>
    <col min="13317" max="13317" width="17.85546875" style="1063" customWidth="1"/>
    <col min="13318" max="13318" width="20.140625" style="1063" customWidth="1"/>
    <col min="13319" max="13319" width="11.28515625" style="1063" customWidth="1"/>
    <col min="13320" max="13568" width="9" style="1063"/>
    <col min="13569" max="13569" width="7.42578125" style="1063" customWidth="1"/>
    <col min="13570" max="13570" width="79.85546875" style="1063" customWidth="1"/>
    <col min="13571" max="13571" width="13.28515625" style="1063" customWidth="1"/>
    <col min="13572" max="13572" width="25.7109375" style="1063" customWidth="1"/>
    <col min="13573" max="13573" width="17.85546875" style="1063" customWidth="1"/>
    <col min="13574" max="13574" width="20.140625" style="1063" customWidth="1"/>
    <col min="13575" max="13575" width="11.28515625" style="1063" customWidth="1"/>
    <col min="13576" max="13824" width="9" style="1063"/>
    <col min="13825" max="13825" width="7.42578125" style="1063" customWidth="1"/>
    <col min="13826" max="13826" width="79.85546875" style="1063" customWidth="1"/>
    <col min="13827" max="13827" width="13.28515625" style="1063" customWidth="1"/>
    <col min="13828" max="13828" width="25.7109375" style="1063" customWidth="1"/>
    <col min="13829" max="13829" width="17.85546875" style="1063" customWidth="1"/>
    <col min="13830" max="13830" width="20.140625" style="1063" customWidth="1"/>
    <col min="13831" max="13831" width="11.28515625" style="1063" customWidth="1"/>
    <col min="13832" max="14080" width="9" style="1063"/>
    <col min="14081" max="14081" width="7.42578125" style="1063" customWidth="1"/>
    <col min="14082" max="14082" width="79.85546875" style="1063" customWidth="1"/>
    <col min="14083" max="14083" width="13.28515625" style="1063" customWidth="1"/>
    <col min="14084" max="14084" width="25.7109375" style="1063" customWidth="1"/>
    <col min="14085" max="14085" width="17.85546875" style="1063" customWidth="1"/>
    <col min="14086" max="14086" width="20.140625" style="1063" customWidth="1"/>
    <col min="14087" max="14087" width="11.28515625" style="1063" customWidth="1"/>
    <col min="14088" max="14336" width="9" style="1063"/>
    <col min="14337" max="14337" width="7.42578125" style="1063" customWidth="1"/>
    <col min="14338" max="14338" width="79.85546875" style="1063" customWidth="1"/>
    <col min="14339" max="14339" width="13.28515625" style="1063" customWidth="1"/>
    <col min="14340" max="14340" width="25.7109375" style="1063" customWidth="1"/>
    <col min="14341" max="14341" width="17.85546875" style="1063" customWidth="1"/>
    <col min="14342" max="14342" width="20.140625" style="1063" customWidth="1"/>
    <col min="14343" max="14343" width="11.28515625" style="1063" customWidth="1"/>
    <col min="14344" max="14592" width="9" style="1063"/>
    <col min="14593" max="14593" width="7.42578125" style="1063" customWidth="1"/>
    <col min="14594" max="14594" width="79.85546875" style="1063" customWidth="1"/>
    <col min="14595" max="14595" width="13.28515625" style="1063" customWidth="1"/>
    <col min="14596" max="14596" width="25.7109375" style="1063" customWidth="1"/>
    <col min="14597" max="14597" width="17.85546875" style="1063" customWidth="1"/>
    <col min="14598" max="14598" width="20.140625" style="1063" customWidth="1"/>
    <col min="14599" max="14599" width="11.28515625" style="1063" customWidth="1"/>
    <col min="14600" max="14848" width="9" style="1063"/>
    <col min="14849" max="14849" width="7.42578125" style="1063" customWidth="1"/>
    <col min="14850" max="14850" width="79.85546875" style="1063" customWidth="1"/>
    <col min="14851" max="14851" width="13.28515625" style="1063" customWidth="1"/>
    <col min="14852" max="14852" width="25.7109375" style="1063" customWidth="1"/>
    <col min="14853" max="14853" width="17.85546875" style="1063" customWidth="1"/>
    <col min="14854" max="14854" width="20.140625" style="1063" customWidth="1"/>
    <col min="14855" max="14855" width="11.28515625" style="1063" customWidth="1"/>
    <col min="14856" max="15104" width="9" style="1063"/>
    <col min="15105" max="15105" width="7.42578125" style="1063" customWidth="1"/>
    <col min="15106" max="15106" width="79.85546875" style="1063" customWidth="1"/>
    <col min="15107" max="15107" width="13.28515625" style="1063" customWidth="1"/>
    <col min="15108" max="15108" width="25.7109375" style="1063" customWidth="1"/>
    <col min="15109" max="15109" width="17.85546875" style="1063" customWidth="1"/>
    <col min="15110" max="15110" width="20.140625" style="1063" customWidth="1"/>
    <col min="15111" max="15111" width="11.28515625" style="1063" customWidth="1"/>
    <col min="15112" max="15360" width="9" style="1063"/>
    <col min="15361" max="15361" width="7.42578125" style="1063" customWidth="1"/>
    <col min="15362" max="15362" width="79.85546875" style="1063" customWidth="1"/>
    <col min="15363" max="15363" width="13.28515625" style="1063" customWidth="1"/>
    <col min="15364" max="15364" width="25.7109375" style="1063" customWidth="1"/>
    <col min="15365" max="15365" width="17.85546875" style="1063" customWidth="1"/>
    <col min="15366" max="15366" width="20.140625" style="1063" customWidth="1"/>
    <col min="15367" max="15367" width="11.28515625" style="1063" customWidth="1"/>
    <col min="15368" max="15616" width="9" style="1063"/>
    <col min="15617" max="15617" width="7.42578125" style="1063" customWidth="1"/>
    <col min="15618" max="15618" width="79.85546875" style="1063" customWidth="1"/>
    <col min="15619" max="15619" width="13.28515625" style="1063" customWidth="1"/>
    <col min="15620" max="15620" width="25.7109375" style="1063" customWidth="1"/>
    <col min="15621" max="15621" width="17.85546875" style="1063" customWidth="1"/>
    <col min="15622" max="15622" width="20.140625" style="1063" customWidth="1"/>
    <col min="15623" max="15623" width="11.28515625" style="1063" customWidth="1"/>
    <col min="15624" max="15872" width="9" style="1063"/>
    <col min="15873" max="15873" width="7.42578125" style="1063" customWidth="1"/>
    <col min="15874" max="15874" width="79.85546875" style="1063" customWidth="1"/>
    <col min="15875" max="15875" width="13.28515625" style="1063" customWidth="1"/>
    <col min="15876" max="15876" width="25.7109375" style="1063" customWidth="1"/>
    <col min="15877" max="15877" width="17.85546875" style="1063" customWidth="1"/>
    <col min="15878" max="15878" width="20.140625" style="1063" customWidth="1"/>
    <col min="15879" max="15879" width="11.28515625" style="1063" customWidth="1"/>
    <col min="15880" max="16128" width="9" style="1063"/>
    <col min="16129" max="16129" width="7.42578125" style="1063" customWidth="1"/>
    <col min="16130" max="16130" width="79.85546875" style="1063" customWidth="1"/>
    <col min="16131" max="16131" width="13.28515625" style="1063" customWidth="1"/>
    <col min="16132" max="16132" width="25.7109375" style="1063" customWidth="1"/>
    <col min="16133" max="16133" width="17.85546875" style="1063" customWidth="1"/>
    <col min="16134" max="16134" width="20.140625" style="1063" customWidth="1"/>
    <col min="16135" max="16135" width="11.28515625" style="1063" customWidth="1"/>
    <col min="16136" max="16384" width="9" style="1063"/>
  </cols>
  <sheetData>
    <row r="1" spans="1:6" ht="18.95" customHeight="1">
      <c r="A1" s="1329" t="s">
        <v>1049</v>
      </c>
      <c r="B1" s="1329"/>
      <c r="C1" s="1329"/>
      <c r="D1" s="1329"/>
      <c r="E1" s="1329"/>
      <c r="F1" s="1329"/>
    </row>
    <row r="2" spans="1:6" ht="18.95" customHeight="1">
      <c r="A2" s="1329" t="s">
        <v>1075</v>
      </c>
      <c r="B2" s="1329"/>
      <c r="C2" s="1329"/>
      <c r="D2" s="1329"/>
      <c r="E2" s="1329"/>
      <c r="F2" s="1329"/>
    </row>
    <row r="3" spans="1:6" ht="18.95" customHeight="1">
      <c r="A3" s="1329" t="s">
        <v>1050</v>
      </c>
      <c r="B3" s="1329"/>
      <c r="C3" s="1329"/>
      <c r="D3" s="1329"/>
      <c r="E3" s="1329"/>
      <c r="F3" s="1329"/>
    </row>
    <row r="4" spans="1:6" ht="18.95" customHeight="1">
      <c r="A4" s="1064" t="s">
        <v>426</v>
      </c>
      <c r="B4" s="1330" t="s">
        <v>946</v>
      </c>
      <c r="C4" s="1330" t="s">
        <v>1051</v>
      </c>
      <c r="D4" s="1064" t="s">
        <v>1052</v>
      </c>
      <c r="E4" s="1330" t="s">
        <v>1053</v>
      </c>
      <c r="F4" s="1330" t="s">
        <v>20</v>
      </c>
    </row>
    <row r="5" spans="1:6" ht="18.95" customHeight="1" thickBot="1">
      <c r="A5" s="1065"/>
      <c r="B5" s="1331"/>
      <c r="C5" s="1331"/>
      <c r="D5" s="1065" t="s">
        <v>1054</v>
      </c>
      <c r="E5" s="1331"/>
      <c r="F5" s="1331"/>
    </row>
    <row r="6" spans="1:6" ht="18.95" customHeight="1" thickTop="1">
      <c r="A6" s="1066">
        <v>1</v>
      </c>
      <c r="B6" s="1067" t="s">
        <v>1086</v>
      </c>
      <c r="C6" s="1068">
        <f>'ปร.5 (2)'!F19</f>
        <v>22887583.27</v>
      </c>
      <c r="D6" s="1066" t="s">
        <v>1076</v>
      </c>
      <c r="E6" s="1069" t="s">
        <v>1055</v>
      </c>
      <c r="F6" s="1067" t="s">
        <v>1078</v>
      </c>
    </row>
    <row r="7" spans="1:6" ht="18.95" customHeight="1">
      <c r="A7" s="1069"/>
      <c r="B7" s="1070" t="s">
        <v>1056</v>
      </c>
      <c r="C7" s="1071"/>
      <c r="D7" s="1069" t="s">
        <v>1057</v>
      </c>
      <c r="E7" s="1069"/>
      <c r="F7" s="1070" t="s">
        <v>1079</v>
      </c>
    </row>
    <row r="8" spans="1:6" ht="18.95" customHeight="1">
      <c r="A8" s="1069"/>
      <c r="B8" s="1070"/>
      <c r="C8" s="1071"/>
      <c r="D8" s="1069"/>
      <c r="E8" s="1070"/>
      <c r="F8" s="1070" t="s">
        <v>1077</v>
      </c>
    </row>
    <row r="9" spans="1:6" ht="18.95" customHeight="1">
      <c r="A9" s="1069"/>
      <c r="B9" s="1072"/>
      <c r="C9" s="1071"/>
      <c r="D9" s="1069"/>
      <c r="E9" s="1070"/>
      <c r="F9" s="1070"/>
    </row>
    <row r="10" spans="1:6" ht="18.95" customHeight="1">
      <c r="A10" s="1069"/>
      <c r="B10" s="1072" t="s">
        <v>1058</v>
      </c>
      <c r="C10" s="1071"/>
      <c r="D10" s="1069"/>
      <c r="E10" s="1070"/>
      <c r="F10" s="1073" t="s">
        <v>1059</v>
      </c>
    </row>
    <row r="11" spans="1:6" ht="18.95" customHeight="1">
      <c r="A11" s="1069"/>
      <c r="B11" s="1070" t="s">
        <v>1060</v>
      </c>
      <c r="C11" s="1071"/>
      <c r="D11" s="1069"/>
      <c r="E11" s="1070"/>
      <c r="F11" s="1069" t="s">
        <v>1061</v>
      </c>
    </row>
    <row r="12" spans="1:6" ht="18.95" customHeight="1">
      <c r="A12" s="1069"/>
      <c r="B12" s="1070" t="s">
        <v>1062</v>
      </c>
      <c r="C12" s="1071"/>
      <c r="D12" s="1069"/>
      <c r="E12" s="1070"/>
      <c r="F12" s="1069" t="s">
        <v>1063</v>
      </c>
    </row>
    <row r="13" spans="1:6" ht="18.95" customHeight="1">
      <c r="A13" s="1069"/>
      <c r="B13" s="1070" t="s">
        <v>1088</v>
      </c>
      <c r="C13" s="1071"/>
      <c r="D13" s="1069"/>
      <c r="E13" s="1070"/>
      <c r="F13" s="1070"/>
    </row>
    <row r="14" spans="1:6" ht="18.95" customHeight="1">
      <c r="A14" s="1069"/>
      <c r="B14" s="1070" t="s">
        <v>1089</v>
      </c>
      <c r="C14" s="1071"/>
      <c r="D14" s="1069"/>
      <c r="E14" s="1070"/>
      <c r="F14" s="1073" t="s">
        <v>1064</v>
      </c>
    </row>
    <row r="15" spans="1:6" ht="18.95" customHeight="1">
      <c r="A15" s="1069"/>
      <c r="B15" s="1070"/>
      <c r="C15" s="1071"/>
      <c r="D15" s="1069"/>
      <c r="E15" s="1069"/>
      <c r="F15" s="1074" t="s">
        <v>1065</v>
      </c>
    </row>
    <row r="16" spans="1:6" ht="18.95" customHeight="1">
      <c r="A16" s="1069"/>
      <c r="B16" s="1072"/>
      <c r="C16" s="1071"/>
      <c r="D16" s="1069"/>
      <c r="E16" s="1069"/>
      <c r="F16" s="1069" t="s">
        <v>1066</v>
      </c>
    </row>
    <row r="17" spans="1:21" ht="18.95" customHeight="1">
      <c r="A17" s="1069"/>
      <c r="B17" s="1072" t="s">
        <v>1067</v>
      </c>
      <c r="C17" s="1071"/>
      <c r="D17" s="1069"/>
      <c r="E17" s="1070"/>
      <c r="F17" s="1075"/>
      <c r="H17" s="1076"/>
      <c r="I17" s="1077"/>
      <c r="J17" s="1078"/>
      <c r="K17" s="1079"/>
      <c r="L17" s="1080"/>
      <c r="M17" s="1076"/>
      <c r="N17" s="1081"/>
      <c r="O17" s="1082"/>
      <c r="P17" s="1083"/>
      <c r="Q17" s="1076"/>
      <c r="R17" s="1076"/>
      <c r="S17" s="1084"/>
      <c r="T17" s="1085"/>
      <c r="U17" s="1086"/>
    </row>
    <row r="18" spans="1:21" ht="18.95" customHeight="1">
      <c r="A18" s="1069"/>
      <c r="B18" s="1070" t="s">
        <v>1087</v>
      </c>
      <c r="C18" s="1071"/>
      <c r="D18" s="1069"/>
      <c r="E18" s="1069"/>
      <c r="F18" s="1069"/>
      <c r="H18" s="1076"/>
      <c r="I18" s="1077"/>
      <c r="J18" s="1078"/>
      <c r="K18" s="1079"/>
      <c r="L18" s="1080"/>
      <c r="M18" s="1076"/>
      <c r="N18" s="1081"/>
      <c r="O18" s="1082"/>
      <c r="P18" s="1083"/>
      <c r="Q18" s="1076"/>
      <c r="R18" s="1076"/>
      <c r="S18" s="1084"/>
      <c r="T18" s="1085"/>
      <c r="U18" s="1086"/>
    </row>
    <row r="19" spans="1:21" ht="18.95" customHeight="1">
      <c r="A19" s="1069"/>
      <c r="B19" s="1070" t="s">
        <v>1084</v>
      </c>
      <c r="C19" s="1070"/>
      <c r="D19" s="1070"/>
      <c r="E19" s="1070"/>
      <c r="F19" s="1069"/>
      <c r="H19" s="1076">
        <f>8*3100</f>
        <v>24800</v>
      </c>
      <c r="I19" s="1077"/>
      <c r="J19" s="1078"/>
      <c r="K19" s="1079"/>
      <c r="L19" s="1080"/>
      <c r="M19" s="1076"/>
      <c r="N19" s="1081"/>
      <c r="O19" s="1082"/>
      <c r="P19" s="1083"/>
      <c r="Q19" s="1076"/>
      <c r="R19" s="1076"/>
      <c r="S19" s="1084"/>
      <c r="T19" s="1085"/>
      <c r="U19" s="1086"/>
    </row>
    <row r="20" spans="1:21" ht="18.95" customHeight="1">
      <c r="A20" s="1069"/>
      <c r="B20" s="1070" t="s">
        <v>1090</v>
      </c>
      <c r="C20" s="1070"/>
      <c r="D20" s="1070"/>
      <c r="E20" s="1070"/>
      <c r="F20" s="1070"/>
      <c r="H20" s="1076"/>
      <c r="I20" s="1062"/>
      <c r="J20" s="1080"/>
      <c r="K20" s="1062"/>
      <c r="L20" s="1080"/>
      <c r="M20" s="1086"/>
      <c r="N20" s="1081"/>
      <c r="O20" s="1087"/>
      <c r="P20" s="1088"/>
      <c r="Q20" s="1082"/>
      <c r="R20" s="1082"/>
      <c r="S20" s="1086"/>
      <c r="T20" s="1076"/>
      <c r="U20" s="1086"/>
    </row>
    <row r="21" spans="1:21" ht="18.95" customHeight="1">
      <c r="A21" s="1069"/>
      <c r="B21" s="1070"/>
      <c r="C21" s="1070"/>
      <c r="D21" s="1070"/>
      <c r="E21" s="1070"/>
      <c r="F21" s="1073"/>
      <c r="H21" s="1076">
        <f>8*1000</f>
        <v>8000</v>
      </c>
      <c r="I21" s="1077"/>
      <c r="J21" s="1078"/>
      <c r="K21" s="1079"/>
      <c r="L21" s="1080"/>
      <c r="M21" s="1076"/>
      <c r="N21" s="1081"/>
      <c r="O21" s="1082"/>
      <c r="P21" s="1083"/>
      <c r="Q21" s="1076"/>
      <c r="R21" s="1086"/>
      <c r="S21" s="1082"/>
      <c r="T21" s="1085"/>
      <c r="U21" s="1086"/>
    </row>
    <row r="22" spans="1:21" ht="18.95" customHeight="1">
      <c r="A22" s="1069"/>
      <c r="B22" s="1070"/>
      <c r="C22" s="1070"/>
      <c r="D22" s="1070"/>
      <c r="E22" s="1070"/>
      <c r="F22" s="1073"/>
      <c r="H22" s="1076"/>
      <c r="I22" s="1077"/>
      <c r="J22" s="1078"/>
      <c r="K22" s="1079"/>
      <c r="L22" s="1080"/>
      <c r="M22" s="1076"/>
      <c r="N22" s="1081"/>
      <c r="O22" s="1082"/>
      <c r="P22" s="1083"/>
      <c r="Q22" s="1076"/>
      <c r="R22" s="1086"/>
      <c r="S22" s="1082"/>
      <c r="T22" s="1085"/>
      <c r="U22" s="1086"/>
    </row>
    <row r="23" spans="1:21" ht="18.95" customHeight="1">
      <c r="A23" s="1069"/>
      <c r="B23" s="1070"/>
      <c r="C23" s="1070"/>
      <c r="D23" s="1070"/>
      <c r="E23" s="1070"/>
      <c r="F23" s="1070"/>
      <c r="H23" s="1076">
        <f>8*1690</f>
        <v>13520</v>
      </c>
      <c r="I23" s="1062"/>
      <c r="J23" s="1080"/>
      <c r="K23" s="1062"/>
      <c r="L23" s="1080"/>
      <c r="M23" s="1086"/>
      <c r="N23" s="1081"/>
      <c r="O23" s="1087"/>
      <c r="P23" s="1088"/>
      <c r="Q23" s="1082"/>
      <c r="R23" s="1082"/>
      <c r="S23" s="1086"/>
      <c r="T23" s="1076"/>
      <c r="U23" s="1086"/>
    </row>
    <row r="24" spans="1:21" ht="18.95" customHeight="1">
      <c r="A24" s="1069"/>
      <c r="B24" s="1070"/>
      <c r="C24" s="1070"/>
      <c r="D24" s="1070"/>
      <c r="E24" s="1070"/>
      <c r="F24" s="1073"/>
      <c r="H24" s="1076">
        <v>100</v>
      </c>
      <c r="I24" s="1077"/>
      <c r="J24" s="1078"/>
      <c r="K24" s="1079"/>
      <c r="L24" s="1080"/>
      <c r="M24" s="1076"/>
      <c r="N24" s="1081"/>
      <c r="O24" s="1082"/>
      <c r="P24" s="1083"/>
      <c r="Q24" s="1076"/>
      <c r="R24" s="1086"/>
      <c r="S24" s="1082"/>
      <c r="T24" s="1085"/>
      <c r="U24" s="1086"/>
    </row>
    <row r="25" spans="1:21" ht="18.95" customHeight="1">
      <c r="A25" s="1069"/>
      <c r="B25" s="1070"/>
      <c r="C25" s="1070"/>
      <c r="D25" s="1070"/>
      <c r="E25" s="1070"/>
      <c r="F25" s="1073"/>
      <c r="H25" s="1076">
        <f>SUM(H19:H24)</f>
        <v>46420</v>
      </c>
      <c r="I25" s="1077"/>
      <c r="J25" s="1078"/>
      <c r="K25" s="1079"/>
      <c r="L25" s="1080"/>
      <c r="M25" s="1076"/>
      <c r="N25" s="1081"/>
      <c r="O25" s="1082"/>
      <c r="P25" s="1083"/>
      <c r="Q25" s="1076"/>
      <c r="R25" s="1086"/>
      <c r="S25" s="1082"/>
      <c r="T25" s="1085"/>
      <c r="U25" s="1086"/>
    </row>
    <row r="26" spans="1:21" ht="18.95" customHeight="1">
      <c r="A26" s="1069"/>
      <c r="B26" s="1070"/>
      <c r="C26" s="1070"/>
      <c r="D26" s="1070"/>
      <c r="E26" s="1070"/>
      <c r="F26" s="1070"/>
      <c r="H26" s="1076"/>
      <c r="I26" s="1062"/>
      <c r="J26" s="1080"/>
      <c r="K26" s="1062"/>
      <c r="L26" s="1080"/>
      <c r="M26" s="1086"/>
      <c r="N26" s="1081"/>
      <c r="O26" s="1087"/>
      <c r="P26" s="1088"/>
      <c r="Q26" s="1082"/>
      <c r="R26" s="1082"/>
      <c r="S26" s="1086"/>
      <c r="T26" s="1076"/>
      <c r="U26" s="1086"/>
    </row>
    <row r="27" spans="1:21" ht="18.95" customHeight="1">
      <c r="A27" s="1069"/>
      <c r="B27" s="1089"/>
      <c r="C27" s="1070"/>
      <c r="D27" s="1070"/>
      <c r="E27" s="1070"/>
      <c r="F27" s="1073"/>
      <c r="H27" s="1076"/>
      <c r="I27" s="1077"/>
      <c r="J27" s="1078"/>
      <c r="K27" s="1079"/>
      <c r="L27" s="1080"/>
      <c r="M27" s="1076"/>
      <c r="N27" s="1081"/>
      <c r="O27" s="1082"/>
      <c r="P27" s="1083"/>
      <c r="Q27" s="1076"/>
      <c r="R27" s="1086"/>
      <c r="S27" s="1082"/>
      <c r="T27" s="1085"/>
      <c r="U27" s="1086"/>
    </row>
    <row r="28" spans="1:21" ht="18.95" customHeight="1">
      <c r="A28" s="1090"/>
      <c r="B28" s="1091"/>
      <c r="C28" s="1092"/>
      <c r="D28" s="1092"/>
      <c r="E28" s="1092"/>
      <c r="F28" s="1090"/>
      <c r="H28" s="1093"/>
      <c r="I28" s="1077"/>
      <c r="J28" s="1078"/>
      <c r="K28" s="1079"/>
      <c r="L28" s="1080"/>
      <c r="M28" s="1076"/>
      <c r="N28" s="1081"/>
      <c r="O28" s="1082"/>
      <c r="P28" s="1083"/>
      <c r="Q28" s="1076"/>
      <c r="R28" s="1086"/>
      <c r="S28" s="1084"/>
      <c r="T28" s="1085"/>
      <c r="U28" s="1086"/>
    </row>
    <row r="29" spans="1:21" ht="18.95" customHeight="1">
      <c r="A29" s="1062"/>
      <c r="B29" s="1094"/>
      <c r="C29" s="1086"/>
      <c r="D29" s="1086"/>
      <c r="E29" s="1086"/>
      <c r="F29" s="1062"/>
      <c r="H29" s="1093"/>
      <c r="I29" s="1077"/>
      <c r="J29" s="1078"/>
      <c r="K29" s="1079"/>
      <c r="L29" s="1080"/>
      <c r="M29" s="1076"/>
      <c r="N29" s="1081"/>
      <c r="O29" s="1082"/>
      <c r="P29" s="1083"/>
      <c r="Q29" s="1076"/>
      <c r="R29" s="1086"/>
      <c r="S29" s="1084"/>
      <c r="T29" s="1085"/>
      <c r="U29" s="1086"/>
    </row>
    <row r="30" spans="1:21" ht="18.95" customHeight="1">
      <c r="A30" s="1086"/>
      <c r="B30" s="1062"/>
      <c r="C30" s="1062"/>
      <c r="D30" s="1062" t="s">
        <v>1068</v>
      </c>
      <c r="E30" s="1062"/>
      <c r="F30" s="1086"/>
      <c r="H30" s="1076"/>
      <c r="I30" s="1076"/>
      <c r="J30" s="1076"/>
      <c r="K30" s="1076"/>
      <c r="L30" s="1076"/>
      <c r="M30" s="1076"/>
      <c r="N30" s="1095"/>
      <c r="O30" s="1076"/>
      <c r="P30" s="1076"/>
      <c r="Q30" s="1076"/>
      <c r="R30" s="1076"/>
      <c r="S30" s="1076"/>
      <c r="T30" s="1076"/>
      <c r="U30" s="1076"/>
    </row>
    <row r="31" spans="1:21" ht="18.95" customHeight="1">
      <c r="A31" s="1086"/>
      <c r="B31" s="1062"/>
      <c r="C31" s="1086"/>
      <c r="D31" s="1062" t="s">
        <v>1069</v>
      </c>
      <c r="E31" s="1086"/>
    </row>
    <row r="32" spans="1:21" ht="18.95" customHeight="1">
      <c r="A32" s="1086"/>
      <c r="B32" s="1062"/>
      <c r="C32" s="1086"/>
      <c r="D32" s="1062" t="s">
        <v>841</v>
      </c>
      <c r="E32" s="1086"/>
    </row>
  </sheetData>
  <mergeCells count="7">
    <mergeCell ref="A1:F1"/>
    <mergeCell ref="A2:F2"/>
    <mergeCell ref="A3:F3"/>
    <mergeCell ref="B4:B5"/>
    <mergeCell ref="C4:C5"/>
    <mergeCell ref="E4:E5"/>
    <mergeCell ref="F4:F5"/>
  </mergeCells>
  <pageMargins left="0.7" right="0.7" top="0.75" bottom="0.75" header="0.3" footer="0.3"/>
  <pageSetup paperSize="9" scale="85" orientation="landscape" verticalDpi="597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view="pageBreakPreview" zoomScale="80" zoomScaleNormal="70" zoomScaleSheetLayoutView="80" workbookViewId="0">
      <selection activeCell="E15" sqref="E15"/>
    </sheetView>
  </sheetViews>
  <sheetFormatPr defaultColWidth="9.140625" defaultRowHeight="20.25"/>
  <cols>
    <col min="1" max="1" width="5.5703125" style="1026" customWidth="1"/>
    <col min="2" max="2" width="43" style="1026" bestFit="1" customWidth="1"/>
    <col min="3" max="3" width="12.140625" style="1026" customWidth="1"/>
    <col min="4" max="4" width="8.7109375" style="1026" customWidth="1"/>
    <col min="5" max="5" width="12.7109375" style="1026" bestFit="1" customWidth="1"/>
    <col min="6" max="6" width="27.140625" style="1026" bestFit="1" customWidth="1"/>
    <col min="7" max="7" width="21.140625" style="1026" bestFit="1" customWidth="1"/>
    <col min="8" max="8" width="15.140625" style="1026" bestFit="1" customWidth="1"/>
    <col min="9" max="16384" width="9.140625" style="317"/>
  </cols>
  <sheetData>
    <row r="1" spans="1:8" s="981" customFormat="1" ht="60.75">
      <c r="A1" s="982" t="s">
        <v>0</v>
      </c>
      <c r="B1" s="1332" t="s">
        <v>508</v>
      </c>
      <c r="C1" s="1332"/>
      <c r="D1" s="982" t="s">
        <v>25</v>
      </c>
      <c r="E1" s="983" t="s">
        <v>1039</v>
      </c>
      <c r="F1" s="984"/>
      <c r="G1" s="985"/>
      <c r="H1" s="985"/>
    </row>
    <row r="2" spans="1:8">
      <c r="A2" s="990">
        <v>1</v>
      </c>
      <c r="B2" s="986" t="s">
        <v>226</v>
      </c>
      <c r="C2" s="987"/>
      <c r="D2" s="991" t="s">
        <v>34</v>
      </c>
      <c r="E2" s="1028">
        <v>46.73</v>
      </c>
      <c r="F2" s="1029"/>
      <c r="G2" s="1030"/>
      <c r="H2" s="1031"/>
    </row>
    <row r="3" spans="1:8">
      <c r="A3" s="1005">
        <v>2</v>
      </c>
      <c r="B3" s="1027" t="s">
        <v>1040</v>
      </c>
      <c r="C3" s="1007"/>
      <c r="D3" s="1008" t="s">
        <v>34</v>
      </c>
      <c r="E3" s="1032">
        <v>46.73</v>
      </c>
      <c r="F3" s="1009"/>
      <c r="G3" s="1033"/>
      <c r="H3" s="1010"/>
    </row>
    <row r="4" spans="1:8">
      <c r="A4" s="990">
        <v>3</v>
      </c>
      <c r="B4" s="986" t="s">
        <v>72</v>
      </c>
      <c r="C4" s="987"/>
      <c r="D4" s="991" t="s">
        <v>34</v>
      </c>
      <c r="E4" s="1028">
        <v>112</v>
      </c>
      <c r="F4" s="992" t="s">
        <v>1004</v>
      </c>
      <c r="G4" s="1002" t="s">
        <v>425</v>
      </c>
      <c r="H4" s="993" t="s">
        <v>1013</v>
      </c>
    </row>
    <row r="5" spans="1:8">
      <c r="A5" s="994">
        <v>4</v>
      </c>
      <c r="B5" s="995" t="s">
        <v>512</v>
      </c>
      <c r="C5" s="996"/>
      <c r="D5" s="997" t="s">
        <v>34</v>
      </c>
      <c r="E5" s="1034">
        <v>274.77300000000002</v>
      </c>
      <c r="F5" s="998" t="s">
        <v>1004</v>
      </c>
      <c r="G5" s="1002">
        <v>45147</v>
      </c>
      <c r="H5" s="999"/>
    </row>
    <row r="6" spans="1:8">
      <c r="A6" s="994">
        <v>5</v>
      </c>
      <c r="B6" s="995" t="s">
        <v>511</v>
      </c>
      <c r="C6" s="1000"/>
      <c r="D6" s="997" t="s">
        <v>34</v>
      </c>
      <c r="E6" s="1034">
        <v>290</v>
      </c>
      <c r="F6" s="998" t="s">
        <v>1004</v>
      </c>
      <c r="G6" s="1002">
        <v>45147</v>
      </c>
      <c r="H6" s="999"/>
    </row>
    <row r="7" spans="1:8">
      <c r="A7" s="994">
        <v>6</v>
      </c>
      <c r="B7" s="995" t="s">
        <v>513</v>
      </c>
      <c r="C7" s="996"/>
      <c r="D7" s="997" t="s">
        <v>34</v>
      </c>
      <c r="E7" s="1034">
        <v>180</v>
      </c>
      <c r="F7" s="998" t="s">
        <v>1004</v>
      </c>
      <c r="G7" s="1002">
        <v>45147</v>
      </c>
      <c r="H7" s="999"/>
    </row>
    <row r="8" spans="1:8">
      <c r="A8" s="994">
        <v>7</v>
      </c>
      <c r="B8" s="1001" t="s">
        <v>1026</v>
      </c>
      <c r="C8" s="996"/>
      <c r="D8" s="997" t="s">
        <v>34</v>
      </c>
      <c r="E8" s="1034">
        <v>90.75</v>
      </c>
      <c r="F8" s="998" t="s">
        <v>1004</v>
      </c>
      <c r="G8" s="1002">
        <v>45147</v>
      </c>
      <c r="H8" s="999"/>
    </row>
    <row r="9" spans="1:8">
      <c r="A9" s="994">
        <v>8</v>
      </c>
      <c r="B9" s="995" t="s">
        <v>510</v>
      </c>
      <c r="C9" s="996"/>
      <c r="D9" s="997" t="s">
        <v>34</v>
      </c>
      <c r="E9" s="1034">
        <v>290</v>
      </c>
      <c r="F9" s="998" t="s">
        <v>1004</v>
      </c>
      <c r="G9" s="1002">
        <v>45147</v>
      </c>
      <c r="H9" s="999"/>
    </row>
    <row r="10" spans="1:8">
      <c r="A10" s="1005">
        <v>9</v>
      </c>
      <c r="B10" s="1035" t="s">
        <v>509</v>
      </c>
      <c r="C10" s="1007"/>
      <c r="D10" s="1008" t="s">
        <v>34</v>
      </c>
      <c r="E10" s="1032">
        <v>46.73</v>
      </c>
      <c r="F10" s="1036" t="s">
        <v>1004</v>
      </c>
      <c r="G10" s="1002">
        <v>45147</v>
      </c>
      <c r="H10" s="1037"/>
    </row>
    <row r="11" spans="1:8">
      <c r="A11" s="1039">
        <v>10</v>
      </c>
      <c r="B11" s="1040" t="s">
        <v>516</v>
      </c>
      <c r="C11" s="1041"/>
      <c r="D11" s="1042" t="s">
        <v>103</v>
      </c>
      <c r="E11" s="1043">
        <v>25000</v>
      </c>
      <c r="F11" s="1044" t="s">
        <v>1005</v>
      </c>
      <c r="G11" s="1002">
        <v>45147</v>
      </c>
      <c r="H11" s="1045" t="s">
        <v>1013</v>
      </c>
    </row>
    <row r="12" spans="1:8">
      <c r="A12" s="1046">
        <v>11</v>
      </c>
      <c r="B12" s="1047" t="s">
        <v>145</v>
      </c>
      <c r="C12" s="1048"/>
      <c r="D12" s="1049" t="s">
        <v>103</v>
      </c>
      <c r="E12" s="1050">
        <v>26100</v>
      </c>
      <c r="F12" s="1051" t="s">
        <v>1005</v>
      </c>
      <c r="G12" s="1002">
        <v>45147</v>
      </c>
      <c r="H12" s="1052"/>
    </row>
    <row r="13" spans="1:8">
      <c r="A13" s="1046">
        <v>12</v>
      </c>
      <c r="B13" s="1047" t="s">
        <v>514</v>
      </c>
      <c r="C13" s="1048"/>
      <c r="D13" s="1049" t="s">
        <v>103</v>
      </c>
      <c r="E13" s="1050">
        <v>26300</v>
      </c>
      <c r="F13" s="1051" t="s">
        <v>1005</v>
      </c>
      <c r="G13" s="1002">
        <v>45147</v>
      </c>
      <c r="H13" s="1052"/>
    </row>
    <row r="14" spans="1:8">
      <c r="A14" s="1053">
        <v>13</v>
      </c>
      <c r="B14" s="1054" t="s">
        <v>515</v>
      </c>
      <c r="C14" s="1055"/>
      <c r="D14" s="1056" t="s">
        <v>103</v>
      </c>
      <c r="E14" s="1057">
        <v>25900</v>
      </c>
      <c r="F14" s="1058" t="s">
        <v>1005</v>
      </c>
      <c r="G14" s="1002">
        <v>45147</v>
      </c>
      <c r="H14" s="1059"/>
    </row>
    <row r="15" spans="1:8">
      <c r="A15" s="990">
        <v>14</v>
      </c>
      <c r="B15" s="986" t="s">
        <v>551</v>
      </c>
      <c r="C15" s="987"/>
      <c r="D15" s="991" t="s">
        <v>103</v>
      </c>
      <c r="E15" s="1028">
        <v>2903.43</v>
      </c>
      <c r="F15" s="1029" t="s">
        <v>1006</v>
      </c>
      <c r="G15" s="1002">
        <v>45147</v>
      </c>
      <c r="H15" s="993" t="s">
        <v>1013</v>
      </c>
    </row>
    <row r="16" spans="1:8">
      <c r="A16" s="1005">
        <v>15</v>
      </c>
      <c r="B16" s="1006" t="s">
        <v>518</v>
      </c>
      <c r="C16" s="1007"/>
      <c r="D16" s="1008" t="s">
        <v>34</v>
      </c>
      <c r="E16" s="1032">
        <v>432.24</v>
      </c>
      <c r="F16" s="1009" t="s">
        <v>1006</v>
      </c>
      <c r="G16" s="1002">
        <v>45147</v>
      </c>
      <c r="H16" s="1010"/>
    </row>
    <row r="17" spans="1:8">
      <c r="A17" s="1038">
        <v>16</v>
      </c>
      <c r="B17" s="1003" t="s">
        <v>517</v>
      </c>
      <c r="C17" s="1004"/>
      <c r="D17" s="988" t="s">
        <v>34</v>
      </c>
      <c r="E17" s="1011">
        <v>112.15</v>
      </c>
      <c r="F17" s="1012"/>
      <c r="G17" s="949"/>
      <c r="H17" s="989"/>
    </row>
    <row r="18" spans="1:8">
      <c r="A18" s="994">
        <v>17</v>
      </c>
      <c r="B18" s="995" t="s">
        <v>519</v>
      </c>
      <c r="C18" s="996"/>
      <c r="D18" s="997" t="s">
        <v>520</v>
      </c>
      <c r="E18" s="1013">
        <v>38</v>
      </c>
      <c r="F18" s="1012"/>
      <c r="G18" s="949"/>
      <c r="H18" s="989"/>
    </row>
    <row r="19" spans="1:8">
      <c r="A19" s="994">
        <v>18</v>
      </c>
      <c r="B19" s="995" t="s">
        <v>521</v>
      </c>
      <c r="C19" s="996"/>
      <c r="D19" s="997" t="s">
        <v>520</v>
      </c>
      <c r="E19" s="1013">
        <v>73.209999999999994</v>
      </c>
      <c r="F19" s="1012"/>
      <c r="G19" s="949"/>
      <c r="H19" s="989"/>
    </row>
    <row r="20" spans="1:8">
      <c r="A20" s="994">
        <v>19</v>
      </c>
      <c r="B20" s="995" t="s">
        <v>522</v>
      </c>
      <c r="C20" s="996"/>
      <c r="D20" s="997" t="s">
        <v>523</v>
      </c>
      <c r="E20" s="1014">
        <v>457.01</v>
      </c>
      <c r="F20" s="1012"/>
      <c r="G20" s="949"/>
      <c r="H20" s="989"/>
    </row>
    <row r="21" spans="1:8">
      <c r="A21" s="994">
        <v>20</v>
      </c>
      <c r="B21" s="995" t="s">
        <v>524</v>
      </c>
      <c r="C21" s="996"/>
      <c r="D21" s="997" t="s">
        <v>33</v>
      </c>
      <c r="E21" s="1015">
        <v>290</v>
      </c>
      <c r="F21" s="1012" t="s">
        <v>1007</v>
      </c>
      <c r="G21" s="949"/>
      <c r="H21" s="989"/>
    </row>
    <row r="22" spans="1:8">
      <c r="A22" s="994">
        <v>21</v>
      </c>
      <c r="B22" s="995" t="s">
        <v>713</v>
      </c>
      <c r="C22" s="996"/>
      <c r="D22" s="1016" t="s">
        <v>33</v>
      </c>
      <c r="E22" s="1015">
        <v>450</v>
      </c>
      <c r="F22" s="1012" t="s">
        <v>1007</v>
      </c>
      <c r="G22" s="949"/>
      <c r="H22" s="989"/>
    </row>
    <row r="23" spans="1:8">
      <c r="A23" s="994">
        <v>22</v>
      </c>
      <c r="B23" s="1003" t="s">
        <v>526</v>
      </c>
      <c r="C23" s="1004"/>
      <c r="D23" s="997" t="s">
        <v>527</v>
      </c>
      <c r="E23" s="1014">
        <v>450</v>
      </c>
      <c r="F23" s="1012" t="s">
        <v>525</v>
      </c>
      <c r="G23" s="949"/>
      <c r="H23" s="989"/>
    </row>
    <row r="24" spans="1:8">
      <c r="A24" s="1005">
        <v>23</v>
      </c>
      <c r="B24" s="1017" t="s">
        <v>528</v>
      </c>
      <c r="C24" s="1018"/>
      <c r="D24" s="1019" t="s">
        <v>34</v>
      </c>
      <c r="E24" s="1020">
        <v>197</v>
      </c>
      <c r="F24" s="1021"/>
      <c r="G24" s="1022"/>
      <c r="H24" s="1023"/>
    </row>
    <row r="25" spans="1:8">
      <c r="A25" s="949"/>
      <c r="B25" s="949"/>
      <c r="C25" s="949"/>
      <c r="D25" s="1024"/>
      <c r="E25" s="1025"/>
      <c r="F25" s="949"/>
      <c r="G25" s="949"/>
      <c r="H25" s="949"/>
    </row>
    <row r="26" spans="1:8">
      <c r="A26" s="949"/>
      <c r="B26" s="949"/>
      <c r="C26" s="949"/>
      <c r="D26" s="1024"/>
      <c r="E26" s="1025"/>
      <c r="F26" s="949"/>
      <c r="G26" s="949"/>
      <c r="H26" s="949"/>
    </row>
    <row r="27" spans="1:8">
      <c r="A27" s="949"/>
      <c r="B27" s="949"/>
      <c r="C27" s="949"/>
      <c r="D27" s="1024"/>
      <c r="E27" s="1025"/>
      <c r="F27" s="949"/>
      <c r="G27" s="949"/>
      <c r="H27" s="949"/>
    </row>
    <row r="28" spans="1:8">
      <c r="A28" s="949"/>
      <c r="B28" s="949"/>
      <c r="C28" s="949"/>
      <c r="D28" s="1024"/>
      <c r="E28" s="1025"/>
      <c r="F28" s="949"/>
      <c r="G28" s="949"/>
      <c r="H28" s="949"/>
    </row>
    <row r="29" spans="1:8">
      <c r="A29" s="949"/>
      <c r="B29" s="949"/>
      <c r="C29" s="949"/>
      <c r="D29" s="1024"/>
      <c r="E29" s="1025"/>
      <c r="F29" s="949"/>
      <c r="G29" s="949"/>
      <c r="H29" s="949"/>
    </row>
    <row r="30" spans="1:8">
      <c r="A30" s="949"/>
      <c r="B30" s="949"/>
      <c r="C30" s="949"/>
      <c r="D30" s="1024"/>
      <c r="E30" s="1025"/>
      <c r="F30" s="949"/>
      <c r="G30" s="949"/>
      <c r="H30" s="949"/>
    </row>
    <row r="31" spans="1:8">
      <c r="A31" s="949"/>
      <c r="B31" s="949"/>
      <c r="C31" s="949"/>
      <c r="D31" s="1024"/>
      <c r="E31" s="1025"/>
      <c r="F31" s="949"/>
      <c r="G31" s="949"/>
      <c r="H31" s="949"/>
    </row>
    <row r="32" spans="1:8">
      <c r="A32" s="949"/>
      <c r="B32" s="949"/>
      <c r="C32" s="949"/>
      <c r="D32" s="1024"/>
      <c r="E32" s="1025"/>
      <c r="F32" s="949"/>
      <c r="G32" s="949"/>
      <c r="H32" s="949"/>
    </row>
    <row r="33" spans="1:8">
      <c r="A33" s="949"/>
      <c r="B33" s="949"/>
      <c r="C33" s="949"/>
      <c r="D33" s="1024"/>
      <c r="E33" s="1025"/>
      <c r="F33" s="949"/>
      <c r="G33" s="949"/>
      <c r="H33" s="949"/>
    </row>
    <row r="34" spans="1:8">
      <c r="A34" s="949"/>
      <c r="B34" s="949"/>
      <c r="C34" s="949"/>
      <c r="D34" s="1024"/>
      <c r="E34" s="1025"/>
      <c r="F34" s="949"/>
      <c r="G34" s="949"/>
      <c r="H34" s="949"/>
    </row>
    <row r="35" spans="1:8">
      <c r="A35" s="949"/>
      <c r="B35" s="949"/>
      <c r="C35" s="949"/>
      <c r="D35" s="1024"/>
      <c r="E35" s="1025"/>
      <c r="F35" s="949"/>
      <c r="G35" s="949"/>
      <c r="H35" s="949"/>
    </row>
    <row r="36" spans="1:8">
      <c r="A36" s="949"/>
      <c r="B36" s="949"/>
      <c r="C36" s="949"/>
      <c r="D36" s="949"/>
      <c r="E36" s="1025"/>
      <c r="F36" s="949"/>
      <c r="G36" s="949"/>
      <c r="H36" s="949"/>
    </row>
    <row r="37" spans="1:8">
      <c r="A37" s="949"/>
      <c r="B37" s="949"/>
      <c r="C37" s="949"/>
      <c r="D37" s="949"/>
      <c r="E37" s="1025"/>
      <c r="F37" s="949"/>
      <c r="G37" s="949"/>
      <c r="H37" s="949"/>
    </row>
    <row r="38" spans="1:8">
      <c r="A38" s="949"/>
      <c r="B38" s="949"/>
      <c r="C38" s="949"/>
      <c r="D38" s="949"/>
      <c r="E38" s="1025"/>
      <c r="F38" s="949"/>
      <c r="G38" s="949"/>
      <c r="H38" s="949"/>
    </row>
  </sheetData>
  <mergeCells count="1">
    <mergeCell ref="B1:C1"/>
  </mergeCells>
  <pageMargins left="0.55118110236220474" right="0.15748031496062992" top="0.98425196850393704" bottom="0.98425196850393704" header="0.51181102362204722" footer="0.51181102362204722"/>
  <pageSetup paperSize="9" scale="80" orientation="portrait" verticalDpi="300" r:id="rId1"/>
  <headerFooter alignWithMargins="0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0"/>
  <sheetViews>
    <sheetView view="pageBreakPreview" zoomScaleNormal="100" zoomScaleSheetLayoutView="100" workbookViewId="0">
      <selection activeCell="A2" sqref="A2:H2"/>
    </sheetView>
  </sheetViews>
  <sheetFormatPr defaultColWidth="9.140625" defaultRowHeight="21.75"/>
  <cols>
    <col min="1" max="1" width="8.85546875" style="314" customWidth="1"/>
    <col min="2" max="2" width="5.7109375" style="314" customWidth="1"/>
    <col min="3" max="3" width="15" style="314" customWidth="1"/>
    <col min="4" max="4" width="10" style="314" customWidth="1"/>
    <col min="5" max="5" width="15.85546875" style="314" customWidth="1"/>
    <col min="6" max="6" width="17.42578125" style="314" customWidth="1"/>
    <col min="7" max="7" width="20.5703125" style="314" customWidth="1"/>
    <col min="8" max="8" width="7.42578125" style="314" customWidth="1"/>
    <col min="9" max="9" width="16.140625" style="314" customWidth="1"/>
    <col min="10" max="16384" width="9.140625" style="314"/>
  </cols>
  <sheetData>
    <row r="1" spans="1:14">
      <c r="A1" s="1335" t="str">
        <f>'ปร.4 (2)'!A1:N1</f>
        <v xml:space="preserve">แบบสรุปราคากลางงานก่อสร้างทาง สะพานและท่อเหลี่ยม </v>
      </c>
      <c r="B1" s="1335"/>
      <c r="C1" s="1335"/>
      <c r="D1" s="1335"/>
      <c r="E1" s="1335"/>
      <c r="F1" s="1335"/>
      <c r="G1" s="1335"/>
      <c r="H1" s="1335"/>
    </row>
    <row r="2" spans="1:14" s="662" customFormat="1">
      <c r="A2" s="1335" t="s">
        <v>1103</v>
      </c>
      <c r="B2" s="1335"/>
      <c r="C2" s="1335"/>
      <c r="D2" s="1335"/>
      <c r="E2" s="1335"/>
      <c r="F2" s="1335"/>
      <c r="G2" s="1335"/>
      <c r="H2" s="1335"/>
      <c r="I2" s="663"/>
    </row>
    <row r="3" spans="1:14" s="662" customFormat="1">
      <c r="A3" s="1335" t="s">
        <v>1100</v>
      </c>
      <c r="B3" s="1335"/>
      <c r="C3" s="1335"/>
      <c r="D3" s="1335"/>
      <c r="E3" s="1335"/>
      <c r="F3" s="1335"/>
      <c r="G3" s="1335"/>
      <c r="H3" s="1335"/>
      <c r="I3" s="663"/>
    </row>
    <row r="4" spans="1:14" ht="20.25" customHeight="1">
      <c r="A4" s="314" t="s">
        <v>946</v>
      </c>
      <c r="B4" s="314" t="s">
        <v>1092</v>
      </c>
    </row>
    <row r="5" spans="1:14" ht="20.25" customHeight="1">
      <c r="B5" s="818" t="s">
        <v>1093</v>
      </c>
      <c r="C5" s="778"/>
      <c r="E5" s="665"/>
      <c r="F5" s="666"/>
    </row>
    <row r="6" spans="1:14" ht="20.25" customHeight="1">
      <c r="A6" s="314" t="s">
        <v>424</v>
      </c>
      <c r="C6" s="778" t="str">
        <f>Data!M27</f>
        <v>ผิวจราจรกว้าง 6.00 เมตร ยาว 5,800 เมตร หนา 0.05 เมตร ไหล่ทางกว้างข้างละ 1.00 เมตร</v>
      </c>
      <c r="D6" s="779"/>
      <c r="E6" s="779"/>
      <c r="F6" s="779"/>
      <c r="I6" s="665"/>
      <c r="J6" s="667"/>
    </row>
    <row r="7" spans="1:14" ht="20.25" customHeight="1">
      <c r="A7" s="664"/>
      <c r="B7" s="664"/>
      <c r="C7" s="1197" t="s">
        <v>1094</v>
      </c>
      <c r="D7" s="664"/>
      <c r="E7" s="668"/>
      <c r="F7" s="667"/>
      <c r="I7" s="665"/>
      <c r="J7" s="667"/>
    </row>
    <row r="8" spans="1:14" ht="20.25" customHeight="1">
      <c r="A8" s="314" t="str">
        <f ca="1">'ปร.4 (2)'!A8:B8&amp;" "&amp;Data!J2</f>
        <v>กำหนดราคากลางวันที่ 31 สิงหาคม 2566</v>
      </c>
      <c r="F8" s="665" t="s">
        <v>1003</v>
      </c>
      <c r="G8" s="1202">
        <v>243474</v>
      </c>
      <c r="H8" s="816"/>
      <c r="I8" s="665"/>
      <c r="J8" s="667"/>
    </row>
    <row r="9" spans="1:14" ht="20.25" customHeight="1">
      <c r="F9" s="665" t="s">
        <v>436</v>
      </c>
      <c r="G9" s="667" t="str">
        <f>TEXT(ราคาวัสดุ!G15,"ดดดด")&amp;" "&amp;TEXT(ราคาวัสดุ!G15,"bbbb")</f>
        <v>สิงหาคม 2566</v>
      </c>
      <c r="H9" s="816"/>
      <c r="L9" s="314">
        <v>46440</v>
      </c>
    </row>
    <row r="10" spans="1:14" ht="20.25" customHeight="1" thickBot="1">
      <c r="F10" s="665" t="s">
        <v>437</v>
      </c>
      <c r="G10" s="667" t="str">
        <f>TEXT(ราคาวัสดุ!G11,"ดดดด")&amp;" "&amp;TEXT(ราคาวัสดุ!G11,"bbbb")</f>
        <v>สิงหาคม 2566</v>
      </c>
      <c r="H10" s="816"/>
    </row>
    <row r="11" spans="1:14" ht="60.75" customHeight="1" thickTop="1" thickBot="1">
      <c r="A11" s="976" t="s">
        <v>426</v>
      </c>
      <c r="B11" s="1336" t="s">
        <v>1</v>
      </c>
      <c r="C11" s="1337"/>
      <c r="D11" s="1338"/>
      <c r="E11" s="977" t="s">
        <v>2</v>
      </c>
      <c r="F11" s="978" t="s">
        <v>438</v>
      </c>
      <c r="G11" s="979" t="s">
        <v>20</v>
      </c>
      <c r="H11" s="980"/>
      <c r="J11" s="314">
        <f>6*2500</f>
        <v>15000</v>
      </c>
    </row>
    <row r="12" spans="1:14" ht="20.25" customHeight="1" thickTop="1">
      <c r="A12" s="975">
        <v>1</v>
      </c>
      <c r="B12" s="824" t="s">
        <v>439</v>
      </c>
      <c r="D12" s="692"/>
      <c r="E12" s="733">
        <f>+'ปร.4 (2)'!H48</f>
        <v>1.2644</v>
      </c>
      <c r="F12" s="1204">
        <f>+'ปร.4 (2)'!M46</f>
        <v>22887583.27</v>
      </c>
      <c r="G12" s="672" t="s">
        <v>2</v>
      </c>
      <c r="H12" s="673"/>
    </row>
    <row r="13" spans="1:14" ht="20.25" customHeight="1">
      <c r="A13" s="819"/>
      <c r="B13" s="674"/>
      <c r="C13" s="675"/>
      <c r="D13" s="823"/>
      <c r="E13" s="676"/>
      <c r="F13" s="677"/>
      <c r="G13" s="669" t="s">
        <v>440</v>
      </c>
      <c r="H13" s="678">
        <v>0.06</v>
      </c>
      <c r="L13" s="688"/>
    </row>
    <row r="14" spans="1:14" ht="20.25" customHeight="1">
      <c r="A14" s="820"/>
      <c r="B14" s="674"/>
      <c r="C14" s="679"/>
      <c r="D14" s="817"/>
      <c r="E14" s="680"/>
      <c r="F14" s="677"/>
      <c r="G14" s="681" t="s">
        <v>441</v>
      </c>
      <c r="H14" s="678">
        <v>7.0000000000000007E-2</v>
      </c>
      <c r="N14" s="314">
        <v>0</v>
      </c>
    </row>
    <row r="15" spans="1:14" ht="20.25" customHeight="1">
      <c r="A15" s="821"/>
      <c r="B15" s="824"/>
      <c r="D15" s="692"/>
      <c r="E15" s="670"/>
      <c r="F15" s="671"/>
      <c r="G15" s="669" t="s">
        <v>442</v>
      </c>
      <c r="H15" s="678">
        <v>0</v>
      </c>
    </row>
    <row r="16" spans="1:14" ht="20.25" customHeight="1">
      <c r="A16" s="821"/>
      <c r="B16" s="824"/>
      <c r="D16" s="692"/>
      <c r="E16" s="670"/>
      <c r="F16" s="671"/>
      <c r="G16" s="669" t="s">
        <v>443</v>
      </c>
      <c r="H16" s="678">
        <v>0</v>
      </c>
    </row>
    <row r="17" spans="1:12" ht="20.25" customHeight="1">
      <c r="A17" s="822"/>
      <c r="B17" s="825"/>
      <c r="C17" s="683"/>
      <c r="D17" s="690"/>
      <c r="E17" s="684"/>
      <c r="F17" s="684"/>
      <c r="G17" s="681" t="s">
        <v>892</v>
      </c>
      <c r="H17" s="685"/>
    </row>
    <row r="18" spans="1:12" ht="20.25" customHeight="1">
      <c r="A18" s="686" t="s">
        <v>205</v>
      </c>
      <c r="B18" s="687"/>
      <c r="C18" s="687"/>
      <c r="E18" s="688"/>
      <c r="F18" s="689">
        <f>SUM(F12:F17)</f>
        <v>22887583.27</v>
      </c>
      <c r="G18" s="682" t="s">
        <v>444</v>
      </c>
      <c r="H18" s="690"/>
    </row>
    <row r="19" spans="1:12" ht="20.25" customHeight="1" thickBot="1">
      <c r="A19" s="669"/>
      <c r="E19" s="688"/>
      <c r="F19" s="691">
        <f>F12</f>
        <v>22887583.27</v>
      </c>
      <c r="G19" s="314" t="s">
        <v>444</v>
      </c>
      <c r="H19" s="692"/>
    </row>
    <row r="20" spans="1:12" ht="20.25" customHeight="1" thickTop="1">
      <c r="A20" s="682"/>
      <c r="B20" s="683"/>
      <c r="C20" s="683"/>
      <c r="D20" s="683" t="s">
        <v>445</v>
      </c>
      <c r="E20" s="693" t="str">
        <f>BAHTTEXT(F19)</f>
        <v>ยี่สิบสองล้านแปดแสนแปดหมื่นเจ็ดพันห้าร้อยแปดสิบสามบาทยี่สิบเจ็ดสตางค์</v>
      </c>
      <c r="F20" s="683"/>
      <c r="G20" s="683"/>
      <c r="H20" s="690"/>
    </row>
    <row r="21" spans="1:12" ht="20.25" customHeight="1">
      <c r="A21" s="694"/>
      <c r="B21" s="694"/>
      <c r="C21" s="314" t="s">
        <v>446</v>
      </c>
      <c r="D21" s="695">
        <f>F19/L9</f>
        <v>492.84201701119724</v>
      </c>
      <c r="E21" s="314" t="s">
        <v>447</v>
      </c>
    </row>
    <row r="22" spans="1:12">
      <c r="A22" s="780"/>
      <c r="B22" s="780"/>
      <c r="C22" s="662" t="s">
        <v>425</v>
      </c>
      <c r="D22" s="662"/>
      <c r="E22" s="662"/>
      <c r="F22" s="662"/>
      <c r="G22" s="662"/>
      <c r="H22" s="662"/>
      <c r="I22" s="662"/>
      <c r="K22" s="696"/>
    </row>
    <row r="23" spans="1:12" ht="21.75" customHeight="1">
      <c r="A23" s="662"/>
      <c r="B23" s="662"/>
      <c r="C23" s="662"/>
      <c r="D23" s="662"/>
      <c r="E23" s="1061"/>
      <c r="F23" s="1061"/>
      <c r="G23" s="769"/>
      <c r="H23" s="662"/>
      <c r="I23" s="662"/>
      <c r="J23" s="1060"/>
      <c r="K23" s="1060"/>
      <c r="L23" s="1060"/>
    </row>
    <row r="24" spans="1:12" ht="21.75" customHeight="1">
      <c r="A24" s="662"/>
      <c r="B24" s="662"/>
      <c r="C24" s="662"/>
      <c r="D24" s="1203" t="s">
        <v>1097</v>
      </c>
      <c r="E24" s="770"/>
      <c r="F24" s="770"/>
      <c r="G24" s="794" t="s">
        <v>1099</v>
      </c>
      <c r="H24" s="662"/>
      <c r="I24" s="662"/>
    </row>
    <row r="25" spans="1:12" ht="21.75" customHeight="1">
      <c r="A25" s="662"/>
      <c r="B25" s="662"/>
      <c r="C25" s="662"/>
      <c r="D25" s="792"/>
      <c r="E25" s="1333" t="str">
        <f>Data!I8</f>
        <v>นางสรารัตน์ สุขมะดัน</v>
      </c>
      <c r="F25" s="1333"/>
      <c r="G25" s="662"/>
      <c r="H25" s="662"/>
      <c r="I25" s="662"/>
    </row>
    <row r="26" spans="1:12" ht="21.75" customHeight="1">
      <c r="A26" s="662"/>
      <c r="B26" s="662"/>
      <c r="C26" s="662"/>
      <c r="D26" s="792"/>
      <c r="E26" s="1334" t="str">
        <f>Data!K8</f>
        <v>ผู้อำนวยการส่วนการโยธา</v>
      </c>
      <c r="F26" s="1334"/>
      <c r="G26" s="662"/>
      <c r="H26" s="662"/>
      <c r="I26" s="662"/>
    </row>
    <row r="27" spans="1:12" ht="21.75" customHeight="1">
      <c r="A27" s="662"/>
      <c r="B27" s="662"/>
      <c r="C27" s="662"/>
      <c r="D27" s="769"/>
      <c r="E27" s="770"/>
      <c r="F27" s="770"/>
      <c r="G27" s="662"/>
      <c r="H27" s="662"/>
      <c r="I27" s="662"/>
    </row>
    <row r="28" spans="1:12" ht="21.75" customHeight="1">
      <c r="A28" s="662"/>
      <c r="B28" s="662"/>
      <c r="C28" s="662"/>
      <c r="D28" s="769"/>
      <c r="E28" s="770"/>
      <c r="F28" s="770"/>
      <c r="G28" s="662"/>
      <c r="H28" s="662"/>
      <c r="I28" s="662"/>
    </row>
    <row r="29" spans="1:12" ht="21.75" customHeight="1">
      <c r="A29" s="662"/>
      <c r="B29" s="662"/>
      <c r="C29" s="662"/>
      <c r="D29" s="1203" t="s">
        <v>1097</v>
      </c>
      <c r="E29" s="770"/>
      <c r="F29" s="770"/>
      <c r="G29" s="794" t="s">
        <v>1098</v>
      </c>
      <c r="H29" s="662"/>
      <c r="I29" s="662"/>
    </row>
    <row r="30" spans="1:12" ht="21.75" customHeight="1">
      <c r="A30" s="662"/>
      <c r="B30" s="662"/>
      <c r="C30" s="662"/>
      <c r="D30" s="662"/>
      <c r="E30" s="1333" t="str">
        <f>Data!I7</f>
        <v>นายจิรพล  บุญลือ</v>
      </c>
      <c r="F30" s="1333"/>
      <c r="G30" s="771"/>
      <c r="H30" s="662"/>
      <c r="I30" s="662"/>
    </row>
    <row r="31" spans="1:12" ht="21.75" customHeight="1">
      <c r="A31" s="662"/>
      <c r="B31" s="662"/>
      <c r="C31" s="662"/>
      <c r="D31" s="662"/>
      <c r="E31" s="1334" t="str">
        <f>Data!K7</f>
        <v>หัวหน้าฝ่ายสาธารณูปโภค</v>
      </c>
      <c r="F31" s="1334"/>
      <c r="G31" s="769"/>
      <c r="H31" s="662"/>
      <c r="I31" s="662"/>
    </row>
    <row r="32" spans="1:12" ht="21.75" customHeight="1">
      <c r="A32" s="662"/>
      <c r="B32" s="662"/>
      <c r="C32" s="662"/>
      <c r="D32" s="662"/>
      <c r="E32" s="772"/>
      <c r="F32" s="662"/>
      <c r="G32" s="662"/>
      <c r="H32" s="662"/>
      <c r="I32" s="662"/>
    </row>
    <row r="33" spans="1:9" ht="21.75" customHeight="1">
      <c r="A33" s="662"/>
      <c r="B33" s="662"/>
      <c r="C33" s="662"/>
      <c r="D33" s="662"/>
      <c r="E33" s="772"/>
      <c r="F33" s="662"/>
      <c r="G33" s="662"/>
      <c r="H33" s="662"/>
      <c r="I33" s="662"/>
    </row>
    <row r="34" spans="1:9" ht="21.75" customHeight="1">
      <c r="A34" s="662"/>
      <c r="B34" s="662"/>
      <c r="C34" s="662"/>
      <c r="D34" s="1203" t="s">
        <v>1097</v>
      </c>
      <c r="E34" s="662"/>
      <c r="F34" s="662"/>
      <c r="G34" s="794" t="s">
        <v>1098</v>
      </c>
      <c r="H34" s="662"/>
      <c r="I34" s="662"/>
    </row>
    <row r="35" spans="1:9" ht="21.75" customHeight="1">
      <c r="A35" s="662"/>
      <c r="B35" s="662"/>
      <c r="C35" s="662"/>
      <c r="D35" s="793"/>
      <c r="E35" s="1333" t="str">
        <f>Data!I5</f>
        <v>นายพงศกร  เพชรประดับ</v>
      </c>
      <c r="F35" s="1333"/>
      <c r="G35" s="772"/>
      <c r="H35" s="662"/>
      <c r="I35" s="662"/>
    </row>
    <row r="36" spans="1:9" ht="21.75" customHeight="1">
      <c r="A36" s="662"/>
      <c r="B36" s="662"/>
      <c r="C36" s="662"/>
      <c r="D36" s="662"/>
      <c r="E36" s="1334" t="str">
        <f>Data!J5</f>
        <v>วิศวกรโยธาชำนาญการ</v>
      </c>
      <c r="F36" s="1334"/>
      <c r="G36" s="793"/>
      <c r="H36" s="662"/>
      <c r="I36" s="662"/>
    </row>
    <row r="37" spans="1:9" ht="21.75" customHeight="1">
      <c r="A37" s="662"/>
      <c r="B37" s="662"/>
      <c r="C37" s="662"/>
      <c r="D37" s="662"/>
      <c r="E37" s="662"/>
      <c r="F37" s="662"/>
      <c r="G37" s="662"/>
      <c r="H37" s="662"/>
      <c r="I37" s="662"/>
    </row>
    <row r="38" spans="1:9" ht="21.75" customHeight="1">
      <c r="C38" s="662"/>
      <c r="D38" s="793"/>
      <c r="E38" s="662"/>
      <c r="F38" s="662"/>
      <c r="G38" s="662"/>
      <c r="H38" s="662"/>
    </row>
    <row r="39" spans="1:9" ht="21.75" customHeight="1">
      <c r="C39" s="662"/>
      <c r="D39" s="662"/>
      <c r="E39" s="1333"/>
      <c r="F39" s="1333"/>
      <c r="G39" s="772"/>
      <c r="H39" s="662"/>
    </row>
    <row r="40" spans="1:9" ht="21.75" customHeight="1">
      <c r="D40" s="662"/>
      <c r="E40" s="1334"/>
      <c r="F40" s="1334"/>
      <c r="G40" s="793"/>
    </row>
    <row r="41" spans="1:9" ht="21.75" customHeight="1"/>
    <row r="42" spans="1:9" ht="21.75" customHeight="1"/>
    <row r="43" spans="1:9" ht="21.75" customHeight="1"/>
    <row r="44" spans="1:9" ht="21.75" customHeight="1"/>
    <row r="45" spans="1:9" ht="21.75" customHeight="1"/>
    <row r="46" spans="1:9" ht="21.75" customHeight="1"/>
    <row r="47" spans="1:9" ht="21.75" customHeight="1"/>
    <row r="48" spans="1:9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</sheetData>
  <mergeCells count="12">
    <mergeCell ref="E39:F39"/>
    <mergeCell ref="E40:F40"/>
    <mergeCell ref="A1:H1"/>
    <mergeCell ref="E36:F36"/>
    <mergeCell ref="A2:H2"/>
    <mergeCell ref="B11:D11"/>
    <mergeCell ref="E25:F25"/>
    <mergeCell ref="E26:F26"/>
    <mergeCell ref="E30:F30"/>
    <mergeCell ref="E31:F31"/>
    <mergeCell ref="E35:F35"/>
    <mergeCell ref="A3:H3"/>
  </mergeCells>
  <conditionalFormatting sqref="B5">
    <cfRule type="cellIs" dxfId="1" priority="1" stopIfTrue="1" operator="equal">
      <formula>0</formula>
    </cfRule>
  </conditionalFormatting>
  <printOptions horizontalCentered="1"/>
  <pageMargins left="0.17" right="0.23622047244094491" top="0.19" bottom="0.15748031496062992" header="0.21" footer="0.15748031496062992"/>
  <pageSetup orientation="portrait" r:id="rId1"/>
  <headerFooter alignWithMargins="0">
    <oddHeader>&amp;R&amp;"TH Sarabun New,Regular"&amp;12ปร.5ท แผ่นที่ &amp;P&amp;'/&amp;N</oddHeader>
  </headerFooter>
  <rowBreaks count="2" manualBreakCount="2">
    <brk id="38" max="7" man="1"/>
    <brk id="40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8"/>
  <sheetViews>
    <sheetView view="pageBreakPreview" zoomScaleNormal="100" zoomScaleSheetLayoutView="100" zoomScalePageLayoutView="115" workbookViewId="0">
      <selection sqref="A1:N1"/>
    </sheetView>
  </sheetViews>
  <sheetFormatPr defaultColWidth="13.28515625" defaultRowHeight="21"/>
  <cols>
    <col min="1" max="1" width="8.140625" style="1205" customWidth="1"/>
    <col min="2" max="2" width="5.140625" style="1205" customWidth="1"/>
    <col min="3" max="3" width="8.140625" style="1205" customWidth="1"/>
    <col min="4" max="4" width="5.7109375" style="1205" customWidth="1"/>
    <col min="5" max="5" width="8.28515625" style="1205" customWidth="1"/>
    <col min="6" max="6" width="17.42578125" style="1205" customWidth="1"/>
    <col min="7" max="7" width="7.28515625" style="1216" customWidth="1"/>
    <col min="8" max="8" width="15.5703125" style="1212" bestFit="1" customWidth="1"/>
    <col min="9" max="9" width="12.42578125" style="1213" customWidth="1"/>
    <col min="10" max="10" width="14.140625" style="1217" bestFit="1" customWidth="1"/>
    <col min="11" max="11" width="9.42578125" style="1217" customWidth="1"/>
    <col min="12" max="12" width="12.140625" style="1205" customWidth="1"/>
    <col min="13" max="13" width="15.42578125" style="1205" bestFit="1" customWidth="1"/>
    <col min="14" max="14" width="12.85546875" style="1205" customWidth="1"/>
    <col min="15" max="16384" width="13.28515625" style="1205"/>
  </cols>
  <sheetData>
    <row r="1" spans="1:18">
      <c r="A1" s="1344" t="s">
        <v>1104</v>
      </c>
      <c r="B1" s="1344"/>
      <c r="C1" s="1344"/>
      <c r="D1" s="1344"/>
      <c r="E1" s="1344"/>
      <c r="F1" s="1344"/>
      <c r="G1" s="1344"/>
      <c r="H1" s="1344"/>
      <c r="I1" s="1344"/>
      <c r="J1" s="1344"/>
      <c r="K1" s="1344"/>
      <c r="L1" s="1344"/>
      <c r="M1" s="1344"/>
      <c r="N1" s="1344"/>
    </row>
    <row r="2" spans="1:18">
      <c r="A2" s="1344" t="str">
        <f>"สำนักช่าง ส่วนการโยธา องค์การบริหารส่วนจังหวัดสระบุรี"</f>
        <v>สำนักช่าง ส่วนการโยธา องค์การบริหารส่วนจังหวัดสระบุรี</v>
      </c>
      <c r="B2" s="1344"/>
      <c r="C2" s="1344"/>
      <c r="D2" s="1344"/>
      <c r="E2" s="1344"/>
      <c r="F2" s="1344"/>
      <c r="G2" s="1344"/>
      <c r="H2" s="1344"/>
      <c r="I2" s="1344"/>
      <c r="J2" s="1344"/>
      <c r="K2" s="1344"/>
      <c r="L2" s="1344"/>
      <c r="M2" s="1344"/>
      <c r="N2" s="1344"/>
      <c r="Q2" s="1206" t="s">
        <v>1030</v>
      </c>
      <c r="R2" s="1206" t="s">
        <v>1031</v>
      </c>
    </row>
    <row r="3" spans="1:18">
      <c r="A3" s="1207"/>
      <c r="B3" s="1207"/>
      <c r="C3" s="1207"/>
      <c r="D3" s="1207"/>
      <c r="E3" s="1207"/>
      <c r="F3" s="1207"/>
      <c r="G3" s="1207"/>
      <c r="H3" s="1344" t="s">
        <v>1017</v>
      </c>
      <c r="I3" s="1344"/>
      <c r="J3" s="1208">
        <v>2566</v>
      </c>
      <c r="K3" s="1207"/>
      <c r="L3" s="1207"/>
      <c r="M3" s="1207"/>
      <c r="N3" s="1207"/>
      <c r="Q3" s="1209" t="s">
        <v>1032</v>
      </c>
      <c r="R3" s="1209" t="s">
        <v>429</v>
      </c>
    </row>
    <row r="4" spans="1:18">
      <c r="A4" s="1210" t="s">
        <v>946</v>
      </c>
      <c r="B4" s="1205" t="str">
        <f>'ปร.5 (2)'!B4</f>
        <v>ปรับปรุงถนนลาดยาง สาย สบ.ถ1 - 0039 บ้านหนองหว้า - บ้านสาธุประชาสรรค์</v>
      </c>
      <c r="D4" s="1211"/>
      <c r="E4" s="1211"/>
      <c r="G4" s="1211"/>
      <c r="J4" s="1205"/>
      <c r="K4" s="1348"/>
      <c r="L4" s="1348"/>
      <c r="M4" s="1348"/>
      <c r="N4" s="1348"/>
      <c r="O4" s="1214" t="s">
        <v>936</v>
      </c>
    </row>
    <row r="5" spans="1:18">
      <c r="B5" s="1215" t="str">
        <f>'ปร.5 (2)'!B5</f>
        <v>ตำบลพุแค - ตำบลห้วยบง  อำเภอเฉลิมพระเกียรติ  จังหวัดสระบุรี</v>
      </c>
      <c r="C5" s="1215"/>
      <c r="O5" s="1205" t="str">
        <f>IF(Data!B5=0,"ตำบล  "&amp;Data!B6&amp;"    อำเภอ  "&amp;Data!B7&amp;"  จังหวัด  สระบุรี",IF(Data!B5&gt;0,"หมู่ที่   "&amp;Data!B5&amp;"  บ้านปากคลอง          ตำบล     "&amp;Data!B6&amp;"          อำเภอ       "&amp;Data!B7&amp;"            จังหวัด  สระบุรี"))</f>
        <v>หมู่ที่   -  บ้านปากคลอง          ตำบล     พุแค - ห้วยบง          อำเภอ       เฉลิมพระเกียรติ            จังหวัด  สระบุรี</v>
      </c>
    </row>
    <row r="6" spans="1:18">
      <c r="A6" s="1205" t="s">
        <v>424</v>
      </c>
      <c r="C6" s="1218" t="str">
        <f>Data!M27</f>
        <v>ผิวจราจรกว้าง 6.00 เมตร ยาว 5,800 เมตร หนา 0.05 เมตร ไหล่ทางกว้างข้างละ 1.00 เมตร</v>
      </c>
      <c r="D6" s="1219"/>
      <c r="E6" s="1219"/>
      <c r="F6" s="1219"/>
      <c r="G6" s="1219"/>
      <c r="H6" s="1219"/>
      <c r="I6" s="1219"/>
      <c r="J6" s="1212"/>
      <c r="K6" s="1212"/>
    </row>
    <row r="7" spans="1:18" ht="23.25">
      <c r="B7" s="1218" t="s">
        <v>1091</v>
      </c>
      <c r="C7" s="1218"/>
      <c r="D7" s="1218"/>
      <c r="E7" s="1218"/>
      <c r="F7" s="1218"/>
      <c r="G7" s="1218"/>
      <c r="H7" s="1218"/>
      <c r="I7" s="1219"/>
      <c r="J7" s="1212"/>
      <c r="K7" s="1212"/>
      <c r="L7" s="1220"/>
      <c r="M7" s="1221"/>
      <c r="N7" s="1222" t="s">
        <v>1015</v>
      </c>
      <c r="P7" s="1223">
        <v>120</v>
      </c>
      <c r="Q7" s="1205" t="s">
        <v>1029</v>
      </c>
    </row>
    <row r="8" spans="1:18" ht="22.5" thickBot="1">
      <c r="A8" s="1339" t="s">
        <v>1032</v>
      </c>
      <c r="B8" s="1339"/>
      <c r="C8" s="1339"/>
      <c r="D8" s="1364" t="str">
        <f ca="1">Data!J2</f>
        <v>31 สิงหาคม 2566</v>
      </c>
      <c r="E8" s="1364"/>
      <c r="F8" s="1364"/>
      <c r="I8" s="1213" t="s">
        <v>425</v>
      </c>
      <c r="J8" s="1224"/>
      <c r="K8" s="1224"/>
      <c r="L8" s="1225" t="str">
        <f>Data!E2</f>
        <v>ราคาน้ำมันดีเซล B7</v>
      </c>
      <c r="M8" s="1226">
        <f>+Data!G2</f>
        <v>32.11</v>
      </c>
      <c r="N8" s="1205" t="s">
        <v>71</v>
      </c>
    </row>
    <row r="9" spans="1:18" ht="21.75" thickTop="1">
      <c r="A9" s="1345" t="s">
        <v>426</v>
      </c>
      <c r="B9" s="1350" t="s">
        <v>1</v>
      </c>
      <c r="C9" s="1351"/>
      <c r="D9" s="1351"/>
      <c r="E9" s="1351"/>
      <c r="F9" s="1352"/>
      <c r="G9" s="1345" t="s">
        <v>25</v>
      </c>
      <c r="H9" s="1345" t="s">
        <v>505</v>
      </c>
      <c r="I9" s="1362" t="s">
        <v>428</v>
      </c>
      <c r="J9" s="1345" t="s">
        <v>427</v>
      </c>
      <c r="K9" s="1345" t="s">
        <v>2</v>
      </c>
      <c r="L9" s="1227" t="s">
        <v>428</v>
      </c>
      <c r="M9" s="1227" t="s">
        <v>429</v>
      </c>
      <c r="N9" s="1359" t="s">
        <v>20</v>
      </c>
    </row>
    <row r="10" spans="1:18" ht="21.75" customHeight="1">
      <c r="A10" s="1347"/>
      <c r="B10" s="1353"/>
      <c r="C10" s="1354"/>
      <c r="D10" s="1354"/>
      <c r="E10" s="1354"/>
      <c r="F10" s="1355"/>
      <c r="G10" s="1347"/>
      <c r="H10" s="1347"/>
      <c r="I10" s="1363"/>
      <c r="J10" s="1346"/>
      <c r="K10" s="1346"/>
      <c r="L10" s="1228" t="s">
        <v>430</v>
      </c>
      <c r="M10" s="1228" t="s">
        <v>31</v>
      </c>
      <c r="N10" s="1360"/>
    </row>
    <row r="11" spans="1:18" ht="21.75" customHeight="1" thickBot="1">
      <c r="A11" s="1349"/>
      <c r="B11" s="1356"/>
      <c r="C11" s="1357"/>
      <c r="D11" s="1357"/>
      <c r="E11" s="1357"/>
      <c r="F11" s="1358"/>
      <c r="G11" s="1349"/>
      <c r="H11" s="1229" t="s">
        <v>1033</v>
      </c>
      <c r="I11" s="1229" t="s">
        <v>1034</v>
      </c>
      <c r="J11" s="1229" t="s">
        <v>1035</v>
      </c>
      <c r="K11" s="1229" t="s">
        <v>1036</v>
      </c>
      <c r="L11" s="1229" t="s">
        <v>1037</v>
      </c>
      <c r="M11" s="1229" t="s">
        <v>1038</v>
      </c>
      <c r="N11" s="1361"/>
      <c r="P11" s="1343" t="s">
        <v>986</v>
      </c>
      <c r="Q11" s="1343"/>
      <c r="R11" s="1343"/>
    </row>
    <row r="12" spans="1:18" ht="21.75" customHeight="1" thickTop="1">
      <c r="A12" s="1231">
        <v>1</v>
      </c>
      <c r="B12" s="1232" t="s">
        <v>917</v>
      </c>
      <c r="C12" s="1233"/>
      <c r="D12" s="1234"/>
      <c r="E12" s="1234"/>
      <c r="F12" s="1235"/>
      <c r="G12" s="1231"/>
      <c r="H12" s="1236"/>
      <c r="I12" s="1236"/>
      <c r="J12" s="1236"/>
      <c r="K12" s="1236"/>
      <c r="L12" s="1236"/>
      <c r="M12" s="1236"/>
      <c r="N12" s="1237"/>
      <c r="P12" s="1230" t="s">
        <v>987</v>
      </c>
      <c r="Q12" s="1230" t="s">
        <v>988</v>
      </c>
      <c r="R12" s="1230" t="s">
        <v>989</v>
      </c>
    </row>
    <row r="13" spans="1:18" ht="21.75" customHeight="1">
      <c r="A13" s="1238">
        <f>A12+0.1</f>
        <v>1.1000000000000001</v>
      </c>
      <c r="B13" s="1239" t="s">
        <v>918</v>
      </c>
      <c r="C13" s="1240"/>
      <c r="D13" s="1241"/>
      <c r="E13" s="1241"/>
      <c r="F13" s="1242"/>
      <c r="G13" s="1243" t="s">
        <v>33</v>
      </c>
      <c r="H13" s="1244">
        <f>P13*Q13</f>
        <v>0</v>
      </c>
      <c r="I13" s="1245"/>
      <c r="J13" s="1246">
        <f t="shared" ref="J13" si="0">ROUND(ROUND(H13,2)*ROUND(I13,2),2)</f>
        <v>0</v>
      </c>
      <c r="K13" s="1247">
        <v>0</v>
      </c>
      <c r="L13" s="1248">
        <f t="shared" ref="L13" si="1">ROUND(ROUND(I13,2)*K13,2)</f>
        <v>0</v>
      </c>
      <c r="M13" s="1249">
        <f t="shared" ref="M13" si="2">ROUND(K13*J13,2)</f>
        <v>0</v>
      </c>
      <c r="N13" s="1250"/>
      <c r="P13" s="1251" t="s">
        <v>990</v>
      </c>
      <c r="Q13" s="1252">
        <v>0</v>
      </c>
      <c r="R13" s="1253"/>
    </row>
    <row r="14" spans="1:18" ht="21.75" customHeight="1">
      <c r="A14" s="1254">
        <f>A12+1</f>
        <v>2</v>
      </c>
      <c r="B14" s="1340" t="s">
        <v>431</v>
      </c>
      <c r="C14" s="1341"/>
      <c r="D14" s="1341"/>
      <c r="E14" s="1341"/>
      <c r="F14" s="1342"/>
      <c r="G14" s="1243"/>
      <c r="H14" s="1257"/>
      <c r="I14" s="1258"/>
      <c r="J14" s="1246"/>
      <c r="K14" s="1247"/>
      <c r="L14" s="1248"/>
      <c r="M14" s="1249"/>
      <c r="N14" s="1243"/>
      <c r="P14" s="1259"/>
      <c r="Q14" s="1259"/>
      <c r="R14" s="1259"/>
    </row>
    <row r="15" spans="1:18" ht="21.75" customHeight="1">
      <c r="A15" s="1260">
        <f>A14+0.1</f>
        <v>2.1</v>
      </c>
      <c r="B15" s="1261" t="s">
        <v>935</v>
      </c>
      <c r="C15" s="1262"/>
      <c r="D15" s="1262"/>
      <c r="E15" s="1262"/>
      <c r="F15" s="1263"/>
      <c r="G15" s="1243" t="s">
        <v>33</v>
      </c>
      <c r="H15" s="1244">
        <f>P17</f>
        <v>11600</v>
      </c>
      <c r="I15" s="1264">
        <v>1.76</v>
      </c>
      <c r="J15" s="1246">
        <f>ROUND(ROUND(H15,2)*ROUND(I15,2),2)</f>
        <v>20416</v>
      </c>
      <c r="K15" s="1247">
        <f>ROUND($H$48,4)</f>
        <v>1.2644</v>
      </c>
      <c r="L15" s="1248">
        <f>ROUND(ROUND(I15,2)*K15,2)</f>
        <v>2.23</v>
      </c>
      <c r="M15" s="1249">
        <f>ROUND(K15*J15,2)</f>
        <v>25813.99</v>
      </c>
      <c r="N15" s="1243"/>
      <c r="P15" s="1252">
        <v>0</v>
      </c>
      <c r="Q15" s="1252">
        <v>0</v>
      </c>
      <c r="R15" s="1259"/>
    </row>
    <row r="16" spans="1:18" ht="21.75" customHeight="1">
      <c r="A16" s="1254">
        <f>A14+1</f>
        <v>3</v>
      </c>
      <c r="B16" s="1255" t="s">
        <v>919</v>
      </c>
      <c r="C16" s="1256"/>
      <c r="D16" s="1256"/>
      <c r="E16" s="1256"/>
      <c r="F16" s="1263"/>
      <c r="G16" s="1243"/>
      <c r="H16" s="1244"/>
      <c r="I16" s="1258"/>
      <c r="J16" s="1246"/>
      <c r="K16" s="1247"/>
      <c r="L16" s="1248"/>
      <c r="M16" s="1249"/>
      <c r="N16" s="1243"/>
      <c r="P16" s="1259"/>
      <c r="Q16" s="1259"/>
      <c r="R16" s="1259"/>
    </row>
    <row r="17" spans="1:18" ht="21.75" customHeight="1">
      <c r="A17" s="1254">
        <f>A16+0.1</f>
        <v>3.1</v>
      </c>
      <c r="B17" s="1255" t="s">
        <v>684</v>
      </c>
      <c r="C17" s="1256"/>
      <c r="D17" s="1256"/>
      <c r="E17" s="1256"/>
      <c r="F17" s="1263"/>
      <c r="G17" s="1243"/>
      <c r="H17" s="1244"/>
      <c r="I17" s="1258"/>
      <c r="J17" s="1246"/>
      <c r="K17" s="1247"/>
      <c r="L17" s="1248"/>
      <c r="M17" s="1249"/>
      <c r="N17" s="1243"/>
      <c r="O17" s="1265"/>
      <c r="P17" s="1259">
        <f>5800*2</f>
        <v>11600</v>
      </c>
      <c r="Q17" s="1259"/>
      <c r="R17" s="1259"/>
    </row>
    <row r="18" spans="1:18" ht="21.75" customHeight="1">
      <c r="A18" s="1260" t="s">
        <v>920</v>
      </c>
      <c r="B18" s="1266" t="str">
        <f>+Recycling!B85</f>
        <v xml:space="preserve"> งานขุดซ่อมผิวทางเดิม (Deep  Patch)</v>
      </c>
      <c r="C18" s="1262"/>
      <c r="D18" s="1256"/>
      <c r="E18" s="1256"/>
      <c r="F18" s="1263"/>
      <c r="G18" s="1243" t="s">
        <v>33</v>
      </c>
      <c r="H18" s="1267">
        <f>Data!C14+Data!D14</f>
        <v>1840</v>
      </c>
      <c r="I18" s="1258">
        <f>ค่างานต้นทุน!H99</f>
        <v>153.33000000000001</v>
      </c>
      <c r="J18" s="1246">
        <f t="shared" ref="J18:J45" si="3">ROUND(ROUND(H18,2)*ROUND(I18,2),2)</f>
        <v>282127.2</v>
      </c>
      <c r="K18" s="1247">
        <f>ROUND($H$48,4)</f>
        <v>1.2644</v>
      </c>
      <c r="L18" s="1248">
        <f t="shared" ref="L18:L45" si="4">ROUND(ROUND(I18,2)*K18,2)</f>
        <v>193.87</v>
      </c>
      <c r="M18" s="1249">
        <f t="shared" ref="M18:M45" si="5">ROUND(K18*J18,2)</f>
        <v>356721.63</v>
      </c>
      <c r="N18" s="1243"/>
      <c r="P18" s="1259"/>
      <c r="Q18" s="1259"/>
      <c r="R18" s="1259"/>
    </row>
    <row r="19" spans="1:18" ht="20.25" customHeight="1">
      <c r="A19" s="1260" t="s">
        <v>921</v>
      </c>
      <c r="B19" s="1262" t="s">
        <v>553</v>
      </c>
      <c r="C19" s="1262"/>
      <c r="D19" s="1262"/>
      <c r="E19" s="1262"/>
      <c r="F19" s="1268"/>
      <c r="G19" s="1243" t="s">
        <v>34</v>
      </c>
      <c r="H19" s="1267">
        <f>คำนวณวัสดุ!N16</f>
        <v>2320</v>
      </c>
      <c r="I19" s="1258">
        <f>ROUNDDOWN(ค่างานต้นทุน!H8,2)</f>
        <v>105.17</v>
      </c>
      <c r="J19" s="1246">
        <f t="shared" si="3"/>
        <v>243994.4</v>
      </c>
      <c r="K19" s="1247">
        <f>ROUND($H$48,4)</f>
        <v>1.2644</v>
      </c>
      <c r="L19" s="1248">
        <f t="shared" si="4"/>
        <v>132.97999999999999</v>
      </c>
      <c r="M19" s="1249">
        <f t="shared" si="5"/>
        <v>308506.52</v>
      </c>
      <c r="N19" s="1269"/>
      <c r="O19" s="1265"/>
      <c r="P19" s="1270"/>
      <c r="Q19" s="1259"/>
      <c r="R19" s="1259"/>
    </row>
    <row r="20" spans="1:18" ht="20.25" customHeight="1">
      <c r="A20" s="1260" t="s">
        <v>922</v>
      </c>
      <c r="B20" s="1262" t="s">
        <v>545</v>
      </c>
      <c r="C20" s="1262"/>
      <c r="D20" s="1262"/>
      <c r="E20" s="1262"/>
      <c r="F20" s="1263"/>
      <c r="G20" s="1243" t="s">
        <v>33</v>
      </c>
      <c r="H20" s="1267">
        <f>IF(Data!D12&gt;0,((Data!C10+2*Data!C13)*Data!C11+(Data!D10+2*Data!D13)*Data!D11),((Data!C10+2*Data!C13)*Data!C11))</f>
        <v>46400</v>
      </c>
      <c r="I20" s="1258">
        <f>ค่างานต้นทุน!H90</f>
        <v>91.217126000000007</v>
      </c>
      <c r="J20" s="1246">
        <f t="shared" si="3"/>
        <v>4232608</v>
      </c>
      <c r="K20" s="1247">
        <f>ROUND($H$48,4)</f>
        <v>1.2644</v>
      </c>
      <c r="L20" s="1248">
        <f t="shared" si="4"/>
        <v>115.34</v>
      </c>
      <c r="M20" s="1249">
        <f t="shared" si="5"/>
        <v>5351709.5599999996</v>
      </c>
      <c r="N20" s="1271" t="s">
        <v>689</v>
      </c>
      <c r="P20" s="1259"/>
      <c r="Q20" s="1259"/>
      <c r="R20" s="1259"/>
    </row>
    <row r="21" spans="1:18" ht="20.25" customHeight="1">
      <c r="A21" s="1271">
        <f>A16+0.2</f>
        <v>3.2</v>
      </c>
      <c r="B21" s="1256" t="s">
        <v>35</v>
      </c>
      <c r="C21" s="1256"/>
      <c r="D21" s="1262"/>
      <c r="E21" s="1262"/>
      <c r="F21" s="1263"/>
      <c r="G21" s="1243"/>
      <c r="H21" s="1267"/>
      <c r="I21" s="1258"/>
      <c r="J21" s="1246"/>
      <c r="K21" s="1247"/>
      <c r="L21" s="1248"/>
      <c r="M21" s="1249"/>
      <c r="N21" s="1243"/>
      <c r="P21" s="1259"/>
      <c r="Q21" s="1259"/>
      <c r="R21" s="1259"/>
    </row>
    <row r="22" spans="1:18" ht="20.25" customHeight="1">
      <c r="A22" s="1260" t="s">
        <v>923</v>
      </c>
      <c r="B22" s="1262" t="s">
        <v>997</v>
      </c>
      <c r="C22" s="1262"/>
      <c r="D22" s="1262"/>
      <c r="E22" s="1262"/>
      <c r="F22" s="1263"/>
      <c r="G22" s="1243" t="s">
        <v>33</v>
      </c>
      <c r="H22" s="1267">
        <f>คำนวณวัสดุ!N20</f>
        <v>34800</v>
      </c>
      <c r="I22" s="1258">
        <f>ค่างานต้นทุน!H61</f>
        <v>28.57</v>
      </c>
      <c r="J22" s="1246">
        <f t="shared" si="3"/>
        <v>994236</v>
      </c>
      <c r="K22" s="1247">
        <f>ROUND($H$48,4)</f>
        <v>1.2644</v>
      </c>
      <c r="L22" s="1248">
        <f t="shared" si="4"/>
        <v>36.119999999999997</v>
      </c>
      <c r="M22" s="1249">
        <f t="shared" si="5"/>
        <v>1257112</v>
      </c>
      <c r="N22" s="1243"/>
      <c r="O22" s="1265"/>
      <c r="P22" s="1259"/>
      <c r="Q22" s="1259"/>
      <c r="R22" s="1259"/>
    </row>
    <row r="23" spans="1:18" ht="20.25" customHeight="1">
      <c r="A23" s="1260" t="s">
        <v>924</v>
      </c>
      <c r="B23" s="1262" t="s">
        <v>685</v>
      </c>
      <c r="C23" s="1262"/>
      <c r="D23" s="1262"/>
      <c r="E23" s="1262"/>
      <c r="F23" s="1263"/>
      <c r="G23" s="1243" t="s">
        <v>33</v>
      </c>
      <c r="H23" s="1267"/>
      <c r="I23" s="1258">
        <v>0</v>
      </c>
      <c r="J23" s="1246">
        <f t="shared" si="3"/>
        <v>0</v>
      </c>
      <c r="K23" s="1247">
        <f>ROUND($H$48,4)</f>
        <v>1.2644</v>
      </c>
      <c r="L23" s="1248">
        <f t="shared" si="4"/>
        <v>0</v>
      </c>
      <c r="M23" s="1249">
        <f t="shared" si="5"/>
        <v>0</v>
      </c>
      <c r="N23" s="1243"/>
      <c r="P23" s="1259"/>
      <c r="Q23" s="1259"/>
      <c r="R23" s="1259"/>
    </row>
    <row r="24" spans="1:18" ht="20.25" customHeight="1">
      <c r="A24" s="1260" t="s">
        <v>925</v>
      </c>
      <c r="B24" s="1262" t="s">
        <v>686</v>
      </c>
      <c r="C24" s="1262"/>
      <c r="D24" s="1262"/>
      <c r="E24" s="1262"/>
      <c r="F24" s="1263"/>
      <c r="G24" s="1243"/>
      <c r="H24" s="1267"/>
      <c r="I24" s="1258"/>
      <c r="J24" s="1246"/>
      <c r="K24" s="1247"/>
      <c r="L24" s="1248"/>
      <c r="M24" s="1249"/>
      <c r="N24" s="1243"/>
      <c r="P24" s="1259"/>
      <c r="Q24" s="1259"/>
      <c r="R24" s="1259"/>
    </row>
    <row r="25" spans="1:18" ht="20.25" customHeight="1">
      <c r="A25" s="1260"/>
      <c r="B25" s="1262" t="s">
        <v>1101</v>
      </c>
      <c r="C25" s="1262"/>
      <c r="D25" s="1262"/>
      <c r="E25" s="1262"/>
      <c r="F25" s="1263"/>
      <c r="G25" s="1243" t="s">
        <v>33</v>
      </c>
      <c r="H25" s="1267">
        <f>H22</f>
        <v>34800</v>
      </c>
      <c r="I25" s="1258">
        <f>ค่างานต้นทุน!H56</f>
        <v>242.39</v>
      </c>
      <c r="J25" s="1246">
        <f t="shared" si="3"/>
        <v>8435172</v>
      </c>
      <c r="K25" s="1247">
        <f>ROUND($H$48,4)</f>
        <v>1.2644</v>
      </c>
      <c r="L25" s="1248">
        <f t="shared" si="4"/>
        <v>306.48</v>
      </c>
      <c r="M25" s="1249">
        <f t="shared" si="5"/>
        <v>10665431.48</v>
      </c>
      <c r="N25" s="1271" t="s">
        <v>690</v>
      </c>
      <c r="O25" s="1265"/>
      <c r="P25" s="1259"/>
      <c r="Q25" s="1259"/>
      <c r="R25" s="1259"/>
    </row>
    <row r="26" spans="1:18" ht="20.25" customHeight="1">
      <c r="A26" s="1260"/>
      <c r="B26" s="1262" t="s">
        <v>1102</v>
      </c>
      <c r="C26" s="1262"/>
      <c r="D26" s="1262"/>
      <c r="E26" s="1262"/>
      <c r="F26" s="1263"/>
      <c r="G26" s="1243" t="s">
        <v>33</v>
      </c>
      <c r="H26" s="1267">
        <f>+H23</f>
        <v>0</v>
      </c>
      <c r="I26" s="1258"/>
      <c r="J26" s="1246">
        <f t="shared" si="3"/>
        <v>0</v>
      </c>
      <c r="K26" s="1247">
        <f>ROUND($H$48,4)</f>
        <v>1.2644</v>
      </c>
      <c r="L26" s="1248">
        <f t="shared" si="4"/>
        <v>0</v>
      </c>
      <c r="M26" s="1249">
        <f t="shared" si="5"/>
        <v>0</v>
      </c>
      <c r="N26" s="1243"/>
      <c r="P26" s="1259"/>
      <c r="Q26" s="1259"/>
      <c r="R26" s="1259"/>
    </row>
    <row r="27" spans="1:18" ht="20.25" customHeight="1">
      <c r="A27" s="1271">
        <f>A16+1</f>
        <v>4</v>
      </c>
      <c r="B27" s="1256" t="s">
        <v>50</v>
      </c>
      <c r="C27" s="1256"/>
      <c r="D27" s="1262"/>
      <c r="E27" s="1262"/>
      <c r="F27" s="1263"/>
      <c r="G27" s="1243"/>
      <c r="H27" s="1267"/>
      <c r="I27" s="1258"/>
      <c r="J27" s="1246"/>
      <c r="K27" s="1247"/>
      <c r="L27" s="1248"/>
      <c r="M27" s="1249"/>
      <c r="N27" s="1243"/>
      <c r="P27" s="1259"/>
      <c r="Q27" s="1259"/>
      <c r="R27" s="1259"/>
    </row>
    <row r="28" spans="1:18" ht="20.25" customHeight="1">
      <c r="A28" s="1260">
        <f>A27+0.1</f>
        <v>4.0999999999999996</v>
      </c>
      <c r="B28" s="1262" t="s">
        <v>711</v>
      </c>
      <c r="C28" s="1262"/>
      <c r="D28" s="1262"/>
      <c r="E28" s="1262"/>
      <c r="F28" s="1263"/>
      <c r="G28" s="1243" t="s">
        <v>33</v>
      </c>
      <c r="H28" s="1267">
        <f>คำนวณวัสดุ!N21</f>
        <v>11600</v>
      </c>
      <c r="I28" s="1258">
        <f>+I22</f>
        <v>28.57</v>
      </c>
      <c r="J28" s="1246">
        <f t="shared" si="3"/>
        <v>331412</v>
      </c>
      <c r="K28" s="1247">
        <f>ROUND($H$48,4)</f>
        <v>1.2644</v>
      </c>
      <c r="L28" s="1248">
        <f t="shared" si="4"/>
        <v>36.119999999999997</v>
      </c>
      <c r="M28" s="1249">
        <f t="shared" si="5"/>
        <v>419037.33</v>
      </c>
      <c r="N28" s="1243"/>
      <c r="P28" s="1259"/>
      <c r="Q28" s="1259"/>
      <c r="R28" s="1259"/>
    </row>
    <row r="29" spans="1:18" ht="20.25" customHeight="1">
      <c r="A29" s="1260">
        <f>A28+0.1</f>
        <v>4.1999999999999993</v>
      </c>
      <c r="B29" s="1262" t="s">
        <v>685</v>
      </c>
      <c r="C29" s="1262"/>
      <c r="D29" s="1262"/>
      <c r="E29" s="1262"/>
      <c r="F29" s="1263"/>
      <c r="G29" s="1243" t="s">
        <v>33</v>
      </c>
      <c r="H29" s="1267"/>
      <c r="I29" s="1258"/>
      <c r="J29" s="1246">
        <f t="shared" si="3"/>
        <v>0</v>
      </c>
      <c r="K29" s="1247">
        <f>ROUND($H$48,4)</f>
        <v>1.2644</v>
      </c>
      <c r="L29" s="1248">
        <f t="shared" si="4"/>
        <v>0</v>
      </c>
      <c r="M29" s="1249">
        <f t="shared" si="5"/>
        <v>0</v>
      </c>
      <c r="N29" s="1243"/>
      <c r="P29" s="1259"/>
      <c r="Q29" s="1259"/>
      <c r="R29" s="1259"/>
    </row>
    <row r="30" spans="1:18" ht="20.25" customHeight="1">
      <c r="A30" s="1260">
        <f>A29+0.1</f>
        <v>4.2999999999999989</v>
      </c>
      <c r="B30" s="1262" t="s">
        <v>829</v>
      </c>
      <c r="C30" s="1262"/>
      <c r="D30" s="1262"/>
      <c r="E30" s="1262"/>
      <c r="F30" s="1263"/>
      <c r="G30" s="1243"/>
      <c r="H30" s="1267"/>
      <c r="I30" s="1258"/>
      <c r="J30" s="1246"/>
      <c r="K30" s="1247"/>
      <c r="L30" s="1248"/>
      <c r="M30" s="1249"/>
      <c r="N30" s="1243"/>
      <c r="P30" s="1259"/>
      <c r="Q30" s="1259"/>
      <c r="R30" s="1259"/>
    </row>
    <row r="31" spans="1:18" ht="20.25" customHeight="1">
      <c r="A31" s="1260"/>
      <c r="B31" s="1262" t="s">
        <v>1101</v>
      </c>
      <c r="C31" s="1262"/>
      <c r="D31" s="1262"/>
      <c r="E31" s="1262"/>
      <c r="F31" s="1263"/>
      <c r="G31" s="1243" t="s">
        <v>33</v>
      </c>
      <c r="H31" s="1267">
        <f>H28</f>
        <v>11600</v>
      </c>
      <c r="I31" s="1258">
        <f>+I25</f>
        <v>242.39</v>
      </c>
      <c r="J31" s="1246">
        <f t="shared" si="3"/>
        <v>2811724</v>
      </c>
      <c r="K31" s="1247">
        <f>ROUND($H$48,4)</f>
        <v>1.2644</v>
      </c>
      <c r="L31" s="1248">
        <f t="shared" si="4"/>
        <v>306.48</v>
      </c>
      <c r="M31" s="1249">
        <f t="shared" si="5"/>
        <v>3555143.83</v>
      </c>
      <c r="N31" s="1271" t="s">
        <v>690</v>
      </c>
      <c r="P31" s="1259"/>
      <c r="Q31" s="1259"/>
      <c r="R31" s="1259"/>
    </row>
    <row r="32" spans="1:18" ht="20.25" customHeight="1">
      <c r="A32" s="1260"/>
      <c r="B32" s="1262" t="s">
        <v>1102</v>
      </c>
      <c r="C32" s="1262"/>
      <c r="D32" s="1262"/>
      <c r="E32" s="1262"/>
      <c r="F32" s="1263"/>
      <c r="G32" s="1243" t="s">
        <v>33</v>
      </c>
      <c r="H32" s="1267">
        <f>H29</f>
        <v>0</v>
      </c>
      <c r="I32" s="1258">
        <f>+I26</f>
        <v>0</v>
      </c>
      <c r="J32" s="1246">
        <f t="shared" si="3"/>
        <v>0</v>
      </c>
      <c r="K32" s="1247">
        <f>ROUND($H$48,4)</f>
        <v>1.2644</v>
      </c>
      <c r="L32" s="1248">
        <f t="shared" si="4"/>
        <v>0</v>
      </c>
      <c r="M32" s="1249">
        <f t="shared" si="5"/>
        <v>0</v>
      </c>
      <c r="N32" s="1243"/>
      <c r="P32" s="1259"/>
      <c r="Q32" s="1259"/>
      <c r="R32" s="1259"/>
    </row>
    <row r="33" spans="1:18" ht="20.25" customHeight="1">
      <c r="A33" s="1272">
        <f>A27+1</f>
        <v>5</v>
      </c>
      <c r="B33" s="1273" t="s">
        <v>1095</v>
      </c>
      <c r="C33" s="1274"/>
      <c r="D33" s="1275"/>
      <c r="E33" s="1262"/>
      <c r="F33" s="1263"/>
      <c r="G33" s="1243"/>
      <c r="H33" s="1267"/>
      <c r="I33" s="1258"/>
      <c r="J33" s="1246"/>
      <c r="K33" s="1247"/>
      <c r="L33" s="1248"/>
      <c r="M33" s="1249"/>
      <c r="N33" s="1243"/>
      <c r="P33" s="1259"/>
      <c r="Q33" s="1259"/>
      <c r="R33" s="1259"/>
    </row>
    <row r="34" spans="1:18" ht="20.25" customHeight="1">
      <c r="A34" s="1276">
        <v>5.0999999999999996</v>
      </c>
      <c r="B34" s="1277" t="s">
        <v>1072</v>
      </c>
      <c r="C34" s="1274"/>
      <c r="D34" s="1275"/>
      <c r="E34" s="1262"/>
      <c r="F34" s="1263"/>
      <c r="G34" s="1243" t="s">
        <v>33</v>
      </c>
      <c r="H34" s="1267">
        <v>120</v>
      </c>
      <c r="I34" s="1258">
        <f>ค่างานต้นทุน!H66</f>
        <v>33.83</v>
      </c>
      <c r="J34" s="1246">
        <f t="shared" si="3"/>
        <v>4059.6</v>
      </c>
      <c r="K34" s="1247">
        <f>ROUND($H$48,4)</f>
        <v>1.2644</v>
      </c>
      <c r="L34" s="1248">
        <f t="shared" si="4"/>
        <v>42.77</v>
      </c>
      <c r="M34" s="1249">
        <f t="shared" si="5"/>
        <v>5132.96</v>
      </c>
      <c r="N34" s="1243"/>
      <c r="P34" s="1259"/>
      <c r="Q34" s="1259"/>
      <c r="R34" s="1259"/>
    </row>
    <row r="35" spans="1:18" ht="20.25" customHeight="1">
      <c r="A35" s="1276">
        <v>5.2</v>
      </c>
      <c r="B35" s="1262" t="s">
        <v>1101</v>
      </c>
      <c r="C35" s="1275"/>
      <c r="D35" s="1275"/>
      <c r="E35" s="1278"/>
      <c r="F35" s="1263"/>
      <c r="G35" s="1243" t="s">
        <v>33</v>
      </c>
      <c r="H35" s="1267">
        <v>120</v>
      </c>
      <c r="I35" s="1258">
        <f>ค่างานต้นทุน!H56</f>
        <v>242.39</v>
      </c>
      <c r="J35" s="1246">
        <f t="shared" si="3"/>
        <v>29086.799999999999</v>
      </c>
      <c r="K35" s="1247">
        <f>ROUND($H$48,4)</f>
        <v>1.2644</v>
      </c>
      <c r="L35" s="1248">
        <f t="shared" si="4"/>
        <v>306.48</v>
      </c>
      <c r="M35" s="1249">
        <f t="shared" si="5"/>
        <v>36777.35</v>
      </c>
      <c r="N35" s="1271" t="s">
        <v>690</v>
      </c>
      <c r="P35" s="1259"/>
      <c r="Q35" s="1259"/>
      <c r="R35" s="1259"/>
    </row>
    <row r="36" spans="1:18">
      <c r="A36" s="1279">
        <f>A33+1</f>
        <v>6</v>
      </c>
      <c r="B36" s="1280" t="s">
        <v>926</v>
      </c>
      <c r="C36" s="1281"/>
      <c r="D36" s="1281"/>
      <c r="E36" s="1281"/>
      <c r="F36" s="1263"/>
      <c r="G36" s="1282"/>
      <c r="H36" s="1283"/>
      <c r="I36" s="1284"/>
      <c r="J36" s="1246"/>
      <c r="K36" s="1247"/>
      <c r="L36" s="1248"/>
      <c r="M36" s="1249"/>
      <c r="N36" s="1243"/>
      <c r="P36" s="1259"/>
      <c r="Q36" s="1259"/>
      <c r="R36" s="1259"/>
    </row>
    <row r="37" spans="1:18">
      <c r="A37" s="1285">
        <v>6.1</v>
      </c>
      <c r="B37" s="1262" t="s">
        <v>928</v>
      </c>
      <c r="C37" s="1262"/>
      <c r="D37" s="1262" t="s">
        <v>931</v>
      </c>
      <c r="E37" s="1286" t="s">
        <v>1081</v>
      </c>
      <c r="F37" s="1263"/>
      <c r="G37" s="1243" t="s">
        <v>42</v>
      </c>
      <c r="H37" s="1283">
        <v>1</v>
      </c>
      <c r="I37" s="1284">
        <v>2980</v>
      </c>
      <c r="J37" s="1246">
        <f>ROUND(ROUND(H37,2)*ROUND(I37,2),2)</f>
        <v>2980</v>
      </c>
      <c r="K37" s="1247">
        <f>ROUND($H$48,4)</f>
        <v>1.2644</v>
      </c>
      <c r="L37" s="1248">
        <f>ROUND(ROUND(I37,2)*K37,2)</f>
        <v>3767.91</v>
      </c>
      <c r="M37" s="1249">
        <f>ROUND(K37*J37,2)</f>
        <v>3767.91</v>
      </c>
      <c r="N37" s="1243"/>
      <c r="P37" s="1259"/>
      <c r="Q37" s="1259"/>
      <c r="R37" s="1259"/>
    </row>
    <row r="38" spans="1:18">
      <c r="A38" s="1285">
        <f t="shared" ref="A38" si="6">A37+0.1</f>
        <v>6.1999999999999993</v>
      </c>
      <c r="B38" s="1262" t="s">
        <v>928</v>
      </c>
      <c r="C38" s="1262"/>
      <c r="D38" s="1262" t="s">
        <v>930</v>
      </c>
      <c r="E38" s="1286" t="s">
        <v>929</v>
      </c>
      <c r="F38" s="1263"/>
      <c r="G38" s="1243" t="s">
        <v>42</v>
      </c>
      <c r="H38" s="1283">
        <v>1</v>
      </c>
      <c r="I38" s="1284">
        <v>4680</v>
      </c>
      <c r="J38" s="1246">
        <f>ROUND(ROUND(H38,2)*ROUND(I38,2),2)</f>
        <v>4680</v>
      </c>
      <c r="K38" s="1247">
        <f>ROUND($H$48,4)</f>
        <v>1.2644</v>
      </c>
      <c r="L38" s="1248">
        <f>ROUND(ROUND(I38,2)*K38,2)</f>
        <v>5917.39</v>
      </c>
      <c r="M38" s="1249">
        <f>ROUND(K38*J38,2)</f>
        <v>5917.39</v>
      </c>
      <c r="N38" s="1243"/>
      <c r="P38" s="1259"/>
      <c r="Q38" s="1259"/>
      <c r="R38" s="1259"/>
    </row>
    <row r="39" spans="1:18">
      <c r="A39" s="1285">
        <v>6.3</v>
      </c>
      <c r="B39" s="1262" t="s">
        <v>1080</v>
      </c>
      <c r="C39" s="1262"/>
      <c r="D39" s="1262"/>
      <c r="E39" s="1286"/>
      <c r="F39" s="1263" t="s">
        <v>1082</v>
      </c>
      <c r="G39" s="1243" t="s">
        <v>42</v>
      </c>
      <c r="H39" s="1283">
        <v>2</v>
      </c>
      <c r="I39" s="1284">
        <v>11760</v>
      </c>
      <c r="J39" s="1246">
        <f>ROUND(ROUND(H39,2)*ROUND(I39,2),2)</f>
        <v>23520</v>
      </c>
      <c r="K39" s="1247">
        <f>ROUND($H$48,4)</f>
        <v>1.2644</v>
      </c>
      <c r="L39" s="1248">
        <f>ROUND(ROUND(I39,2)*K39,2)</f>
        <v>14869.34</v>
      </c>
      <c r="M39" s="1249">
        <f>ROUND(K39*J39,2)</f>
        <v>29738.69</v>
      </c>
      <c r="N39" s="1243"/>
      <c r="P39" s="1259"/>
      <c r="Q39" s="1259"/>
      <c r="R39" s="1259"/>
    </row>
    <row r="40" spans="1:18">
      <c r="A40" s="1254">
        <f>A36+1</f>
        <v>7</v>
      </c>
      <c r="B40" s="1255" t="s">
        <v>932</v>
      </c>
      <c r="C40" s="1256"/>
      <c r="D40" s="1262"/>
      <c r="E40" s="1262"/>
      <c r="F40" s="1263"/>
      <c r="G40" s="1243"/>
      <c r="H40" s="1257"/>
      <c r="I40" s="1258"/>
      <c r="J40" s="1246"/>
      <c r="K40" s="1247"/>
      <c r="L40" s="1248"/>
      <c r="M40" s="1249"/>
      <c r="N40" s="1243"/>
      <c r="P40" s="1259"/>
      <c r="Q40" s="1259"/>
      <c r="R40" s="1259"/>
    </row>
    <row r="41" spans="1:18">
      <c r="A41" s="1260">
        <f>A40+0.1</f>
        <v>7.1</v>
      </c>
      <c r="B41" s="1287" t="s">
        <v>933</v>
      </c>
      <c r="C41" s="1288"/>
      <c r="D41" s="1288"/>
      <c r="E41" s="1289"/>
      <c r="F41" s="1290"/>
      <c r="G41" s="1243" t="s">
        <v>33</v>
      </c>
      <c r="H41" s="1291">
        <f>คำนวณวัสดุ!N60</f>
        <v>2227.35</v>
      </c>
      <c r="I41" s="1258">
        <v>290</v>
      </c>
      <c r="J41" s="1246">
        <f t="shared" si="3"/>
        <v>645931.5</v>
      </c>
      <c r="K41" s="1247">
        <f>ROUND($H$48,4)</f>
        <v>1.2644</v>
      </c>
      <c r="L41" s="1248">
        <f t="shared" si="4"/>
        <v>366.68</v>
      </c>
      <c r="M41" s="1249">
        <f t="shared" si="5"/>
        <v>816715.79</v>
      </c>
      <c r="N41" s="1271" t="s">
        <v>1074</v>
      </c>
      <c r="P41" s="1259"/>
      <c r="Q41" s="1259"/>
      <c r="R41" s="1259"/>
    </row>
    <row r="42" spans="1:18">
      <c r="A42" s="1260">
        <f t="shared" ref="A42:A43" si="7">A41+0.1</f>
        <v>7.1999999999999993</v>
      </c>
      <c r="B42" s="1287" t="s">
        <v>708</v>
      </c>
      <c r="C42" s="1288"/>
      <c r="D42" s="1288"/>
      <c r="E42" s="1292">
        <f>Data!C20+Data!D20</f>
        <v>1</v>
      </c>
      <c r="F42" s="1290" t="s">
        <v>927</v>
      </c>
      <c r="G42" s="1243" t="s">
        <v>33</v>
      </c>
      <c r="H42" s="1291">
        <f>คำนวณวัสดุ!N66</f>
        <v>0.85499999999999998</v>
      </c>
      <c r="I42" s="1258">
        <v>290</v>
      </c>
      <c r="J42" s="1246">
        <f>ROUND(ROUND(H42,2)*ROUND(I42,2),2)</f>
        <v>249.4</v>
      </c>
      <c r="K42" s="1247">
        <f>ROUND($H$48,4)</f>
        <v>1.2644</v>
      </c>
      <c r="L42" s="1248">
        <f>ROUND(ROUND(I42,2)*K42,2)</f>
        <v>366.68</v>
      </c>
      <c r="M42" s="1249">
        <f>ROUND(K42*J42,2)</f>
        <v>315.33999999999997</v>
      </c>
      <c r="N42" s="1243"/>
      <c r="P42" s="1259"/>
      <c r="Q42" s="1259"/>
      <c r="R42" s="1259"/>
    </row>
    <row r="43" spans="1:18">
      <c r="A43" s="1260">
        <f t="shared" si="7"/>
        <v>7.2999999999999989</v>
      </c>
      <c r="B43" s="1287" t="s">
        <v>934</v>
      </c>
      <c r="C43" s="1288"/>
      <c r="D43" s="1288"/>
      <c r="E43" s="1292">
        <f>Data!C22+Data!D22</f>
        <v>10</v>
      </c>
      <c r="F43" s="1290" t="s">
        <v>927</v>
      </c>
      <c r="G43" s="1243" t="s">
        <v>33</v>
      </c>
      <c r="H43" s="1291">
        <v>75</v>
      </c>
      <c r="I43" s="1258">
        <v>460</v>
      </c>
      <c r="J43" s="1246">
        <f t="shared" si="3"/>
        <v>34500</v>
      </c>
      <c r="K43" s="1247">
        <f>ROUND($H$48,4)</f>
        <v>1.2644</v>
      </c>
      <c r="L43" s="1248">
        <f t="shared" si="4"/>
        <v>581.62</v>
      </c>
      <c r="M43" s="1249">
        <f t="shared" si="5"/>
        <v>43621.8</v>
      </c>
      <c r="N43" s="1243"/>
      <c r="P43" s="1259"/>
      <c r="Q43" s="1259"/>
      <c r="R43" s="1259"/>
    </row>
    <row r="44" spans="1:18">
      <c r="A44" s="1254">
        <f>A40+1</f>
        <v>8</v>
      </c>
      <c r="B44" s="1255" t="s">
        <v>432</v>
      </c>
      <c r="C44" s="1256"/>
      <c r="D44" s="1262"/>
      <c r="E44" s="1262"/>
      <c r="F44" s="1263"/>
      <c r="G44" s="1243"/>
      <c r="H44" s="1293"/>
      <c r="I44" s="1294"/>
      <c r="J44" s="1246"/>
      <c r="K44" s="1247"/>
      <c r="L44" s="1248"/>
      <c r="M44" s="1249"/>
      <c r="N44" s="1243"/>
      <c r="P44" s="1259"/>
      <c r="Q44" s="1259"/>
      <c r="R44" s="1259"/>
    </row>
    <row r="45" spans="1:18">
      <c r="A45" s="1295">
        <f>A44+0.1</f>
        <v>8.1</v>
      </c>
      <c r="B45" s="1296" t="s">
        <v>433</v>
      </c>
      <c r="C45" s="1297"/>
      <c r="D45" s="1297"/>
      <c r="E45" s="1297"/>
      <c r="F45" s="1298"/>
      <c r="G45" s="1299" t="s">
        <v>42</v>
      </c>
      <c r="H45" s="1300">
        <v>1</v>
      </c>
      <c r="I45" s="1301">
        <v>4840</v>
      </c>
      <c r="J45" s="1302">
        <f t="shared" si="3"/>
        <v>4840</v>
      </c>
      <c r="K45" s="1303">
        <f>ROUND($H$48,4)</f>
        <v>1.2644</v>
      </c>
      <c r="L45" s="1304">
        <f t="shared" si="4"/>
        <v>6119.7</v>
      </c>
      <c r="M45" s="1305">
        <f t="shared" si="5"/>
        <v>6119.7</v>
      </c>
      <c r="N45" s="1299"/>
      <c r="P45" s="1259"/>
      <c r="Q45" s="1259"/>
      <c r="R45" s="1259"/>
    </row>
    <row r="46" spans="1:18" ht="23.25">
      <c r="A46" s="1306"/>
      <c r="B46" s="1307" t="s">
        <v>434</v>
      </c>
      <c r="C46" s="1308"/>
      <c r="D46" s="1309"/>
      <c r="E46" s="1309"/>
      <c r="F46" s="1310"/>
      <c r="G46" s="1230"/>
      <c r="H46" s="1311"/>
      <c r="I46" s="1312"/>
      <c r="J46" s="1313">
        <f>SUM(J12:J45)</f>
        <v>18101536.900000002</v>
      </c>
      <c r="K46" s="1314"/>
      <c r="L46" s="1315"/>
      <c r="M46" s="1316">
        <f>ROUNDDOWN(SUM(M12:M45),2)</f>
        <v>22887583.27</v>
      </c>
      <c r="N46" s="1230"/>
      <c r="P46" s="1259"/>
      <c r="Q46" s="1259"/>
      <c r="R46" s="1259"/>
    </row>
    <row r="47" spans="1:18" ht="23.25">
      <c r="B47" s="1205" t="s">
        <v>962</v>
      </c>
      <c r="H47" s="1317">
        <f>J46</f>
        <v>18101536.900000002</v>
      </c>
      <c r="I47" s="1318" t="s">
        <v>1027</v>
      </c>
      <c r="J47" s="1223">
        <v>0</v>
      </c>
      <c r="K47" s="1319" t="s">
        <v>49</v>
      </c>
      <c r="M47" s="1320"/>
    </row>
    <row r="48" spans="1:18">
      <c r="B48" s="1205" t="s">
        <v>435</v>
      </c>
      <c r="H48" s="1321">
        <v>1.2644</v>
      </c>
      <c r="I48" s="1319"/>
      <c r="J48" s="1322"/>
      <c r="K48" s="1323"/>
      <c r="L48" s="1324"/>
      <c r="M48" s="1320"/>
    </row>
    <row r="49" spans="7:11">
      <c r="H49" s="1325"/>
      <c r="I49" s="1326"/>
      <c r="J49" s="1323"/>
      <c r="K49" s="1205"/>
    </row>
    <row r="50" spans="7:11">
      <c r="I50" s="1210"/>
    </row>
    <row r="51" spans="7:11" s="1217" customFormat="1">
      <c r="G51" s="1216"/>
      <c r="H51" s="1212"/>
      <c r="I51" s="1210"/>
      <c r="J51" s="1210"/>
    </row>
    <row r="52" spans="7:11" s="1217" customFormat="1">
      <c r="G52" s="1216"/>
      <c r="H52" s="1212">
        <v>18285738.5</v>
      </c>
      <c r="I52" s="1210"/>
    </row>
    <row r="53" spans="7:11" s="1217" customFormat="1">
      <c r="G53" s="1216"/>
      <c r="H53" s="1212"/>
      <c r="I53" s="1210"/>
    </row>
    <row r="54" spans="7:11" s="1217" customFormat="1">
      <c r="G54" s="1216"/>
      <c r="H54" s="1212"/>
      <c r="I54" s="1210"/>
    </row>
    <row r="55" spans="7:11" s="1217" customFormat="1">
      <c r="G55" s="1216"/>
      <c r="H55" s="1212"/>
      <c r="I55" s="1210"/>
    </row>
    <row r="56" spans="7:11" s="1217" customFormat="1">
      <c r="G56" s="1216"/>
      <c r="H56" s="1212"/>
      <c r="I56" s="1210"/>
    </row>
    <row r="57" spans="7:11" s="1217" customFormat="1">
      <c r="G57" s="1216"/>
      <c r="H57" s="1212"/>
      <c r="I57" s="1210"/>
    </row>
    <row r="58" spans="7:11" s="1217" customFormat="1">
      <c r="G58" s="1216"/>
      <c r="H58" s="1212"/>
      <c r="I58" s="1210"/>
    </row>
  </sheetData>
  <mergeCells count="16">
    <mergeCell ref="A8:C8"/>
    <mergeCell ref="B14:F14"/>
    <mergeCell ref="P11:R11"/>
    <mergeCell ref="A1:N1"/>
    <mergeCell ref="A2:N2"/>
    <mergeCell ref="J9:J10"/>
    <mergeCell ref="H9:H10"/>
    <mergeCell ref="K4:N4"/>
    <mergeCell ref="K9:K10"/>
    <mergeCell ref="A9:A11"/>
    <mergeCell ref="B9:F11"/>
    <mergeCell ref="G9:G11"/>
    <mergeCell ref="N9:N11"/>
    <mergeCell ref="I9:I10"/>
    <mergeCell ref="D8:F8"/>
    <mergeCell ref="H3:I3"/>
  </mergeCells>
  <phoneticPr fontId="85" type="noConversion"/>
  <conditionalFormatting sqref="B5:C5">
    <cfRule type="cellIs" dxfId="0" priority="1" stopIfTrue="1" operator="equal">
      <formula>0</formula>
    </cfRule>
  </conditionalFormatting>
  <dataValidations count="1">
    <dataValidation type="list" allowBlank="1" showInputMessage="1" showErrorMessage="1" sqref="A8" xr:uid="{B950B83F-FB71-4DB2-B297-D64879692F4D}">
      <formula1>$Q$2:$Q$3</formula1>
    </dataValidation>
  </dataValidations>
  <printOptions horizontalCentered="1"/>
  <pageMargins left="0.17" right="3.9370078740157501E-2" top="0.31496062992126" bottom="0.3" header="0.31496062992126" footer="0.23622047244094499"/>
  <pageSetup scale="92" orientation="landscape" r:id="rId1"/>
  <headerFooter alignWithMargins="0">
    <oddHeader>&amp;R&amp;"TH Sarabun New,Regular"&amp;12ปร.4ท แผ่นที่ &amp;P&amp;'/&amp;N</oddHeader>
    <oddFooter xml:space="preserve">&amp;L &amp;R </oddFooter>
  </headerFooter>
  <rowBreaks count="1" manualBreakCount="1">
    <brk id="29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84"/>
  <sheetViews>
    <sheetView tabSelected="1" zoomScaleNormal="100" workbookViewId="0">
      <selection activeCell="L59" sqref="L59"/>
    </sheetView>
  </sheetViews>
  <sheetFormatPr defaultColWidth="10.28515625" defaultRowHeight="18"/>
  <cols>
    <col min="1" max="1" width="10.28515625" style="861" customWidth="1"/>
    <col min="2" max="9" width="10.28515625" style="862" customWidth="1"/>
    <col min="10" max="10" width="9.140625" style="862" customWidth="1"/>
    <col min="11" max="11" width="26.42578125" style="861" customWidth="1"/>
    <col min="12" max="12" width="17" style="861" customWidth="1"/>
    <col min="13" max="13" width="20.42578125" style="861" customWidth="1"/>
    <col min="14" max="14" width="18.5703125" style="861" customWidth="1"/>
    <col min="15" max="15" width="19.5703125" style="861" customWidth="1"/>
    <col min="16" max="16" width="23.140625" style="862" customWidth="1"/>
    <col min="17" max="17" width="19.28515625" style="862" customWidth="1"/>
    <col min="18" max="18" width="19.140625" style="862" customWidth="1"/>
    <col min="19" max="19" width="22.140625" style="862" customWidth="1"/>
    <col min="20" max="20" width="18.5703125" style="862" customWidth="1"/>
    <col min="21" max="21" width="17.140625" style="862" customWidth="1"/>
    <col min="22" max="16384" width="10.28515625" style="862"/>
  </cols>
  <sheetData>
    <row r="1" spans="1:21">
      <c r="A1" s="859" t="s">
        <v>448</v>
      </c>
      <c r="B1" s="860"/>
      <c r="C1" s="860"/>
      <c r="D1" s="860"/>
      <c r="E1" s="860"/>
      <c r="F1" s="860"/>
      <c r="G1" s="860"/>
      <c r="H1" s="860"/>
      <c r="I1" s="860"/>
      <c r="J1" s="860"/>
      <c r="K1" s="886" t="s">
        <v>992</v>
      </c>
    </row>
    <row r="2" spans="1:21" ht="36">
      <c r="A2" s="859"/>
      <c r="B2" s="863" t="s">
        <v>449</v>
      </c>
      <c r="C2" s="860"/>
      <c r="D2" s="860"/>
      <c r="E2" s="860"/>
      <c r="F2" s="860"/>
      <c r="G2" s="860"/>
      <c r="H2" s="860"/>
      <c r="I2" s="860"/>
      <c r="K2" s="864" t="s">
        <v>450</v>
      </c>
      <c r="L2" s="864" t="s">
        <v>451</v>
      </c>
      <c r="M2" s="864" t="s">
        <v>452</v>
      </c>
      <c r="N2" s="865" t="s">
        <v>453</v>
      </c>
      <c r="O2" s="864" t="s">
        <v>454</v>
      </c>
      <c r="P2" s="866" t="s">
        <v>455</v>
      </c>
      <c r="Q2" s="865" t="s">
        <v>456</v>
      </c>
      <c r="R2" s="864" t="s">
        <v>457</v>
      </c>
      <c r="S2" s="866" t="s">
        <v>458</v>
      </c>
      <c r="T2" s="867" t="s">
        <v>459</v>
      </c>
      <c r="U2" s="868" t="s">
        <v>460</v>
      </c>
    </row>
    <row r="3" spans="1:21">
      <c r="A3" s="869">
        <v>1</v>
      </c>
      <c r="B3" s="863" t="s">
        <v>8</v>
      </c>
      <c r="K3" s="870" t="s">
        <v>461</v>
      </c>
      <c r="L3" s="870" t="s">
        <v>461</v>
      </c>
      <c r="M3" s="870" t="s">
        <v>461</v>
      </c>
      <c r="N3" s="871" t="s">
        <v>461</v>
      </c>
      <c r="O3" s="870" t="s">
        <v>461</v>
      </c>
      <c r="P3" s="870" t="s">
        <v>461</v>
      </c>
      <c r="Q3" s="870" t="s">
        <v>461</v>
      </c>
      <c r="R3" s="870" t="s">
        <v>461</v>
      </c>
      <c r="S3" s="870" t="s">
        <v>461</v>
      </c>
      <c r="T3" s="872" t="s">
        <v>461</v>
      </c>
      <c r="U3" s="873"/>
    </row>
    <row r="4" spans="1:21">
      <c r="B4" s="862" t="s">
        <v>462</v>
      </c>
      <c r="D4" s="874" t="s">
        <v>463</v>
      </c>
      <c r="G4" s="862" t="s">
        <v>34</v>
      </c>
      <c r="K4" s="875">
        <f>+Data!C10</f>
        <v>6</v>
      </c>
      <c r="L4" s="875">
        <f>+Data!C13</f>
        <v>1</v>
      </c>
      <c r="M4" s="875">
        <f>$L$4*2</f>
        <v>2</v>
      </c>
      <c r="N4" s="876">
        <f>($K$4+$M$4)</f>
        <v>8</v>
      </c>
      <c r="O4" s="875" t="e">
        <f>+Data!#REF!</f>
        <v>#REF!</v>
      </c>
      <c r="P4" s="875" t="e">
        <f>2*O4*1.5</f>
        <v>#REF!</v>
      </c>
      <c r="Q4" s="875" t="e">
        <f>($N$4+$P$4)</f>
        <v>#REF!</v>
      </c>
      <c r="R4" s="875"/>
      <c r="S4" s="875">
        <f>2*R4*1.5</f>
        <v>0</v>
      </c>
      <c r="T4" s="877" t="e">
        <f>($Q$4+$S$4)</f>
        <v>#REF!</v>
      </c>
      <c r="U4" s="878" t="e">
        <f>+T4*Data!C11</f>
        <v>#REF!</v>
      </c>
    </row>
    <row r="5" spans="1:21">
      <c r="B5" s="862" t="s">
        <v>464</v>
      </c>
      <c r="D5" s="874" t="s">
        <v>465</v>
      </c>
      <c r="G5" s="862" t="s">
        <v>34</v>
      </c>
      <c r="K5" s="1365" t="s">
        <v>536</v>
      </c>
      <c r="L5" s="1365"/>
      <c r="M5" s="1365"/>
      <c r="N5" s="879">
        <f>+M4*O15</f>
        <v>0</v>
      </c>
      <c r="P5" s="879"/>
      <c r="Q5" s="879"/>
      <c r="R5" s="861"/>
      <c r="S5" s="880"/>
    </row>
    <row r="6" spans="1:21">
      <c r="B6" s="862" t="s">
        <v>466</v>
      </c>
      <c r="D6" s="874" t="s">
        <v>467</v>
      </c>
      <c r="G6" s="862" t="s">
        <v>34</v>
      </c>
      <c r="J6" s="863"/>
      <c r="K6" s="862"/>
      <c r="L6" s="862"/>
      <c r="M6" s="862"/>
      <c r="N6" s="862"/>
      <c r="O6" s="862"/>
    </row>
    <row r="7" spans="1:21">
      <c r="A7" s="869">
        <v>2</v>
      </c>
      <c r="B7" s="863" t="s">
        <v>468</v>
      </c>
      <c r="H7" s="862">
        <v>2</v>
      </c>
      <c r="K7" s="886" t="s">
        <v>993</v>
      </c>
    </row>
    <row r="8" spans="1:21" ht="36">
      <c r="B8" s="862" t="s">
        <v>462</v>
      </c>
      <c r="D8" s="874" t="s">
        <v>470</v>
      </c>
      <c r="G8" s="862" t="s">
        <v>34</v>
      </c>
      <c r="K8" s="865" t="s">
        <v>453</v>
      </c>
      <c r="L8" s="865" t="s">
        <v>456</v>
      </c>
      <c r="M8" s="864" t="s">
        <v>454</v>
      </c>
      <c r="N8" s="864" t="s">
        <v>476</v>
      </c>
      <c r="O8" s="866" t="s">
        <v>420</v>
      </c>
      <c r="P8" s="864" t="s">
        <v>469</v>
      </c>
    </row>
    <row r="9" spans="1:21">
      <c r="B9" s="862" t="s">
        <v>464</v>
      </c>
      <c r="D9" s="874" t="s">
        <v>473</v>
      </c>
      <c r="G9" s="862" t="s">
        <v>34</v>
      </c>
      <c r="K9" s="871" t="s">
        <v>461</v>
      </c>
      <c r="L9" s="871" t="s">
        <v>461</v>
      </c>
      <c r="M9" s="870" t="s">
        <v>461</v>
      </c>
      <c r="N9" s="870" t="s">
        <v>471</v>
      </c>
      <c r="O9" s="870" t="s">
        <v>461</v>
      </c>
      <c r="P9" s="870" t="s">
        <v>472</v>
      </c>
    </row>
    <row r="10" spans="1:21">
      <c r="B10" s="862" t="s">
        <v>466</v>
      </c>
      <c r="D10" s="874" t="s">
        <v>474</v>
      </c>
      <c r="G10" s="862" t="s">
        <v>34</v>
      </c>
      <c r="K10" s="876">
        <f>($K$4+$M$4)</f>
        <v>8</v>
      </c>
      <c r="L10" s="876" t="e">
        <f>($N$4+$P$4)</f>
        <v>#REF!</v>
      </c>
      <c r="M10" s="875" t="e">
        <f>+Data!#REF!</f>
        <v>#REF!</v>
      </c>
      <c r="N10" s="875" t="e">
        <f>(K10+L10)/2*M10</f>
        <v>#REF!</v>
      </c>
      <c r="O10" s="875">
        <f>+Data!C11</f>
        <v>5800</v>
      </c>
      <c r="P10" s="882" t="e">
        <f>ROUNDUP(N10*O10,0)</f>
        <v>#REF!</v>
      </c>
    </row>
    <row r="11" spans="1:21">
      <c r="B11" s="863" t="s">
        <v>475</v>
      </c>
      <c r="D11" s="874"/>
      <c r="J11" s="863"/>
      <c r="K11" s="948"/>
      <c r="L11" s="948"/>
      <c r="M11" s="919"/>
      <c r="N11" s="919"/>
      <c r="O11" s="919"/>
      <c r="P11" s="887"/>
    </row>
    <row r="12" spans="1:21">
      <c r="A12" s="869">
        <v>1</v>
      </c>
      <c r="B12" s="863" t="s">
        <v>8</v>
      </c>
      <c r="K12" s="907" t="s">
        <v>712</v>
      </c>
      <c r="L12" s="881"/>
      <c r="M12" s="880"/>
      <c r="N12" s="880"/>
      <c r="P12" s="880"/>
      <c r="Q12" s="880"/>
      <c r="R12" s="861"/>
      <c r="S12" s="880"/>
    </row>
    <row r="13" spans="1:21">
      <c r="A13" s="861">
        <v>1.1000000000000001</v>
      </c>
      <c r="B13" s="862" t="s">
        <v>462</v>
      </c>
      <c r="K13" s="918"/>
      <c r="L13" s="924" t="s">
        <v>948</v>
      </c>
      <c r="M13" s="924" t="s">
        <v>584</v>
      </c>
      <c r="N13" s="918"/>
      <c r="P13" s="918"/>
    </row>
    <row r="14" spans="1:21">
      <c r="B14" s="862" t="s">
        <v>477</v>
      </c>
      <c r="D14" s="874" t="s">
        <v>465</v>
      </c>
      <c r="G14" s="862" t="s">
        <v>34</v>
      </c>
      <c r="K14" s="922" t="s">
        <v>991</v>
      </c>
      <c r="L14" s="921">
        <f>(Data!C10+2*Data!C13)*Data!C11</f>
        <v>46400</v>
      </c>
      <c r="M14" s="921">
        <f>+(Data!D10+2*Data!D13)*Data!D11</f>
        <v>0</v>
      </c>
      <c r="N14" s="918"/>
      <c r="O14" s="918"/>
      <c r="P14" s="918"/>
    </row>
    <row r="15" spans="1:21">
      <c r="B15" s="862" t="s">
        <v>478</v>
      </c>
      <c r="D15" s="874" t="s">
        <v>467</v>
      </c>
      <c r="G15" s="862" t="s">
        <v>34</v>
      </c>
      <c r="K15" s="923" t="s">
        <v>995</v>
      </c>
      <c r="L15" s="875">
        <f>Data!C15</f>
        <v>0.05</v>
      </c>
      <c r="M15" s="875">
        <f>Data!D15</f>
        <v>0</v>
      </c>
      <c r="N15" s="877" t="s">
        <v>30</v>
      </c>
      <c r="O15" s="919"/>
      <c r="P15" s="920"/>
    </row>
    <row r="16" spans="1:21" ht="22.5">
      <c r="A16" s="861">
        <v>1.2</v>
      </c>
      <c r="B16" s="862" t="s">
        <v>464</v>
      </c>
      <c r="D16" s="874"/>
      <c r="J16" s="863"/>
      <c r="K16" s="923" t="s">
        <v>996</v>
      </c>
      <c r="L16" s="875">
        <f>L14*L15</f>
        <v>2320</v>
      </c>
      <c r="M16" s="875">
        <f>M14*M15</f>
        <v>0</v>
      </c>
      <c r="N16" s="925">
        <f>SUM(L16:M16)</f>
        <v>2320</v>
      </c>
      <c r="O16" s="919"/>
      <c r="P16" s="920"/>
    </row>
    <row r="17" spans="1:16">
      <c r="B17" s="862" t="s">
        <v>477</v>
      </c>
      <c r="D17" s="874" t="s">
        <v>467</v>
      </c>
      <c r="G17" s="862" t="s">
        <v>34</v>
      </c>
    </row>
    <row r="18" spans="1:16">
      <c r="B18" s="862" t="s">
        <v>478</v>
      </c>
      <c r="D18" s="874" t="s">
        <v>479</v>
      </c>
      <c r="G18" s="862" t="s">
        <v>34</v>
      </c>
      <c r="K18" s="907" t="s">
        <v>997</v>
      </c>
    </row>
    <row r="19" spans="1:16">
      <c r="A19" s="861">
        <v>1.3</v>
      </c>
      <c r="B19" s="862" t="s">
        <v>466</v>
      </c>
      <c r="F19" s="874"/>
      <c r="K19" s="918"/>
      <c r="L19" s="924" t="s">
        <v>948</v>
      </c>
      <c r="M19" s="904" t="s">
        <v>584</v>
      </c>
      <c r="N19" s="904" t="s">
        <v>30</v>
      </c>
      <c r="O19" s="926"/>
      <c r="P19" s="926"/>
    </row>
    <row r="20" spans="1:16" ht="22.5">
      <c r="B20" s="862" t="s">
        <v>477</v>
      </c>
      <c r="D20" s="874" t="s">
        <v>479</v>
      </c>
      <c r="G20" s="862" t="s">
        <v>34</v>
      </c>
      <c r="K20" s="930" t="s">
        <v>998</v>
      </c>
      <c r="L20" s="921">
        <f>(Data!C10)*Data!C11</f>
        <v>34800</v>
      </c>
      <c r="M20" s="928">
        <f>IF(Data!D12&gt;0,(Data!D10)*Data!D11,0)</f>
        <v>0</v>
      </c>
      <c r="N20" s="929">
        <f>SUM(L20:M20)</f>
        <v>34800</v>
      </c>
      <c r="O20" s="918"/>
      <c r="P20" s="918"/>
    </row>
    <row r="21" spans="1:16" ht="22.5">
      <c r="B21" s="862" t="s">
        <v>478</v>
      </c>
      <c r="D21" s="874" t="s">
        <v>480</v>
      </c>
      <c r="G21" s="862" t="s">
        <v>34</v>
      </c>
      <c r="K21" s="931" t="s">
        <v>999</v>
      </c>
      <c r="L21" s="928">
        <f>(2*Data!C13)*Data!C11</f>
        <v>11600</v>
      </c>
      <c r="M21" s="928">
        <f>IF(Data!D12&gt;0,(2*Data!D13)*Data!D11,0)</f>
        <v>0</v>
      </c>
      <c r="N21" s="929">
        <f>SUM(L21:M21)</f>
        <v>11600</v>
      </c>
      <c r="O21" s="887"/>
      <c r="P21" s="927"/>
    </row>
    <row r="22" spans="1:16" ht="21.75" customHeight="1">
      <c r="A22" s="869">
        <v>2</v>
      </c>
      <c r="B22" s="863" t="s">
        <v>481</v>
      </c>
      <c r="F22" s="874"/>
    </row>
    <row r="23" spans="1:16">
      <c r="B23" s="862" t="s">
        <v>462</v>
      </c>
      <c r="D23" s="874" t="s">
        <v>470</v>
      </c>
      <c r="G23" s="862" t="s">
        <v>34</v>
      </c>
      <c r="K23" s="907" t="s">
        <v>1010</v>
      </c>
      <c r="O23" s="869"/>
    </row>
    <row r="24" spans="1:16">
      <c r="B24" s="862" t="s">
        <v>464</v>
      </c>
      <c r="D24" s="874" t="s">
        <v>473</v>
      </c>
      <c r="G24" s="862" t="s">
        <v>34</v>
      </c>
      <c r="K24" s="907"/>
      <c r="L24" s="924" t="s">
        <v>948</v>
      </c>
      <c r="M24" s="904" t="s">
        <v>584</v>
      </c>
      <c r="N24" s="904" t="s">
        <v>30</v>
      </c>
      <c r="O24" s="869"/>
    </row>
    <row r="25" spans="1:16" ht="22.5">
      <c r="B25" s="862" t="s">
        <v>466</v>
      </c>
      <c r="D25" s="874" t="s">
        <v>474</v>
      </c>
      <c r="G25" s="862" t="s">
        <v>34</v>
      </c>
      <c r="K25" s="930" t="s">
        <v>998</v>
      </c>
      <c r="L25" s="928">
        <f>(Data!C10)*Data!C11</f>
        <v>34800</v>
      </c>
      <c r="M25" s="928">
        <f>IF(Data!D12&gt;0,((Data!D10)*Data!D11),0)</f>
        <v>0</v>
      </c>
      <c r="N25" s="929">
        <f>SUM(L25:M25)</f>
        <v>34800</v>
      </c>
      <c r="P25" s="926"/>
    </row>
    <row r="26" spans="1:16" ht="22.5">
      <c r="A26" s="869">
        <v>3</v>
      </c>
      <c r="B26" s="863" t="s">
        <v>482</v>
      </c>
      <c r="F26" s="874"/>
      <c r="K26" s="931" t="s">
        <v>999</v>
      </c>
      <c r="L26" s="921">
        <f>(2*Data!C13)*Data!C11</f>
        <v>11600</v>
      </c>
      <c r="M26" s="928">
        <f>IF(Data!D12&gt;0,((2*Data!D13)*Data!D11),0)</f>
        <v>0</v>
      </c>
      <c r="N26" s="929">
        <f>SUM(L26:M26)</f>
        <v>11600</v>
      </c>
      <c r="P26" s="918"/>
    </row>
    <row r="27" spans="1:16" ht="22.5">
      <c r="B27" s="862" t="s">
        <v>477</v>
      </c>
      <c r="D27" s="874" t="s">
        <v>483</v>
      </c>
      <c r="G27" s="862" t="s">
        <v>34</v>
      </c>
      <c r="K27" s="919"/>
      <c r="L27" s="919"/>
      <c r="M27" s="904" t="s">
        <v>30</v>
      </c>
      <c r="N27" s="925">
        <f>SUM(N25:N26)</f>
        <v>46400</v>
      </c>
    </row>
    <row r="28" spans="1:16">
      <c r="B28" s="862" t="s">
        <v>478</v>
      </c>
      <c r="D28" s="874" t="s">
        <v>484</v>
      </c>
      <c r="G28" s="862" t="s">
        <v>34</v>
      </c>
    </row>
    <row r="29" spans="1:16">
      <c r="A29" s="869">
        <v>4</v>
      </c>
      <c r="B29" s="863" t="s">
        <v>485</v>
      </c>
      <c r="C29" s="862" t="s">
        <v>486</v>
      </c>
      <c r="D29" s="874" t="s">
        <v>487</v>
      </c>
    </row>
    <row r="30" spans="1:16">
      <c r="D30" s="874" t="s">
        <v>488</v>
      </c>
    </row>
    <row r="31" spans="1:16">
      <c r="C31" s="862" t="s">
        <v>489</v>
      </c>
      <c r="F31" s="874" t="s">
        <v>490</v>
      </c>
      <c r="J31" s="863"/>
    </row>
    <row r="32" spans="1:16">
      <c r="F32" s="874" t="s">
        <v>492</v>
      </c>
    </row>
    <row r="34" spans="1:10">
      <c r="A34" s="886" t="s">
        <v>493</v>
      </c>
    </row>
    <row r="35" spans="1:10">
      <c r="A35" s="889">
        <v>1</v>
      </c>
      <c r="B35" s="862" t="s">
        <v>494</v>
      </c>
    </row>
    <row r="36" spans="1:10">
      <c r="A36" s="889">
        <v>2</v>
      </c>
      <c r="B36" s="862" t="s">
        <v>495</v>
      </c>
      <c r="J36" s="861"/>
    </row>
    <row r="37" spans="1:10">
      <c r="A37" s="886"/>
    </row>
    <row r="38" spans="1:10">
      <c r="A38" s="886"/>
    </row>
    <row r="39" spans="1:10">
      <c r="A39" s="886"/>
      <c r="C39" s="891"/>
    </row>
    <row r="40" spans="1:10">
      <c r="A40" s="886"/>
      <c r="C40" s="891"/>
    </row>
    <row r="41" spans="1:10">
      <c r="A41" s="886"/>
      <c r="B41" s="868" t="s">
        <v>419</v>
      </c>
      <c r="C41" s="892" t="s">
        <v>496</v>
      </c>
    </row>
    <row r="42" spans="1:10">
      <c r="A42" s="886"/>
      <c r="B42" s="893">
        <v>3</v>
      </c>
      <c r="C42" s="894">
        <v>0</v>
      </c>
    </row>
    <row r="43" spans="1:10">
      <c r="A43" s="886"/>
      <c r="B43" s="893">
        <v>4</v>
      </c>
      <c r="C43" s="894">
        <v>0.25</v>
      </c>
    </row>
    <row r="44" spans="1:10">
      <c r="A44" s="886"/>
      <c r="B44" s="893">
        <v>5</v>
      </c>
      <c r="C44" s="894">
        <v>0.5</v>
      </c>
    </row>
    <row r="45" spans="1:10">
      <c r="A45" s="886"/>
      <c r="B45" s="895">
        <v>6</v>
      </c>
      <c r="C45" s="896">
        <v>1</v>
      </c>
    </row>
    <row r="46" spans="1:10">
      <c r="B46" s="895">
        <v>8</v>
      </c>
    </row>
    <row r="47" spans="1:10">
      <c r="A47" s="861" t="s">
        <v>497</v>
      </c>
      <c r="F47" s="862" t="s">
        <v>498</v>
      </c>
    </row>
    <row r="48" spans="1:10">
      <c r="A48" s="861">
        <v>1</v>
      </c>
      <c r="B48" s="862" t="s">
        <v>499</v>
      </c>
      <c r="D48" s="897">
        <v>1</v>
      </c>
      <c r="G48" s="862" t="s">
        <v>500</v>
      </c>
      <c r="I48" s="898">
        <v>1</v>
      </c>
    </row>
    <row r="49" spans="1:15">
      <c r="A49" s="861">
        <v>2</v>
      </c>
      <c r="B49" s="899">
        <v>0.4</v>
      </c>
      <c r="F49" s="862">
        <v>1</v>
      </c>
      <c r="G49" s="900" t="s">
        <v>501</v>
      </c>
      <c r="H49" s="862">
        <f>IF($I$48=1,0,0)</f>
        <v>0</v>
      </c>
    </row>
    <row r="50" spans="1:15">
      <c r="A50" s="861">
        <v>3</v>
      </c>
      <c r="B50" s="899">
        <v>0.6</v>
      </c>
      <c r="F50" s="862">
        <v>2</v>
      </c>
      <c r="G50" s="900" t="s">
        <v>502</v>
      </c>
      <c r="H50" s="862">
        <f>IF($I$48=2,VLOOKUP($I$48,$F$49:$G$52,2),0)</f>
        <v>0</v>
      </c>
    </row>
    <row r="51" spans="1:15">
      <c r="A51" s="861">
        <v>4</v>
      </c>
      <c r="B51" s="899">
        <v>0.8</v>
      </c>
      <c r="F51" s="862">
        <v>3</v>
      </c>
      <c r="G51" s="900" t="s">
        <v>503</v>
      </c>
      <c r="H51" s="862">
        <f>IF($I$48=3,VLOOKUP($I$48,$F$50:$G$52,2),0)</f>
        <v>0</v>
      </c>
    </row>
    <row r="52" spans="1:15">
      <c r="A52" s="861">
        <v>5</v>
      </c>
      <c r="B52" s="899">
        <v>1</v>
      </c>
      <c r="F52" s="862">
        <v>4</v>
      </c>
      <c r="G52" s="900" t="s">
        <v>504</v>
      </c>
      <c r="H52" s="901">
        <f>IF($I$48=4,VLOOKUP($I$48,F51:G54,2),0)</f>
        <v>0</v>
      </c>
      <c r="I52" s="902">
        <f>IF($I$48&gt;=2,VLOOKUP($I$48,$F$48:$H$52,3),)</f>
        <v>0</v>
      </c>
    </row>
    <row r="53" spans="1:15">
      <c r="A53" s="861">
        <v>6</v>
      </c>
      <c r="B53" s="899">
        <v>1.2</v>
      </c>
      <c r="K53" s="906" t="s">
        <v>491</v>
      </c>
      <c r="L53" s="862"/>
      <c r="M53" s="862"/>
      <c r="N53" s="862"/>
      <c r="O53" s="862"/>
    </row>
    <row r="54" spans="1:15">
      <c r="A54" s="861">
        <v>7</v>
      </c>
      <c r="B54" s="899">
        <v>1.5</v>
      </c>
      <c r="L54" s="884" t="s">
        <v>948</v>
      </c>
      <c r="M54" s="884" t="s">
        <v>584</v>
      </c>
    </row>
    <row r="55" spans="1:15">
      <c r="K55" s="885" t="s">
        <v>965</v>
      </c>
      <c r="L55" s="883">
        <f>Data!$C$11</f>
        <v>5800</v>
      </c>
      <c r="M55" s="883">
        <f>Data!$D$11</f>
        <v>0</v>
      </c>
    </row>
    <row r="56" spans="1:15">
      <c r="K56" s="885" t="s">
        <v>966</v>
      </c>
      <c r="L56" s="884">
        <f>Data!$C$18</f>
        <v>2400</v>
      </c>
      <c r="M56" s="884">
        <f>Data!$D$18</f>
        <v>0</v>
      </c>
      <c r="N56" s="887"/>
      <c r="O56" s="888"/>
    </row>
    <row r="57" spans="1:15">
      <c r="K57" s="890" t="s">
        <v>967</v>
      </c>
      <c r="L57" s="883">
        <f>L55*2</f>
        <v>11600</v>
      </c>
      <c r="M57" s="883">
        <f>M55*2</f>
        <v>0</v>
      </c>
      <c r="N57" s="887"/>
      <c r="O57" s="888"/>
    </row>
    <row r="58" spans="1:15">
      <c r="K58" s="885" t="s">
        <v>968</v>
      </c>
      <c r="L58" s="884">
        <f>ROUND((L55-L56)/12,0)*3+L56</f>
        <v>3249</v>
      </c>
      <c r="M58" s="884">
        <f>ROUND((M55-M56)/12,0)*3+M56</f>
        <v>0</v>
      </c>
      <c r="N58" s="886" t="s">
        <v>969</v>
      </c>
    </row>
    <row r="59" spans="1:15">
      <c r="K59" s="885" t="s">
        <v>970</v>
      </c>
      <c r="L59" s="884">
        <f>Data!C17</f>
        <v>0.15</v>
      </c>
      <c r="M59" s="884">
        <f>Data!D17</f>
        <v>0</v>
      </c>
      <c r="N59" s="904" t="s">
        <v>30</v>
      </c>
    </row>
    <row r="60" spans="1:15">
      <c r="K60" s="903" t="s">
        <v>971</v>
      </c>
      <c r="L60" s="884">
        <f>L57*L59+L58*L59</f>
        <v>2227.35</v>
      </c>
      <c r="M60" s="884">
        <f>M57*M59+M58*M59</f>
        <v>0</v>
      </c>
      <c r="N60" s="905">
        <f>SUM(L60:M60)</f>
        <v>2227.35</v>
      </c>
    </row>
    <row r="62" spans="1:15">
      <c r="K62" s="907" t="s">
        <v>827</v>
      </c>
    </row>
    <row r="63" spans="1:15">
      <c r="L63" s="884" t="s">
        <v>948</v>
      </c>
      <c r="M63" s="884" t="s">
        <v>584</v>
      </c>
    </row>
    <row r="64" spans="1:15">
      <c r="K64" s="910" t="s">
        <v>973</v>
      </c>
      <c r="L64" s="912">
        <f>Data!C13</f>
        <v>1</v>
      </c>
      <c r="M64" s="912">
        <f>Data!D13</f>
        <v>0</v>
      </c>
    </row>
    <row r="65" spans="11:15">
      <c r="K65" s="911" t="s">
        <v>976</v>
      </c>
      <c r="L65" s="913">
        <f>IF(L64=0,Data!C10/2-Data!C17/2-0.05-Data!C17,Data!C10/2-Data!C17)</f>
        <v>2.85</v>
      </c>
      <c r="M65" s="913">
        <f>IF(M64=0,Data!D10/2-Data!D17/2-0.05-Data!D17,Data!D10/2-Data!D17)</f>
        <v>-0.05</v>
      </c>
      <c r="N65" s="904" t="s">
        <v>30</v>
      </c>
      <c r="O65" s="862"/>
    </row>
    <row r="66" spans="11:15">
      <c r="K66" s="909" t="s">
        <v>977</v>
      </c>
      <c r="L66" s="884">
        <f>Data!C19*Data!C20*คำนวณวัสดุ!L65</f>
        <v>0.85499999999999998</v>
      </c>
      <c r="M66" s="884">
        <f>Data!D19*Data!D20*คำนวณวัสดุ!M65</f>
        <v>0</v>
      </c>
      <c r="N66" s="905">
        <f>SUM(L66:M66)</f>
        <v>0.85499999999999998</v>
      </c>
      <c r="O66" s="862"/>
    </row>
    <row r="67" spans="11:15">
      <c r="K67" s="862"/>
      <c r="L67" s="862"/>
      <c r="M67" s="862"/>
      <c r="N67" s="862"/>
      <c r="O67" s="862"/>
    </row>
    <row r="68" spans="11:15">
      <c r="K68" s="906" t="s">
        <v>713</v>
      </c>
      <c r="L68" s="862"/>
      <c r="M68" s="862"/>
      <c r="N68" s="862"/>
      <c r="O68" s="862"/>
    </row>
    <row r="69" spans="11:15">
      <c r="L69" s="884" t="s">
        <v>948</v>
      </c>
      <c r="M69" s="884" t="s">
        <v>584</v>
      </c>
      <c r="O69" s="862"/>
    </row>
    <row r="70" spans="11:15">
      <c r="K70" s="910" t="s">
        <v>973</v>
      </c>
      <c r="L70" s="912">
        <f>Data!C13</f>
        <v>1</v>
      </c>
      <c r="M70" s="912">
        <f>Data!D13</f>
        <v>0</v>
      </c>
      <c r="O70" s="862"/>
    </row>
    <row r="71" spans="11:15">
      <c r="K71" s="911" t="s">
        <v>979</v>
      </c>
      <c r="L71" s="913">
        <f>IF(L70=0,Data!C10/2-Data!C17/2-0.05-Data!C17-0.4,Data!C10/2-Data!C17-0.4)</f>
        <v>2.4500000000000002</v>
      </c>
      <c r="M71" s="913">
        <f>IF(M70=0,Data!D10/2-Data!D17/2-0.05-Data!D17-0.4,Data!D10/2-Data!D17-0.4)</f>
        <v>-0.45</v>
      </c>
      <c r="N71" s="904" t="s">
        <v>30</v>
      </c>
      <c r="O71" s="862"/>
    </row>
    <row r="72" spans="11:15">
      <c r="K72" s="909" t="s">
        <v>983</v>
      </c>
      <c r="L72" s="912">
        <f>Data!C21*30*Data!C22*คำนวณวัสดุ!L71</f>
        <v>73.5</v>
      </c>
      <c r="M72" s="912">
        <f>Data!D21*30*Data!D22*คำนวณวัสดุ!M71</f>
        <v>0</v>
      </c>
      <c r="N72" s="917">
        <f>SUM(L72:M72)</f>
        <v>73.5</v>
      </c>
      <c r="O72" s="862"/>
    </row>
    <row r="84" spans="11:15">
      <c r="K84" s="862"/>
      <c r="L84" s="862"/>
      <c r="M84" s="862"/>
      <c r="N84" s="862"/>
      <c r="O84" s="862"/>
    </row>
  </sheetData>
  <mergeCells count="1">
    <mergeCell ref="K5:M5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365"/>
  <sheetViews>
    <sheetView topLeftCell="A27" zoomScaleNormal="100" workbookViewId="0">
      <selection activeCell="H86" sqref="H86"/>
    </sheetView>
  </sheetViews>
  <sheetFormatPr defaultColWidth="9.140625" defaultRowHeight="21.75"/>
  <cols>
    <col min="1" max="1" width="4" style="1120" customWidth="1"/>
    <col min="2" max="2" width="11.7109375" style="1120" customWidth="1"/>
    <col min="3" max="3" width="21.28515625" style="1120" customWidth="1"/>
    <col min="4" max="4" width="13.85546875" style="1120" customWidth="1"/>
    <col min="5" max="5" width="9.85546875" style="1120" customWidth="1"/>
    <col min="6" max="6" width="13" style="1120" customWidth="1"/>
    <col min="7" max="7" width="5.28515625" style="1123" customWidth="1"/>
    <col min="8" max="8" width="12.5703125" style="1124" customWidth="1"/>
    <col min="9" max="9" width="7.28515625" style="1120" customWidth="1"/>
    <col min="10" max="10" width="5.28515625" style="1125" customWidth="1"/>
    <col min="11" max="11" width="10.28515625" style="1119" customWidth="1"/>
    <col min="12" max="16384" width="9.140625" style="1120"/>
  </cols>
  <sheetData>
    <row r="1" spans="1:18">
      <c r="A1" s="1369" t="s">
        <v>1096</v>
      </c>
      <c r="B1" s="1369"/>
      <c r="C1" s="1369"/>
      <c r="D1" s="1369"/>
      <c r="E1" s="1369"/>
      <c r="F1" s="1369"/>
      <c r="G1" s="1369"/>
      <c r="H1" s="1369"/>
      <c r="I1" s="1369"/>
      <c r="J1" s="1369"/>
      <c r="K1" s="1369"/>
    </row>
    <row r="2" spans="1:18">
      <c r="A2" s="1370" t="str">
        <f>'ปร.4 (2)'!B5</f>
        <v>ตำบลพุแค - ตำบลห้วยบง  อำเภอเฉลิมพระเกียรติ  จังหวัดสระบุรี</v>
      </c>
      <c r="B2" s="1370"/>
      <c r="C2" s="1370"/>
      <c r="D2" s="1370"/>
      <c r="E2" s="1370"/>
      <c r="F2" s="1370"/>
      <c r="G2" s="1370"/>
      <c r="H2" s="1370"/>
      <c r="I2" s="1370"/>
      <c r="J2" s="1370"/>
      <c r="K2" s="1370"/>
    </row>
    <row r="3" spans="1:18">
      <c r="A3" s="1122" t="s">
        <v>1028</v>
      </c>
      <c r="M3" s="1126"/>
      <c r="O3" s="1126"/>
      <c r="P3" s="1126"/>
      <c r="Q3" s="1126"/>
      <c r="R3" s="1126"/>
    </row>
    <row r="4" spans="1:18">
      <c r="B4" s="1120" t="s">
        <v>409</v>
      </c>
      <c r="F4" s="1120" t="s">
        <v>408</v>
      </c>
      <c r="G4" s="1123" t="s">
        <v>15</v>
      </c>
      <c r="H4" s="1127">
        <f>+'S2'!BJ29</f>
        <v>1.76</v>
      </c>
      <c r="I4" s="1120" t="s">
        <v>49</v>
      </c>
      <c r="M4" s="1126"/>
      <c r="O4" s="1126"/>
      <c r="P4" s="1126"/>
      <c r="Q4" s="1126"/>
      <c r="R4" s="1126"/>
    </row>
    <row r="5" spans="1:18">
      <c r="A5" s="1122" t="s">
        <v>705</v>
      </c>
      <c r="D5" s="1368" t="s">
        <v>703</v>
      </c>
      <c r="E5" s="1368"/>
      <c r="F5" s="1368"/>
      <c r="G5" s="1120"/>
    </row>
    <row r="6" spans="1:18">
      <c r="B6" s="1120" t="s">
        <v>407</v>
      </c>
      <c r="E6" s="1125" t="s">
        <v>406</v>
      </c>
      <c r="F6" s="1120" t="s">
        <v>401</v>
      </c>
      <c r="G6" s="1123" t="s">
        <v>15</v>
      </c>
      <c r="H6" s="1128">
        <f>ราคาวัสดุ!E8</f>
        <v>90.75</v>
      </c>
      <c r="I6" s="1120" t="s">
        <v>49</v>
      </c>
      <c r="J6" s="1125" t="s">
        <v>406</v>
      </c>
    </row>
    <row r="7" spans="1:18">
      <c r="B7" s="1120" t="s">
        <v>405</v>
      </c>
      <c r="E7" s="1129">
        <f>Data!E6</f>
        <v>5</v>
      </c>
      <c r="F7" s="1120" t="s">
        <v>46</v>
      </c>
      <c r="G7" s="1123" t="s">
        <v>15</v>
      </c>
      <c r="H7" s="1127">
        <f>ข้อมูล!L9</f>
        <v>14.42</v>
      </c>
      <c r="I7" s="1120" t="s">
        <v>49</v>
      </c>
      <c r="L7" s="1120">
        <v>123.37</v>
      </c>
      <c r="M7" s="1130">
        <f>+SUM(H6:H7)</f>
        <v>105.17</v>
      </c>
    </row>
    <row r="8" spans="1:18">
      <c r="B8" s="1120" t="s">
        <v>404</v>
      </c>
      <c r="G8" s="1123" t="s">
        <v>15</v>
      </c>
      <c r="H8" s="1128">
        <f>SUM(H6:H7)</f>
        <v>105.17</v>
      </c>
      <c r="I8" s="1120" t="s">
        <v>49</v>
      </c>
      <c r="M8" s="1120">
        <f>IF("L6"&gt;=L7,L7)</f>
        <v>123.37</v>
      </c>
    </row>
    <row r="9" spans="1:18" hidden="1">
      <c r="B9" s="1120" t="s">
        <v>403</v>
      </c>
      <c r="G9" s="1123" t="s">
        <v>15</v>
      </c>
      <c r="H9" s="1124">
        <f>ROUND(H8*1.5,2)</f>
        <v>157.76</v>
      </c>
      <c r="I9" s="1120" t="s">
        <v>49</v>
      </c>
      <c r="J9" s="1126"/>
    </row>
    <row r="10" spans="1:18" hidden="1">
      <c r="B10" s="1120" t="s">
        <v>359</v>
      </c>
      <c r="G10" s="1123" t="s">
        <v>15</v>
      </c>
      <c r="H10" s="1131">
        <f>+ปร.4!G15</f>
        <v>88.88</v>
      </c>
      <c r="I10" s="1120" t="s">
        <v>49</v>
      </c>
    </row>
    <row r="11" spans="1:18" ht="18.75" hidden="1" customHeight="1">
      <c r="B11" s="1120" t="s">
        <v>351</v>
      </c>
      <c r="D11" s="1132" t="s">
        <v>402</v>
      </c>
      <c r="E11" s="1125" t="s">
        <v>400</v>
      </c>
      <c r="F11" s="1120" t="s">
        <v>401</v>
      </c>
      <c r="G11" s="1123" t="s">
        <v>15</v>
      </c>
      <c r="H11" s="1124">
        <f>SUM(H9:H10)</f>
        <v>246.64</v>
      </c>
      <c r="I11" s="1120" t="s">
        <v>49</v>
      </c>
      <c r="J11" s="1125" t="s">
        <v>400</v>
      </c>
    </row>
    <row r="12" spans="1:18">
      <c r="A12" s="1133" t="s">
        <v>399</v>
      </c>
      <c r="C12" s="1120" t="s">
        <v>890</v>
      </c>
      <c r="D12" s="1368" t="s">
        <v>703</v>
      </c>
      <c r="E12" s="1368"/>
      <c r="F12" s="1368"/>
      <c r="G12" s="1120"/>
    </row>
    <row r="13" spans="1:18">
      <c r="B13" s="1120" t="s">
        <v>859</v>
      </c>
      <c r="E13" s="1134">
        <f>Data!D26</f>
        <v>120</v>
      </c>
      <c r="F13" s="1120" t="s">
        <v>46</v>
      </c>
      <c r="G13" s="1123" t="s">
        <v>15</v>
      </c>
      <c r="H13" s="1135">
        <f>ข้อมูล!L19</f>
        <v>199.57</v>
      </c>
      <c r="I13" s="1120" t="s">
        <v>9</v>
      </c>
      <c r="K13" s="1119" t="s">
        <v>695</v>
      </c>
    </row>
    <row r="14" spans="1:18">
      <c r="B14" s="1120" t="s">
        <v>398</v>
      </c>
      <c r="F14" s="1120" t="s">
        <v>387</v>
      </c>
      <c r="G14" s="1123" t="s">
        <v>15</v>
      </c>
      <c r="H14" s="1128">
        <f>+ราคาวัสดุ!E13</f>
        <v>26300</v>
      </c>
      <c r="I14" s="1120" t="s">
        <v>49</v>
      </c>
      <c r="K14" s="1120" t="s">
        <v>696</v>
      </c>
    </row>
    <row r="15" spans="1:18">
      <c r="B15" s="1120" t="s">
        <v>397</v>
      </c>
      <c r="F15" s="1120" t="s">
        <v>387</v>
      </c>
      <c r="G15" s="1123" t="s">
        <v>15</v>
      </c>
      <c r="H15" s="1128">
        <f>+ราคาวัสดุ!E12</f>
        <v>26100</v>
      </c>
      <c r="I15" s="1120" t="s">
        <v>49</v>
      </c>
      <c r="K15" s="1120" t="s">
        <v>697</v>
      </c>
    </row>
    <row r="16" spans="1:18">
      <c r="B16" s="1120" t="s">
        <v>396</v>
      </c>
      <c r="F16" s="1120" t="s">
        <v>387</v>
      </c>
      <c r="G16" s="1123" t="s">
        <v>15</v>
      </c>
      <c r="H16" s="1128">
        <f>+ราคาวัสดุ!E14</f>
        <v>25900</v>
      </c>
      <c r="I16" s="1120" t="s">
        <v>49</v>
      </c>
      <c r="K16" s="1120" t="s">
        <v>698</v>
      </c>
    </row>
    <row r="17" spans="1:16">
      <c r="B17" s="1120" t="s">
        <v>395</v>
      </c>
      <c r="F17" s="1120" t="s">
        <v>387</v>
      </c>
      <c r="G17" s="1123" t="s">
        <v>15</v>
      </c>
      <c r="H17" s="1128">
        <f>H14+H13</f>
        <v>26499.57</v>
      </c>
      <c r="I17" s="1120" t="s">
        <v>49</v>
      </c>
      <c r="J17" s="1125" t="s">
        <v>394</v>
      </c>
      <c r="K17" s="1120" t="s">
        <v>860</v>
      </c>
    </row>
    <row r="18" spans="1:16">
      <c r="B18" s="1120" t="s">
        <v>393</v>
      </c>
      <c r="F18" s="1120" t="s">
        <v>387</v>
      </c>
      <c r="G18" s="1123" t="s">
        <v>15</v>
      </c>
      <c r="H18" s="1128">
        <f>H13+H15</f>
        <v>26299.57</v>
      </c>
      <c r="I18" s="1120" t="s">
        <v>49</v>
      </c>
      <c r="J18" s="1125" t="s">
        <v>392</v>
      </c>
      <c r="K18" s="1120" t="s">
        <v>861</v>
      </c>
    </row>
    <row r="19" spans="1:16">
      <c r="B19" s="1120" t="s">
        <v>391</v>
      </c>
      <c r="F19" s="1120" t="s">
        <v>387</v>
      </c>
      <c r="G19" s="1123" t="s">
        <v>15</v>
      </c>
      <c r="H19" s="1128">
        <f>H16+H13</f>
        <v>26099.57</v>
      </c>
      <c r="I19" s="1120" t="s">
        <v>49</v>
      </c>
      <c r="J19" s="1125" t="s">
        <v>390</v>
      </c>
      <c r="K19" s="1120" t="s">
        <v>862</v>
      </c>
    </row>
    <row r="20" spans="1:16">
      <c r="B20" s="1120" t="s">
        <v>702</v>
      </c>
      <c r="E20" s="1134">
        <f>E13</f>
        <v>120</v>
      </c>
      <c r="F20" s="1120" t="s">
        <v>46</v>
      </c>
      <c r="G20" s="1123" t="s">
        <v>15</v>
      </c>
      <c r="H20" s="1136">
        <f>H13</f>
        <v>199.57</v>
      </c>
      <c r="I20" s="1120" t="s">
        <v>9</v>
      </c>
      <c r="K20" s="1120" t="s">
        <v>699</v>
      </c>
    </row>
    <row r="21" spans="1:16">
      <c r="B21" s="1120" t="s">
        <v>389</v>
      </c>
      <c r="F21" s="1120" t="s">
        <v>387</v>
      </c>
      <c r="G21" s="1123" t="s">
        <v>15</v>
      </c>
      <c r="H21" s="1128">
        <f>+ราคาวัสดุ!E11</f>
        <v>25000</v>
      </c>
      <c r="I21" s="1120" t="s">
        <v>49</v>
      </c>
      <c r="K21" s="1120" t="s">
        <v>700</v>
      </c>
    </row>
    <row r="22" spans="1:16">
      <c r="B22" s="1120" t="s">
        <v>388</v>
      </c>
      <c r="F22" s="1120" t="s">
        <v>387</v>
      </c>
      <c r="G22" s="1123" t="s">
        <v>15</v>
      </c>
      <c r="H22" s="1128">
        <f>+H20+H21</f>
        <v>25199.57</v>
      </c>
      <c r="I22" s="1120" t="s">
        <v>49</v>
      </c>
      <c r="J22" s="1125" t="s">
        <v>386</v>
      </c>
      <c r="K22" s="1120" t="s">
        <v>701</v>
      </c>
    </row>
    <row r="23" spans="1:16">
      <c r="B23" s="1120" t="s">
        <v>385</v>
      </c>
      <c r="D23" s="1120" t="s">
        <v>703</v>
      </c>
      <c r="E23" s="1123"/>
      <c r="G23" s="1120"/>
      <c r="K23" s="1120"/>
      <c r="P23" s="1120" t="s">
        <v>704</v>
      </c>
    </row>
    <row r="24" spans="1:16">
      <c r="B24" s="1120" t="s">
        <v>384</v>
      </c>
      <c r="D24" s="1120" t="s">
        <v>850</v>
      </c>
      <c r="E24" s="1137">
        <f>Data!E6</f>
        <v>5</v>
      </c>
      <c r="F24" s="1120" t="s">
        <v>46</v>
      </c>
      <c r="G24" s="1123" t="s">
        <v>15</v>
      </c>
      <c r="H24" s="1128">
        <f>ข้อมูล!L9</f>
        <v>14.42</v>
      </c>
      <c r="I24" s="1120" t="s">
        <v>4</v>
      </c>
      <c r="K24" s="1120" t="s">
        <v>864</v>
      </c>
    </row>
    <row r="25" spans="1:16">
      <c r="B25" s="1120" t="s">
        <v>384</v>
      </c>
      <c r="D25" s="1120" t="s">
        <v>851</v>
      </c>
      <c r="E25" s="1137">
        <f>Data!E5</f>
        <v>15</v>
      </c>
      <c r="F25" s="1120" t="s">
        <v>46</v>
      </c>
      <c r="G25" s="1123" t="s">
        <v>15</v>
      </c>
      <c r="H25" s="1136">
        <f>ข้อมูล!L11</f>
        <v>34.61</v>
      </c>
      <c r="I25" s="1120" t="s">
        <v>4</v>
      </c>
      <c r="K25" s="1120" t="s">
        <v>863</v>
      </c>
    </row>
    <row r="26" spans="1:16">
      <c r="B26" s="1120" t="s">
        <v>383</v>
      </c>
      <c r="F26" s="1120" t="s">
        <v>365</v>
      </c>
      <c r="G26" s="1123" t="s">
        <v>15</v>
      </c>
      <c r="H26" s="1128">
        <f>ราคาวัสดุ!E6</f>
        <v>290</v>
      </c>
      <c r="I26" s="1120" t="s">
        <v>49</v>
      </c>
      <c r="K26" s="1120" t="s">
        <v>866</v>
      </c>
    </row>
    <row r="27" spans="1:16">
      <c r="B27" s="1120" t="s">
        <v>382</v>
      </c>
      <c r="F27" s="1120" t="s">
        <v>365</v>
      </c>
      <c r="G27" s="1123" t="s">
        <v>15</v>
      </c>
      <c r="H27" s="1128">
        <f>ราคาวัสดุ!E4</f>
        <v>112</v>
      </c>
      <c r="I27" s="1120" t="s">
        <v>49</v>
      </c>
      <c r="K27" s="1120" t="s">
        <v>867</v>
      </c>
    </row>
    <row r="28" spans="1:16">
      <c r="A28" s="1138"/>
      <c r="B28" s="1138" t="s">
        <v>381</v>
      </c>
      <c r="C28" s="1139"/>
      <c r="D28" s="1139"/>
      <c r="E28" s="1139"/>
      <c r="F28" s="1138" t="s">
        <v>365</v>
      </c>
      <c r="G28" s="1140" t="s">
        <v>15</v>
      </c>
      <c r="H28" s="1128">
        <f>ราคาวัสดุ!E5</f>
        <v>274.77300000000002</v>
      </c>
      <c r="I28" s="1138" t="s">
        <v>49</v>
      </c>
      <c r="K28" s="1120" t="s">
        <v>868</v>
      </c>
    </row>
    <row r="29" spans="1:16">
      <c r="A29" s="1138"/>
      <c r="B29" s="1138" t="s">
        <v>380</v>
      </c>
      <c r="C29" s="1139"/>
      <c r="D29" s="1139"/>
      <c r="E29" s="1139"/>
      <c r="F29" s="1138" t="s">
        <v>365</v>
      </c>
      <c r="G29" s="1140" t="s">
        <v>15</v>
      </c>
      <c r="H29" s="1128">
        <f>ราคาวัสดุ!E7</f>
        <v>180</v>
      </c>
      <c r="I29" s="1138" t="s">
        <v>49</v>
      </c>
      <c r="K29" s="1120" t="s">
        <v>869</v>
      </c>
    </row>
    <row r="30" spans="1:16" ht="18.75" customHeight="1">
      <c r="B30" s="1120" t="s">
        <v>379</v>
      </c>
      <c r="F30" s="1120" t="s">
        <v>365</v>
      </c>
      <c r="G30" s="1123" t="s">
        <v>15</v>
      </c>
      <c r="H30" s="1128">
        <f>MIN(H25,H24)+H26</f>
        <v>304.42</v>
      </c>
      <c r="I30" s="1120" t="s">
        <v>49</v>
      </c>
      <c r="J30" s="1125" t="s">
        <v>378</v>
      </c>
      <c r="K30" s="1120" t="s">
        <v>865</v>
      </c>
    </row>
    <row r="31" spans="1:16" ht="18.75" customHeight="1">
      <c r="B31" s="1120" t="s">
        <v>377</v>
      </c>
      <c r="F31" s="1120" t="s">
        <v>365</v>
      </c>
      <c r="G31" s="1123" t="s">
        <v>15</v>
      </c>
      <c r="H31" s="1128">
        <f>MIN(H24,H25)+H27</f>
        <v>126.42</v>
      </c>
      <c r="I31" s="1120" t="s">
        <v>49</v>
      </c>
      <c r="J31" s="1125" t="s">
        <v>376</v>
      </c>
      <c r="K31" s="1119" t="s">
        <v>871</v>
      </c>
    </row>
    <row r="32" spans="1:16" ht="18.75" customHeight="1">
      <c r="A32" s="1138"/>
      <c r="B32" s="1138" t="s">
        <v>375</v>
      </c>
      <c r="C32" s="1139"/>
      <c r="D32" s="1139"/>
      <c r="E32" s="1139"/>
      <c r="F32" s="1138" t="s">
        <v>365</v>
      </c>
      <c r="G32" s="1140" t="s">
        <v>15</v>
      </c>
      <c r="H32" s="1141">
        <f>MIN(H24,H25)+H28</f>
        <v>289.19300000000004</v>
      </c>
      <c r="I32" s="1138" t="s">
        <v>49</v>
      </c>
      <c r="K32" s="1119" t="s">
        <v>870</v>
      </c>
    </row>
    <row r="33" spans="1:22" ht="18.75" customHeight="1" thickBot="1">
      <c r="A33" s="1138"/>
      <c r="B33" s="1138" t="s">
        <v>374</v>
      </c>
      <c r="C33" s="1139"/>
      <c r="D33" s="1139"/>
      <c r="E33" s="1139"/>
      <c r="F33" s="1138" t="s">
        <v>365</v>
      </c>
      <c r="G33" s="1140" t="s">
        <v>15</v>
      </c>
      <c r="H33" s="1141">
        <f>MIN(H24,H25)+H29</f>
        <v>194.42</v>
      </c>
      <c r="I33" s="1138" t="s">
        <v>49</v>
      </c>
      <c r="K33" s="1119" t="s">
        <v>872</v>
      </c>
    </row>
    <row r="34" spans="1:22">
      <c r="D34" s="1142" t="s">
        <v>537</v>
      </c>
      <c r="E34" s="1143">
        <f>H34</f>
        <v>404.78</v>
      </c>
      <c r="F34" s="1142" t="s">
        <v>537</v>
      </c>
      <c r="G34" s="1144"/>
      <c r="H34" s="1145">
        <f>+'S2'!BJ21</f>
        <v>404.78</v>
      </c>
      <c r="I34" s="1146" t="s">
        <v>9</v>
      </c>
      <c r="P34" s="1123"/>
      <c r="R34" s="1123"/>
      <c r="S34" s="1121"/>
      <c r="T34" s="1147"/>
      <c r="U34" s="1123"/>
      <c r="V34" s="1148"/>
    </row>
    <row r="35" spans="1:22">
      <c r="A35" s="1122" t="s">
        <v>830</v>
      </c>
      <c r="D35" s="1149" t="s">
        <v>842</v>
      </c>
      <c r="E35" s="1150">
        <f>0.051*Yc_1</f>
        <v>1285.1780699999999</v>
      </c>
      <c r="F35" s="1149" t="s">
        <v>538</v>
      </c>
      <c r="G35" s="1119"/>
      <c r="H35" s="1151">
        <f>0.052*Yc_1</f>
        <v>1310.3776399999999</v>
      </c>
      <c r="I35" s="1152" t="s">
        <v>9</v>
      </c>
    </row>
    <row r="36" spans="1:22">
      <c r="A36" s="1153" t="s">
        <v>1070</v>
      </c>
      <c r="B36" s="314"/>
      <c r="C36" s="1154"/>
      <c r="D36" s="1149" t="s">
        <v>539</v>
      </c>
      <c r="E36" s="1150">
        <f>H36</f>
        <v>167.15560300000001</v>
      </c>
      <c r="F36" s="1149" t="s">
        <v>539</v>
      </c>
      <c r="G36" s="1119"/>
      <c r="H36" s="1151">
        <f>0.74*H45</f>
        <v>167.15560300000001</v>
      </c>
      <c r="I36" s="1152" t="s">
        <v>9</v>
      </c>
      <c r="J36" s="1154"/>
    </row>
    <row r="37" spans="1:22" ht="22.5" thickBot="1">
      <c r="A37" s="1155"/>
      <c r="B37" s="1153" t="s">
        <v>831</v>
      </c>
      <c r="C37" s="1154"/>
      <c r="D37" s="1156"/>
      <c r="E37" s="1157">
        <f>SUM(E34:E36)</f>
        <v>1857.1136729999998</v>
      </c>
      <c r="F37" s="1158"/>
      <c r="G37" s="1159"/>
      <c r="H37" s="1160">
        <f>+H35+H34+H36</f>
        <v>1882.3132429999998</v>
      </c>
      <c r="I37" s="1161" t="s">
        <v>9</v>
      </c>
      <c r="J37" s="1154"/>
    </row>
    <row r="38" spans="1:22">
      <c r="A38" s="1155"/>
      <c r="B38" s="1154" t="s">
        <v>874</v>
      </c>
      <c r="C38" s="1154"/>
      <c r="D38" s="667"/>
      <c r="E38" s="1162"/>
      <c r="F38" s="1163"/>
      <c r="G38" s="1119" t="s">
        <v>15</v>
      </c>
      <c r="H38" s="1164">
        <f>N38</f>
        <v>5570.2280912364949</v>
      </c>
      <c r="I38" s="1120" t="s">
        <v>103</v>
      </c>
      <c r="J38" s="1154"/>
      <c r="N38" s="1120">
        <f>5800*8/8.33</f>
        <v>5570.2280912364949</v>
      </c>
    </row>
    <row r="39" spans="1:22">
      <c r="A39" s="1155"/>
      <c r="B39" s="1154" t="s">
        <v>875</v>
      </c>
      <c r="C39" s="1165">
        <f>Data!E7</f>
        <v>15</v>
      </c>
      <c r="D39" s="816" t="s">
        <v>876</v>
      </c>
      <c r="E39" s="1166">
        <f>ข้อมูล!L23</f>
        <v>39.76</v>
      </c>
      <c r="F39" s="1163" t="s">
        <v>9</v>
      </c>
      <c r="G39" s="1119" t="s">
        <v>15</v>
      </c>
      <c r="H39" s="1151">
        <f>(E39+80)*80/10000</f>
        <v>0.95807999999999993</v>
      </c>
      <c r="I39" s="1120" t="s">
        <v>9</v>
      </c>
      <c r="J39" s="1154"/>
    </row>
    <row r="40" spans="1:22">
      <c r="A40" s="1155"/>
      <c r="B40" s="1154" t="s">
        <v>877</v>
      </c>
      <c r="C40" s="1154"/>
      <c r="D40" s="1167">
        <v>10000</v>
      </c>
      <c r="E40" s="1162"/>
      <c r="F40" s="1163"/>
      <c r="G40" s="1119" t="s">
        <v>15</v>
      </c>
      <c r="H40" s="1151">
        <f>250000/10000</f>
        <v>25</v>
      </c>
      <c r="I40" s="1120" t="s">
        <v>9</v>
      </c>
      <c r="J40" s="1154"/>
    </row>
    <row r="41" spans="1:22">
      <c r="A41" s="1155"/>
      <c r="B41" s="1154" t="s">
        <v>878</v>
      </c>
      <c r="C41" s="1154"/>
      <c r="D41" s="1167"/>
      <c r="E41" s="1162"/>
      <c r="F41" s="1163"/>
      <c r="G41" s="1119"/>
      <c r="H41" s="1130"/>
      <c r="J41" s="1154"/>
    </row>
    <row r="42" spans="1:22">
      <c r="A42" s="1168"/>
      <c r="B42" s="1138" t="s">
        <v>369</v>
      </c>
      <c r="C42" s="1138"/>
      <c r="D42" s="1138"/>
      <c r="E42" s="1138"/>
      <c r="F42" s="1138"/>
      <c r="G42" s="1140"/>
      <c r="H42" s="1169"/>
      <c r="I42" s="1138"/>
      <c r="J42" s="1120"/>
      <c r="K42" s="1120"/>
    </row>
    <row r="43" spans="1:22">
      <c r="A43" s="1168"/>
      <c r="B43" s="1138" t="s">
        <v>368</v>
      </c>
      <c r="C43" s="1138"/>
      <c r="D43" s="1138"/>
      <c r="E43" s="1138"/>
      <c r="F43" s="1138" t="s">
        <v>365</v>
      </c>
      <c r="G43" s="1140" t="s">
        <v>15</v>
      </c>
      <c r="H43" s="1128">
        <f>0.48*H27+0.15*H28+0.27*H26+0.1*H29</f>
        <v>191.27595000000002</v>
      </c>
      <c r="I43" s="1138" t="s">
        <v>49</v>
      </c>
      <c r="J43" s="1120"/>
      <c r="K43" s="1120"/>
    </row>
    <row r="44" spans="1:22">
      <c r="A44" s="1168"/>
      <c r="B44" s="1138" t="s">
        <v>873</v>
      </c>
      <c r="C44" s="1138"/>
      <c r="D44" s="1170">
        <v>15</v>
      </c>
      <c r="E44" s="1138" t="s">
        <v>46</v>
      </c>
      <c r="F44" s="1138" t="s">
        <v>365</v>
      </c>
      <c r="G44" s="1140" t="s">
        <v>15</v>
      </c>
      <c r="H44" s="1171">
        <v>34.61</v>
      </c>
      <c r="I44" s="1138" t="s">
        <v>49</v>
      </c>
      <c r="J44" s="1120"/>
      <c r="K44" s="1120"/>
    </row>
    <row r="45" spans="1:22">
      <c r="A45" s="1168"/>
      <c r="B45" s="1138" t="s">
        <v>366</v>
      </c>
      <c r="C45" s="1138"/>
      <c r="D45" s="1172"/>
      <c r="E45" s="1138"/>
      <c r="F45" s="1138" t="s">
        <v>365</v>
      </c>
      <c r="G45" s="1140" t="s">
        <v>15</v>
      </c>
      <c r="H45" s="1141">
        <f>SUM(H43:H44)</f>
        <v>225.88595000000004</v>
      </c>
      <c r="I45" s="1138" t="s">
        <v>49</v>
      </c>
      <c r="J45" s="1120"/>
      <c r="K45" s="1120"/>
    </row>
    <row r="46" spans="1:22">
      <c r="A46" s="1168"/>
      <c r="B46" s="314" t="s">
        <v>843</v>
      </c>
      <c r="C46" s="314"/>
      <c r="D46" s="314"/>
      <c r="E46" s="1138" t="s">
        <v>844</v>
      </c>
      <c r="F46" s="1138"/>
      <c r="G46" s="1154" t="s">
        <v>15</v>
      </c>
      <c r="H46" s="1141">
        <f>E37</f>
        <v>1857.1136729999998</v>
      </c>
      <c r="I46" s="1154" t="s">
        <v>9</v>
      </c>
      <c r="J46" s="1120"/>
      <c r="K46" s="1120"/>
    </row>
    <row r="47" spans="1:22">
      <c r="A47" s="1173"/>
      <c r="B47" s="314" t="s">
        <v>364</v>
      </c>
      <c r="C47" s="314"/>
      <c r="D47" s="314"/>
      <c r="E47" s="314" t="s">
        <v>845</v>
      </c>
      <c r="F47" s="314"/>
      <c r="G47" s="1154" t="s">
        <v>15</v>
      </c>
      <c r="H47" s="1174">
        <f>+H37</f>
        <v>1882.3132429999998</v>
      </c>
      <c r="I47" s="1154" t="s">
        <v>9</v>
      </c>
      <c r="J47" s="314"/>
    </row>
    <row r="48" spans="1:22">
      <c r="A48" s="1173"/>
      <c r="B48" s="1175" t="s">
        <v>880</v>
      </c>
      <c r="C48" s="1154"/>
      <c r="D48" s="1176">
        <f>(Data!C11+Data!D11)/4/1000</f>
        <v>1.45</v>
      </c>
      <c r="E48" s="816" t="s">
        <v>46</v>
      </c>
      <c r="F48" s="314"/>
      <c r="G48" s="1154" t="s">
        <v>15</v>
      </c>
      <c r="H48" s="1177">
        <f>ข้อมูล!L18</f>
        <v>8.2100000000000009</v>
      </c>
      <c r="I48" s="1154" t="s">
        <v>9</v>
      </c>
      <c r="J48" s="314"/>
    </row>
    <row r="49" spans="1:23">
      <c r="A49" s="1173"/>
      <c r="B49" s="1175" t="s">
        <v>847</v>
      </c>
      <c r="C49" s="1154"/>
      <c r="D49" s="1178"/>
      <c r="E49" s="314"/>
      <c r="F49" s="314"/>
      <c r="G49" s="1154" t="s">
        <v>15</v>
      </c>
      <c r="H49" s="1174">
        <f>SUM(H46+H48+H39+H40)</f>
        <v>1891.281753</v>
      </c>
      <c r="I49" s="1154" t="s">
        <v>9</v>
      </c>
      <c r="J49" s="314"/>
    </row>
    <row r="50" spans="1:23">
      <c r="A50" s="1173"/>
      <c r="B50" s="314" t="s">
        <v>846</v>
      </c>
      <c r="C50" s="314"/>
      <c r="D50" s="1179"/>
      <c r="E50" s="314"/>
      <c r="F50" s="1179"/>
      <c r="G50" s="1154" t="s">
        <v>15</v>
      </c>
      <c r="H50" s="1174">
        <f>SUM(H47+H48+H39+H40)</f>
        <v>1916.481323</v>
      </c>
      <c r="I50" s="1154" t="s">
        <v>9</v>
      </c>
      <c r="J50" s="314"/>
    </row>
    <row r="51" spans="1:23">
      <c r="A51" s="1173"/>
      <c r="B51" s="314" t="s">
        <v>64</v>
      </c>
      <c r="C51" s="1180">
        <v>5</v>
      </c>
      <c r="D51" s="314" t="s">
        <v>849</v>
      </c>
      <c r="E51" s="667">
        <f>((ROUND(41.667/C51,2)))</f>
        <v>8.33</v>
      </c>
      <c r="F51" s="314" t="s">
        <v>360</v>
      </c>
      <c r="G51" s="1154" t="s">
        <v>15</v>
      </c>
      <c r="H51" s="1174">
        <f>ROUNDDOWN(H49/E51,2)</f>
        <v>227.04</v>
      </c>
      <c r="I51" s="1154" t="s">
        <v>130</v>
      </c>
      <c r="J51" s="314"/>
    </row>
    <row r="52" spans="1:23">
      <c r="A52" s="1173"/>
      <c r="B52" s="314" t="s">
        <v>692</v>
      </c>
      <c r="C52" s="1181">
        <v>5</v>
      </c>
      <c r="D52" s="314" t="s">
        <v>848</v>
      </c>
      <c r="E52" s="667">
        <f>ข้อมูล!E113</f>
        <v>8.33</v>
      </c>
      <c r="F52" s="314" t="s">
        <v>360</v>
      </c>
      <c r="G52" s="1154"/>
      <c r="H52" s="1174">
        <f>ROUNDDOWN(H50/E52,2)</f>
        <v>230.06</v>
      </c>
      <c r="I52" s="1154" t="s">
        <v>130</v>
      </c>
      <c r="J52" s="314"/>
    </row>
    <row r="53" spans="1:23" s="314" customFormat="1" ht="20.100000000000001" customHeight="1">
      <c r="A53" s="1120"/>
      <c r="B53" s="1120" t="s">
        <v>881</v>
      </c>
      <c r="C53" s="1120"/>
      <c r="D53" s="1120"/>
      <c r="E53" s="1120"/>
      <c r="F53" s="1120"/>
      <c r="G53" s="1120"/>
      <c r="H53" s="1151"/>
      <c r="I53" s="1120"/>
      <c r="J53" s="1120"/>
      <c r="K53" s="662"/>
      <c r="L53" s="662"/>
      <c r="N53" s="1182"/>
      <c r="O53" s="1182"/>
      <c r="P53" s="1182"/>
      <c r="Q53" s="1366"/>
      <c r="R53" s="1366"/>
      <c r="S53" s="1182"/>
      <c r="T53" s="1182"/>
      <c r="U53" s="1182"/>
      <c r="V53" s="1367"/>
      <c r="W53" s="1367"/>
    </row>
    <row r="54" spans="1:23" s="314" customFormat="1" ht="20.100000000000001" customHeight="1">
      <c r="A54" s="1120"/>
      <c r="B54" s="1120" t="s">
        <v>358</v>
      </c>
      <c r="C54" s="1120"/>
      <c r="D54" s="1120"/>
      <c r="E54" s="1120"/>
      <c r="F54" s="1120"/>
      <c r="G54" s="1120" t="s">
        <v>15</v>
      </c>
      <c r="H54" s="1151">
        <f>ข้อมูล!H116</f>
        <v>15.35</v>
      </c>
      <c r="I54" s="1120" t="s">
        <v>130</v>
      </c>
      <c r="J54" s="1120"/>
      <c r="K54" s="662"/>
      <c r="L54" s="662"/>
      <c r="N54" s="1182"/>
      <c r="O54" s="1182"/>
      <c r="P54" s="1182"/>
      <c r="Q54" s="1366"/>
      <c r="R54" s="1366"/>
      <c r="S54" s="1182"/>
      <c r="T54" s="1182"/>
      <c r="U54" s="1182"/>
      <c r="V54" s="1367"/>
      <c r="W54" s="1367"/>
    </row>
    <row r="55" spans="1:23" s="314" customFormat="1" ht="20.100000000000001" customHeight="1">
      <c r="A55" s="1120"/>
      <c r="B55" s="1120" t="s">
        <v>357</v>
      </c>
      <c r="C55" s="1120"/>
      <c r="D55" s="1120"/>
      <c r="E55" s="1120"/>
      <c r="F55" s="1120"/>
      <c r="G55" s="1120" t="s">
        <v>15</v>
      </c>
      <c r="H55" s="1151">
        <f>ข้อมูล!H117*0.8</f>
        <v>9.5680000000000014</v>
      </c>
      <c r="I55" s="1120" t="s">
        <v>130</v>
      </c>
      <c r="J55" s="1120"/>
      <c r="K55" s="662"/>
      <c r="L55" s="662"/>
      <c r="N55" s="1182"/>
      <c r="O55" s="1182"/>
      <c r="P55" s="1182"/>
      <c r="Q55" s="1366"/>
      <c r="R55" s="1366"/>
      <c r="S55" s="1182"/>
      <c r="T55" s="1182"/>
      <c r="U55" s="1182"/>
      <c r="V55" s="1367"/>
      <c r="W55" s="1367"/>
    </row>
    <row r="56" spans="1:23" s="314" customFormat="1" ht="20.100000000000001" customHeight="1">
      <c r="A56" s="1120"/>
      <c r="B56" s="1120" t="s">
        <v>38</v>
      </c>
      <c r="C56" s="1120"/>
      <c r="D56" s="1120"/>
      <c r="E56" s="1134" t="str">
        <f>C51&amp;" ซม."</f>
        <v>5 ซม.</v>
      </c>
      <c r="F56" s="1120"/>
      <c r="G56" s="1120" t="s">
        <v>15</v>
      </c>
      <c r="H56" s="1201">
        <f>H51+H54</f>
        <v>242.39</v>
      </c>
      <c r="I56" s="1120" t="s">
        <v>130</v>
      </c>
      <c r="J56" s="1120"/>
      <c r="K56" s="662"/>
      <c r="L56" s="662"/>
      <c r="N56" s="1182"/>
      <c r="O56" s="1182"/>
      <c r="P56" s="1182"/>
      <c r="Q56" s="1366"/>
      <c r="R56" s="1366"/>
      <c r="S56" s="1182"/>
      <c r="T56" s="1182"/>
      <c r="U56" s="1182"/>
      <c r="V56" s="1367"/>
      <c r="W56" s="1367"/>
    </row>
    <row r="57" spans="1:23" s="314" customFormat="1" ht="20.100000000000001" customHeight="1">
      <c r="A57" s="1120"/>
      <c r="B57" s="1120" t="s">
        <v>39</v>
      </c>
      <c r="C57" s="1120"/>
      <c r="D57" s="1120"/>
      <c r="E57" s="1134" t="str">
        <f>C52&amp;" ซม."</f>
        <v>5 ซม.</v>
      </c>
      <c r="F57" s="1120"/>
      <c r="G57" s="1120" t="s">
        <v>15</v>
      </c>
      <c r="H57" s="1201">
        <f>H52+H55</f>
        <v>239.62800000000001</v>
      </c>
      <c r="I57" s="1120" t="s">
        <v>130</v>
      </c>
      <c r="J57" s="1120"/>
      <c r="K57" s="662"/>
      <c r="L57" s="662"/>
      <c r="N57" s="1182"/>
      <c r="O57" s="1182"/>
      <c r="P57" s="1182"/>
      <c r="Q57" s="1366"/>
      <c r="R57" s="1366"/>
      <c r="S57" s="1182"/>
      <c r="T57" s="1182"/>
      <c r="U57" s="1182"/>
      <c r="V57" s="1367"/>
      <c r="W57" s="1367"/>
    </row>
    <row r="58" spans="1:23">
      <c r="A58" s="1122" t="s">
        <v>832</v>
      </c>
      <c r="D58" s="1132"/>
      <c r="E58" s="314"/>
      <c r="F58" s="314"/>
      <c r="G58" s="314"/>
      <c r="H58" s="1174"/>
      <c r="I58" s="314"/>
      <c r="J58" s="314"/>
      <c r="K58" s="1183"/>
      <c r="L58" s="314"/>
    </row>
    <row r="59" spans="1:23">
      <c r="B59" s="1120" t="s">
        <v>694</v>
      </c>
      <c r="D59" s="1132"/>
      <c r="E59" s="314"/>
      <c r="F59" s="314"/>
      <c r="G59" s="1154" t="s">
        <v>6</v>
      </c>
      <c r="H59" s="1128">
        <f>+(_yp1/1000)*0.8</f>
        <v>21.039656000000001</v>
      </c>
      <c r="I59" s="1154" t="s">
        <v>130</v>
      </c>
      <c r="J59" s="314"/>
      <c r="K59" s="314"/>
      <c r="L59" s="314"/>
    </row>
    <row r="60" spans="1:23">
      <c r="B60" s="1120" t="s">
        <v>352</v>
      </c>
      <c r="D60" s="1132"/>
      <c r="E60" s="314"/>
      <c r="F60" s="314"/>
      <c r="G60" s="1154" t="s">
        <v>6</v>
      </c>
      <c r="H60" s="1174">
        <f>+'S2'!BJ15</f>
        <v>7.54</v>
      </c>
      <c r="I60" s="1154" t="s">
        <v>130</v>
      </c>
      <c r="J60" s="314"/>
      <c r="K60" s="314"/>
      <c r="L60" s="314"/>
    </row>
    <row r="61" spans="1:23">
      <c r="B61" s="1120" t="s">
        <v>351</v>
      </c>
      <c r="D61" s="1132"/>
      <c r="E61" s="314"/>
      <c r="F61" s="314"/>
      <c r="G61" s="1154" t="s">
        <v>6</v>
      </c>
      <c r="H61" s="1200">
        <f>ROUNDDOWN(H59+H60,2)</f>
        <v>28.57</v>
      </c>
      <c r="I61" s="1154" t="s">
        <v>130</v>
      </c>
      <c r="J61" s="314"/>
      <c r="K61" s="314"/>
      <c r="L61" s="314"/>
    </row>
    <row r="62" spans="1:23">
      <c r="A62" s="1184" t="s">
        <v>833</v>
      </c>
      <c r="B62" s="1185"/>
      <c r="C62" s="1185"/>
      <c r="D62" s="1185"/>
      <c r="E62" s="1185"/>
      <c r="F62" s="1185"/>
      <c r="G62" s="1186"/>
      <c r="H62" s="1128"/>
      <c r="I62" s="1185"/>
      <c r="K62" s="1187"/>
      <c r="L62" s="314"/>
    </row>
    <row r="63" spans="1:23">
      <c r="A63" s="1184" t="s">
        <v>834</v>
      </c>
      <c r="B63" s="1185"/>
      <c r="C63" s="1185"/>
      <c r="D63" s="1185"/>
      <c r="E63" s="1185"/>
      <c r="F63" s="1185"/>
      <c r="G63" s="1186"/>
      <c r="H63" s="1128"/>
      <c r="I63" s="1185"/>
      <c r="K63" s="1187"/>
    </row>
    <row r="64" spans="1:23">
      <c r="A64" s="1185"/>
      <c r="B64" s="1185" t="s">
        <v>709</v>
      </c>
      <c r="C64" s="1185"/>
      <c r="D64" s="1185"/>
      <c r="E64" s="1185"/>
      <c r="F64" s="1185"/>
      <c r="G64" s="1186" t="s">
        <v>15</v>
      </c>
      <c r="H64" s="1128">
        <f>+(_yp1/1000)*1</f>
        <v>26.299569999999999</v>
      </c>
      <c r="I64" s="1185" t="s">
        <v>130</v>
      </c>
      <c r="K64" s="1187"/>
    </row>
    <row r="65" spans="1:13">
      <c r="A65" s="1185"/>
      <c r="B65" s="1185" t="s">
        <v>352</v>
      </c>
      <c r="C65" s="1185"/>
      <c r="D65" s="1185"/>
      <c r="E65" s="1185"/>
      <c r="F65" s="1185"/>
      <c r="G65" s="1186" t="s">
        <v>15</v>
      </c>
      <c r="H65" s="1128">
        <f>+H60</f>
        <v>7.54</v>
      </c>
      <c r="I65" s="1185" t="s">
        <v>130</v>
      </c>
      <c r="K65" s="1187"/>
    </row>
    <row r="66" spans="1:13">
      <c r="A66" s="1185"/>
      <c r="B66" s="1185" t="s">
        <v>351</v>
      </c>
      <c r="C66" s="1185"/>
      <c r="D66" s="1188" t="s">
        <v>373</v>
      </c>
      <c r="E66" s="1185"/>
      <c r="F66" s="1185"/>
      <c r="G66" s="1186" t="s">
        <v>15</v>
      </c>
      <c r="H66" s="1199">
        <f>ROUNDDOWN(H64+H65,2)</f>
        <v>33.83</v>
      </c>
      <c r="I66" s="1185" t="s">
        <v>130</v>
      </c>
      <c r="K66" s="1187"/>
      <c r="M66" s="1185"/>
    </row>
    <row r="67" spans="1:13">
      <c r="A67" s="1185"/>
      <c r="B67" s="1185"/>
      <c r="C67" s="1185"/>
      <c r="D67" s="1188"/>
      <c r="E67" s="1185"/>
      <c r="F67" s="1185"/>
      <c r="G67" s="1186"/>
      <c r="H67" s="1128"/>
      <c r="I67" s="1185"/>
      <c r="K67" s="1187"/>
      <c r="M67" s="1185"/>
    </row>
    <row r="68" spans="1:13">
      <c r="A68" s="1184" t="s">
        <v>835</v>
      </c>
      <c r="B68" s="1185"/>
      <c r="C68" s="1185"/>
      <c r="D68" s="1185"/>
      <c r="E68" s="1185"/>
      <c r="F68" s="1185"/>
      <c r="G68" s="1186"/>
      <c r="H68" s="1128"/>
      <c r="I68" s="1185"/>
      <c r="K68" s="1185"/>
      <c r="M68" s="1185"/>
    </row>
    <row r="69" spans="1:13">
      <c r="A69" s="1185"/>
      <c r="B69" s="1185" t="s">
        <v>854</v>
      </c>
      <c r="C69" s="1185"/>
      <c r="D69" s="1185"/>
      <c r="E69" s="1185"/>
      <c r="F69" s="1185"/>
      <c r="G69" s="1186" t="s">
        <v>15</v>
      </c>
      <c r="H69" s="1128">
        <f>ROUND((y_1/1000)*0.3,2)</f>
        <v>7.83</v>
      </c>
      <c r="I69" s="1185" t="s">
        <v>130</v>
      </c>
      <c r="K69" s="1187"/>
      <c r="M69" s="1185"/>
    </row>
    <row r="70" spans="1:13" ht="21.6" customHeight="1">
      <c r="A70" s="1185"/>
      <c r="B70" s="1185" t="s">
        <v>352</v>
      </c>
      <c r="C70" s="1185"/>
      <c r="D70" s="1185"/>
      <c r="E70" s="1185"/>
      <c r="F70" s="1185"/>
      <c r="G70" s="1186" t="s">
        <v>15</v>
      </c>
      <c r="H70" s="1128">
        <f>+'S2'!BJ16</f>
        <v>7.29</v>
      </c>
      <c r="I70" s="1185" t="s">
        <v>130</v>
      </c>
      <c r="K70" s="1187"/>
      <c r="M70" s="1185"/>
    </row>
    <row r="71" spans="1:13" ht="21.6" customHeight="1">
      <c r="A71" s="1185"/>
      <c r="B71" s="1185" t="s">
        <v>351</v>
      </c>
      <c r="C71" s="1185"/>
      <c r="D71" s="1188" t="s">
        <v>544</v>
      </c>
      <c r="E71" s="1185"/>
      <c r="F71" s="1185"/>
      <c r="G71" s="1186" t="s">
        <v>15</v>
      </c>
      <c r="H71" s="1199">
        <f>ROUND(SUM(H69:H70),2)</f>
        <v>15.12</v>
      </c>
      <c r="I71" s="1185" t="s">
        <v>130</v>
      </c>
      <c r="K71" s="1187"/>
      <c r="M71" s="1185"/>
    </row>
    <row r="72" spans="1:13" ht="21.6" customHeight="1">
      <c r="A72" s="1184" t="s">
        <v>836</v>
      </c>
      <c r="B72" s="1185"/>
      <c r="C72" s="1185"/>
      <c r="D72" s="1185"/>
      <c r="E72" s="1185"/>
      <c r="F72" s="1185"/>
      <c r="G72" s="1185"/>
      <c r="H72" s="1189"/>
      <c r="I72" s="1185"/>
      <c r="J72" s="1185"/>
      <c r="K72" s="1185"/>
      <c r="L72" s="1185"/>
      <c r="M72" s="1185"/>
    </row>
    <row r="73" spans="1:13" ht="21.6" customHeight="1">
      <c r="A73" s="1185"/>
      <c r="B73" s="1184" t="s">
        <v>837</v>
      </c>
      <c r="C73" s="1184"/>
      <c r="D73" s="1184"/>
      <c r="E73" s="1185"/>
      <c r="F73" s="1185"/>
      <c r="G73" s="1185"/>
      <c r="H73" s="1189"/>
      <c r="I73" s="1185"/>
      <c r="J73" s="1185"/>
      <c r="K73" s="1185"/>
      <c r="L73" s="1185"/>
      <c r="M73" s="1185"/>
    </row>
    <row r="74" spans="1:13" ht="21.6" customHeight="1">
      <c r="A74" s="1185"/>
      <c r="B74" s="1185"/>
      <c r="C74" s="1185"/>
      <c r="D74" s="1185" t="s">
        <v>243</v>
      </c>
      <c r="E74" s="1185"/>
      <c r="F74" s="1185"/>
      <c r="G74" s="1185"/>
      <c r="H74" s="1189"/>
      <c r="I74" s="1185"/>
      <c r="J74" s="1185"/>
      <c r="K74" s="1185"/>
      <c r="L74" s="1185"/>
      <c r="M74" s="1185"/>
    </row>
    <row r="75" spans="1:13">
      <c r="A75" s="1185"/>
      <c r="B75" s="1185"/>
      <c r="C75" s="1185"/>
      <c r="D75" s="1185" t="s">
        <v>232</v>
      </c>
      <c r="E75" s="1185"/>
      <c r="F75" s="1185"/>
      <c r="G75" s="1185"/>
      <c r="H75" s="1189" t="s">
        <v>130</v>
      </c>
      <c r="I75" s="1185"/>
      <c r="J75" s="1185"/>
      <c r="K75" s="1185"/>
      <c r="L75" s="1185"/>
      <c r="M75" s="1185"/>
    </row>
    <row r="76" spans="1:13">
      <c r="A76" s="1185"/>
      <c r="B76" s="1185"/>
      <c r="C76" s="1185"/>
      <c r="D76" s="1185" t="s">
        <v>233</v>
      </c>
      <c r="E76" s="1185"/>
      <c r="F76" s="1185"/>
      <c r="G76" s="1185"/>
      <c r="H76" s="1189" t="s">
        <v>234</v>
      </c>
      <c r="I76" s="1185"/>
      <c r="J76" s="1185"/>
      <c r="K76" s="1185"/>
      <c r="L76" s="1185"/>
      <c r="M76" s="1185"/>
    </row>
    <row r="77" spans="1:13">
      <c r="A77" s="1185"/>
      <c r="B77" s="1185"/>
      <c r="C77" s="1185"/>
      <c r="D77" s="1185" t="s">
        <v>235</v>
      </c>
      <c r="E77" s="1185"/>
      <c r="F77" s="1185"/>
      <c r="G77" s="1185"/>
      <c r="H77" s="1189" t="s">
        <v>10</v>
      </c>
      <c r="I77" s="1185"/>
      <c r="J77" s="1185"/>
      <c r="K77" s="1185"/>
      <c r="L77" s="1185"/>
      <c r="M77" s="1185"/>
    </row>
    <row r="78" spans="1:13">
      <c r="A78" s="1185"/>
      <c r="B78" s="1185"/>
      <c r="C78" s="1185"/>
      <c r="D78" s="1185" t="s">
        <v>236</v>
      </c>
      <c r="E78" s="1185"/>
      <c r="F78" s="1185"/>
      <c r="G78" s="1185"/>
      <c r="H78" s="1189" t="s">
        <v>234</v>
      </c>
      <c r="I78" s="1185"/>
      <c r="J78" s="1185"/>
      <c r="K78" s="1185"/>
      <c r="L78" s="1185"/>
      <c r="M78" s="1185"/>
    </row>
    <row r="79" spans="1:13">
      <c r="A79" s="1185"/>
      <c r="B79" s="1185"/>
      <c r="C79" s="1185"/>
      <c r="D79" s="1185" t="s">
        <v>237</v>
      </c>
      <c r="E79" s="1185"/>
      <c r="F79" s="1185"/>
      <c r="G79" s="1185"/>
      <c r="H79" s="1189" t="s">
        <v>10</v>
      </c>
      <c r="I79" s="1185"/>
      <c r="J79" s="1185"/>
      <c r="K79" s="1185"/>
      <c r="L79" s="1185"/>
    </row>
    <row r="80" spans="1:13">
      <c r="A80" s="1185"/>
      <c r="B80" s="1184" t="s">
        <v>838</v>
      </c>
      <c r="C80" s="1184"/>
      <c r="D80" s="1185"/>
      <c r="E80" s="1185"/>
      <c r="F80" s="1185"/>
      <c r="G80" s="1185"/>
      <c r="H80" s="1189"/>
      <c r="I80" s="1185"/>
      <c r="J80" s="1185"/>
      <c r="K80" s="1185"/>
      <c r="L80" s="1185"/>
    </row>
    <row r="81" spans="1:30">
      <c r="A81" s="1185"/>
      <c r="B81" s="1185"/>
      <c r="C81" s="1185"/>
      <c r="D81" s="1185" t="s">
        <v>259</v>
      </c>
      <c r="E81" s="1185"/>
      <c r="F81" s="1185"/>
      <c r="G81" s="1185"/>
      <c r="H81" s="1190">
        <f>ข้อมูล!H85</f>
        <v>36.35</v>
      </c>
      <c r="I81" s="1185" t="s">
        <v>130</v>
      </c>
      <c r="J81" s="1185"/>
      <c r="K81" s="1185"/>
      <c r="L81" s="1185"/>
    </row>
    <row r="82" spans="1:30">
      <c r="A82" s="1185"/>
      <c r="B82" s="1185"/>
      <c r="C82" s="1185"/>
      <c r="D82" s="1185" t="s">
        <v>258</v>
      </c>
      <c r="E82" s="1185"/>
      <c r="F82" s="1185"/>
      <c r="G82" s="1185"/>
      <c r="H82" s="1190">
        <f>ข้อมูล!H86</f>
        <v>0.2</v>
      </c>
      <c r="I82" s="1185" t="s">
        <v>238</v>
      </c>
      <c r="J82" s="1185"/>
      <c r="K82" s="1185"/>
      <c r="L82" s="1185"/>
    </row>
    <row r="83" spans="1:30">
      <c r="A83" s="1185"/>
      <c r="B83" s="1185"/>
      <c r="C83" s="1185"/>
      <c r="D83" s="1185" t="s">
        <v>260</v>
      </c>
      <c r="E83" s="1185"/>
      <c r="F83" s="1185"/>
      <c r="G83" s="1185"/>
      <c r="H83" s="1190">
        <f>ข้อมูล!H87</f>
        <v>3.5</v>
      </c>
      <c r="I83" s="1185" t="s">
        <v>74</v>
      </c>
      <c r="J83" s="1185"/>
      <c r="K83" s="1185"/>
      <c r="L83" s="1185"/>
    </row>
    <row r="84" spans="1:30">
      <c r="A84" s="1185"/>
      <c r="B84" s="1185"/>
      <c r="C84" s="1185"/>
      <c r="D84" s="1185" t="s">
        <v>261</v>
      </c>
      <c r="E84" s="1185"/>
      <c r="F84" s="1185"/>
      <c r="G84" s="1185"/>
      <c r="H84" s="1190">
        <v>2200</v>
      </c>
      <c r="I84" s="1185" t="s">
        <v>239</v>
      </c>
      <c r="J84" s="1185"/>
      <c r="K84" s="1185"/>
      <c r="L84" s="1185"/>
      <c r="M84" s="1185"/>
    </row>
    <row r="85" spans="1:30">
      <c r="A85" s="1185"/>
      <c r="B85" s="1185" t="s">
        <v>240</v>
      </c>
      <c r="C85" s="1185"/>
      <c r="D85" s="1185"/>
      <c r="E85" s="1185"/>
      <c r="F85" s="1185"/>
      <c r="G85" s="1185" t="s">
        <v>15</v>
      </c>
      <c r="H85" s="1190">
        <f>ข้อมูล!L89</f>
        <v>2903.43</v>
      </c>
      <c r="I85" s="1185" t="s">
        <v>10</v>
      </c>
      <c r="J85" s="1185"/>
      <c r="K85" s="1120"/>
      <c r="M85" s="1185"/>
    </row>
    <row r="86" spans="1:30">
      <c r="A86" s="1185"/>
      <c r="B86" s="1185" t="s">
        <v>886</v>
      </c>
      <c r="C86" s="1185"/>
      <c r="D86" s="1185" t="s">
        <v>887</v>
      </c>
      <c r="E86" s="1191">
        <f>C39</f>
        <v>15</v>
      </c>
      <c r="F86" s="1185" t="s">
        <v>46</v>
      </c>
      <c r="G86" s="1185" t="s">
        <v>15</v>
      </c>
      <c r="H86" s="1190">
        <f>E39</f>
        <v>39.76</v>
      </c>
      <c r="I86" s="1185" t="s">
        <v>10</v>
      </c>
      <c r="J86" s="1185"/>
      <c r="K86" s="1120"/>
      <c r="M86" s="1185"/>
    </row>
    <row r="87" spans="1:30">
      <c r="A87" s="1185"/>
      <c r="B87" s="1185" t="s">
        <v>241</v>
      </c>
      <c r="C87" s="1185"/>
      <c r="D87" s="1185"/>
      <c r="E87" s="1185"/>
      <c r="F87" s="1185"/>
      <c r="G87" s="1185" t="s">
        <v>15</v>
      </c>
      <c r="H87" s="1189">
        <f>ข้อมูล!L91</f>
        <v>1.5400000000000002E-2</v>
      </c>
      <c r="I87" s="1185" t="s">
        <v>234</v>
      </c>
      <c r="J87" s="1185"/>
      <c r="K87" s="1120"/>
      <c r="M87" s="1185"/>
    </row>
    <row r="88" spans="1:30" ht="21.75" customHeight="1">
      <c r="A88" s="1185"/>
      <c r="B88" s="1185" t="s">
        <v>292</v>
      </c>
      <c r="C88" s="1185"/>
      <c r="D88" s="1185"/>
      <c r="E88" s="1185"/>
      <c r="F88" s="1185"/>
      <c r="G88" s="1185" t="s">
        <v>15</v>
      </c>
      <c r="H88" s="1190">
        <f>ข้อมูล!L92</f>
        <v>81.675126000000006</v>
      </c>
      <c r="I88" s="1185" t="s">
        <v>16</v>
      </c>
      <c r="J88" s="1185"/>
      <c r="K88" s="1120"/>
      <c r="M88" s="1185"/>
    </row>
    <row r="89" spans="1:30">
      <c r="A89" s="1185"/>
      <c r="B89" s="1185" t="s">
        <v>857</v>
      </c>
      <c r="C89" s="1185"/>
      <c r="D89" s="1185"/>
      <c r="E89" s="1185"/>
      <c r="F89" s="1185"/>
      <c r="G89" s="1185" t="s">
        <v>15</v>
      </c>
      <c r="H89" s="1190">
        <f>ข้อมูล!L93</f>
        <v>9.5419999999999998</v>
      </c>
      <c r="I89" s="1185" t="s">
        <v>16</v>
      </c>
      <c r="J89" s="1185"/>
      <c r="K89" s="1120"/>
      <c r="M89" s="1185"/>
    </row>
    <row r="90" spans="1:30">
      <c r="A90" s="1185" t="s">
        <v>293</v>
      </c>
      <c r="B90" s="1185" t="s">
        <v>242</v>
      </c>
      <c r="C90" s="1185"/>
      <c r="D90" s="1185"/>
      <c r="E90" s="1185"/>
      <c r="F90" s="1185"/>
      <c r="G90" s="1185" t="s">
        <v>15</v>
      </c>
      <c r="H90" s="1198">
        <f>ข้อมูล!L94</f>
        <v>91.217126000000007</v>
      </c>
      <c r="I90" s="1185" t="s">
        <v>16</v>
      </c>
      <c r="J90" s="1185"/>
      <c r="K90" s="1120"/>
      <c r="M90" s="1185"/>
    </row>
    <row r="91" spans="1:30">
      <c r="A91" s="1184" t="s">
        <v>839</v>
      </c>
      <c r="B91" s="1185"/>
      <c r="C91" s="1185"/>
      <c r="D91" s="1185"/>
      <c r="E91" s="1185"/>
      <c r="F91" s="1185"/>
      <c r="G91" s="1185"/>
      <c r="H91" s="1189"/>
      <c r="I91" s="1185"/>
      <c r="J91" s="1185"/>
      <c r="K91" s="1185"/>
      <c r="L91" s="1185"/>
      <c r="M91" s="1185"/>
    </row>
    <row r="92" spans="1:30">
      <c r="A92" s="1185" t="s">
        <v>248</v>
      </c>
      <c r="B92" s="1185"/>
      <c r="C92" s="1185"/>
      <c r="D92" s="1185"/>
      <c r="E92" s="1185"/>
      <c r="F92" s="1185"/>
      <c r="G92" s="1185"/>
      <c r="H92" s="1189"/>
      <c r="I92" s="1185"/>
      <c r="J92" s="1185"/>
      <c r="K92" s="662"/>
      <c r="L92" s="662"/>
      <c r="M92" s="1192"/>
      <c r="N92" s="1192"/>
      <c r="O92" s="1192"/>
      <c r="P92" s="1192"/>
      <c r="Q92" s="1192"/>
      <c r="R92" s="1192"/>
      <c r="S92" s="1192"/>
      <c r="T92" s="1192"/>
      <c r="U92" s="1192"/>
      <c r="V92" s="1192"/>
      <c r="W92" s="1192"/>
      <c r="X92" s="1192"/>
      <c r="Y92" s="1192"/>
      <c r="Z92" s="1192"/>
      <c r="AA92" s="1192"/>
      <c r="AB92" s="1192"/>
      <c r="AC92" s="1192"/>
      <c r="AD92" s="1192"/>
    </row>
    <row r="93" spans="1:30">
      <c r="A93" s="1185" t="s">
        <v>17</v>
      </c>
      <c r="B93" s="1185"/>
      <c r="C93" s="1185"/>
      <c r="D93" s="1185"/>
      <c r="E93" s="1185"/>
      <c r="F93" s="1185"/>
      <c r="G93" s="1185" t="s">
        <v>15</v>
      </c>
      <c r="H93" s="1190">
        <f>ข้อมูล!L59</f>
        <v>11.56</v>
      </c>
      <c r="I93" s="1185" t="s">
        <v>16</v>
      </c>
      <c r="J93" s="1185"/>
      <c r="K93" s="1120"/>
      <c r="M93" s="1192"/>
      <c r="N93" s="1192"/>
      <c r="O93" s="1192"/>
      <c r="P93" s="1192"/>
      <c r="Q93" s="1192"/>
      <c r="R93" s="1192"/>
      <c r="S93" s="1192"/>
      <c r="T93" s="1192"/>
      <c r="U93" s="1192"/>
      <c r="V93" s="1192"/>
      <c r="W93" s="1192"/>
      <c r="X93" s="1192"/>
      <c r="Y93" s="1192"/>
      <c r="Z93" s="1192"/>
      <c r="AA93" s="1192"/>
      <c r="AB93" s="1192"/>
      <c r="AC93" s="1192"/>
      <c r="AD93" s="1192"/>
    </row>
    <row r="94" spans="1:30">
      <c r="A94" s="1185" t="s">
        <v>231</v>
      </c>
      <c r="B94" s="1185"/>
      <c r="C94" s="1185"/>
      <c r="D94" s="1185"/>
      <c r="E94" s="1185">
        <v>0.2</v>
      </c>
      <c r="F94" s="1185" t="s">
        <v>53</v>
      </c>
      <c r="G94" s="1185" t="s">
        <v>15</v>
      </c>
      <c r="H94" s="1190">
        <f>ข้อมูล!L60</f>
        <v>28.8</v>
      </c>
      <c r="I94" s="1185" t="s">
        <v>16</v>
      </c>
      <c r="J94" s="1185"/>
      <c r="K94" s="1120"/>
      <c r="M94" s="1192"/>
      <c r="N94" s="1192"/>
      <c r="O94" s="1192"/>
      <c r="P94" s="1192"/>
      <c r="Q94" s="1192"/>
      <c r="R94" s="1192"/>
      <c r="S94" s="1192"/>
      <c r="T94" s="1192"/>
      <c r="U94" s="1192"/>
      <c r="V94" s="1192"/>
      <c r="W94" s="1192"/>
      <c r="X94" s="1192"/>
      <c r="Y94" s="1192"/>
      <c r="Z94" s="1192"/>
      <c r="AA94" s="1192"/>
      <c r="AB94" s="1192"/>
      <c r="AC94" s="1192"/>
      <c r="AD94" s="1192"/>
    </row>
    <row r="95" spans="1:30">
      <c r="A95" s="1185" t="s">
        <v>297</v>
      </c>
      <c r="B95" s="1185"/>
      <c r="C95" s="1185"/>
      <c r="D95" s="1185"/>
      <c r="E95" s="1185">
        <v>0.2</v>
      </c>
      <c r="F95" s="1185" t="s">
        <v>53</v>
      </c>
      <c r="G95" s="1185" t="s">
        <v>15</v>
      </c>
      <c r="H95" s="1190">
        <f>ข้อมูล!L61</f>
        <v>22.28</v>
      </c>
      <c r="I95" s="1185" t="s">
        <v>16</v>
      </c>
      <c r="J95" s="1185"/>
      <c r="K95" s="1120"/>
      <c r="M95" s="1192"/>
      <c r="N95" s="1192"/>
      <c r="O95" s="1192"/>
      <c r="P95" s="1192"/>
      <c r="Q95" s="1192"/>
      <c r="R95" s="1192"/>
      <c r="S95" s="1192"/>
      <c r="T95" s="1192"/>
      <c r="U95" s="1192"/>
      <c r="V95" s="1192"/>
      <c r="W95" s="1192"/>
      <c r="X95" s="1192"/>
      <c r="Y95" s="1192"/>
      <c r="Z95" s="1192"/>
      <c r="AA95" s="1192"/>
      <c r="AB95" s="1192"/>
      <c r="AC95" s="1192"/>
      <c r="AD95" s="1192"/>
    </row>
    <row r="96" spans="1:30">
      <c r="A96" s="1185" t="s">
        <v>253</v>
      </c>
      <c r="B96" s="1185"/>
      <c r="C96" s="1185"/>
      <c r="D96" s="1185"/>
      <c r="E96" s="1185">
        <v>0.25</v>
      </c>
      <c r="F96" s="1185" t="s">
        <v>53</v>
      </c>
      <c r="G96" s="1185" t="s">
        <v>15</v>
      </c>
      <c r="H96" s="1190">
        <f>ข้อมูล!L62</f>
        <v>39.44</v>
      </c>
      <c r="I96" s="1185" t="s">
        <v>16</v>
      </c>
      <c r="J96" s="1185"/>
      <c r="K96" s="1120"/>
      <c r="M96" s="1192"/>
      <c r="N96" s="1192"/>
      <c r="O96" s="1192"/>
      <c r="P96" s="1192"/>
      <c r="Q96" s="1192"/>
      <c r="R96" s="1193"/>
      <c r="S96" s="1192"/>
      <c r="T96" s="1192"/>
      <c r="U96" s="1192"/>
      <c r="V96" s="1192"/>
      <c r="W96" s="1192"/>
      <c r="X96" s="1192"/>
      <c r="Y96" s="1192"/>
      <c r="Z96" s="1192"/>
      <c r="AA96" s="1192"/>
      <c r="AB96" s="1192"/>
      <c r="AC96" s="1192"/>
      <c r="AD96" s="1192"/>
    </row>
    <row r="97" spans="1:30">
      <c r="A97" s="1185" t="s">
        <v>298</v>
      </c>
      <c r="B97" s="1185"/>
      <c r="C97" s="1185"/>
      <c r="D97" s="1185"/>
      <c r="E97" s="1185">
        <f>E94</f>
        <v>0.2</v>
      </c>
      <c r="F97" s="1185" t="str">
        <f>F94</f>
        <v>ม. )</v>
      </c>
      <c r="G97" s="1185" t="s">
        <v>15</v>
      </c>
      <c r="H97" s="1190">
        <f>ข้อมูล!L63</f>
        <v>28.47</v>
      </c>
      <c r="I97" s="1185" t="s">
        <v>16</v>
      </c>
      <c r="J97" s="1185"/>
      <c r="K97" s="1120"/>
      <c r="M97" s="1192"/>
      <c r="N97" s="1192"/>
      <c r="O97" s="1192"/>
      <c r="P97" s="1192"/>
      <c r="Q97" s="1192"/>
      <c r="R97" s="1193"/>
      <c r="S97" s="1192"/>
      <c r="T97" s="1192"/>
      <c r="U97" s="1192"/>
      <c r="V97" s="1192"/>
      <c r="W97" s="1192"/>
      <c r="X97" s="1192"/>
      <c r="Y97" s="1192"/>
      <c r="Z97" s="1192"/>
      <c r="AA97" s="1192"/>
      <c r="AB97" s="1192"/>
      <c r="AC97" s="1192"/>
      <c r="AD97" s="1192"/>
    </row>
    <row r="98" spans="1:30">
      <c r="A98" s="1185" t="s">
        <v>299</v>
      </c>
      <c r="B98" s="1185"/>
      <c r="C98" s="1185"/>
      <c r="D98" s="1185"/>
      <c r="E98" s="1185">
        <f>E95</f>
        <v>0.2</v>
      </c>
      <c r="F98" s="1185" t="str">
        <f>F95</f>
        <v>ม. )</v>
      </c>
      <c r="G98" s="1185" t="s">
        <v>15</v>
      </c>
      <c r="H98" s="1190">
        <f>ข้อมูล!L64</f>
        <v>22.776</v>
      </c>
      <c r="I98" s="1185" t="s">
        <v>16</v>
      </c>
      <c r="J98" s="1185"/>
      <c r="K98" s="1120"/>
      <c r="M98" s="1192"/>
      <c r="N98" s="1192"/>
      <c r="O98" s="1193"/>
      <c r="P98" s="1193"/>
      <c r="Q98" s="1193"/>
      <c r="R98" s="1192"/>
      <c r="S98" s="1192"/>
      <c r="T98" s="1192"/>
      <c r="U98" s="1192"/>
      <c r="V98" s="1192"/>
      <c r="W98" s="1192"/>
      <c r="X98" s="1192"/>
      <c r="Y98" s="1192"/>
      <c r="Z98" s="1192"/>
      <c r="AA98" s="1192"/>
      <c r="AB98" s="1192"/>
      <c r="AC98" s="1192"/>
      <c r="AD98" s="1192"/>
    </row>
    <row r="99" spans="1:30">
      <c r="A99" s="1185" t="s">
        <v>250</v>
      </c>
      <c r="B99" s="1185"/>
      <c r="C99" s="1185"/>
      <c r="D99" s="1185"/>
      <c r="E99" s="1185"/>
      <c r="F99" s="1185"/>
      <c r="G99" s="1185" t="s">
        <v>15</v>
      </c>
      <c r="H99" s="1198">
        <f>ข้อมูล!L65</f>
        <v>153.33000000000001</v>
      </c>
      <c r="I99" s="1185" t="s">
        <v>16</v>
      </c>
      <c r="J99" s="1194"/>
      <c r="K99" s="1120"/>
      <c r="M99" s="1192"/>
      <c r="N99" s="1192"/>
      <c r="O99" s="1192"/>
      <c r="P99" s="1193"/>
      <c r="Q99" s="1193"/>
      <c r="R99" s="1192"/>
      <c r="S99" s="1192"/>
      <c r="T99" s="1192"/>
      <c r="U99" s="1192"/>
      <c r="V99" s="1192"/>
      <c r="W99" s="1192"/>
      <c r="X99" s="1192"/>
      <c r="Y99" s="1192"/>
      <c r="Z99" s="1192"/>
      <c r="AA99" s="1192"/>
      <c r="AB99" s="1192"/>
      <c r="AC99" s="1192"/>
      <c r="AD99" s="1192"/>
    </row>
    <row r="100" spans="1:30">
      <c r="A100" s="1185"/>
      <c r="B100" s="1185"/>
      <c r="C100" s="1185"/>
      <c r="D100" s="1185"/>
      <c r="E100" s="1185"/>
      <c r="F100" s="1185"/>
      <c r="G100" s="1185"/>
      <c r="H100" s="1189"/>
      <c r="I100" s="1185"/>
      <c r="J100" s="1185"/>
      <c r="K100" s="1185"/>
      <c r="L100" s="1185"/>
      <c r="M100" s="1185"/>
    </row>
    <row r="101" spans="1:30">
      <c r="A101" s="1185"/>
      <c r="B101" s="1185"/>
      <c r="C101" s="1185"/>
      <c r="D101" s="1185"/>
      <c r="E101" s="1185"/>
      <c r="F101" s="1185"/>
      <c r="G101" s="1185"/>
      <c r="H101" s="1189"/>
      <c r="I101" s="1185"/>
      <c r="J101" s="1185"/>
      <c r="K101" s="1185"/>
      <c r="L101" s="1185"/>
      <c r="M101" s="1185"/>
    </row>
    <row r="102" spans="1:30">
      <c r="A102" s="1185"/>
      <c r="B102" s="1185"/>
      <c r="C102" s="1185"/>
      <c r="D102" s="1185"/>
      <c r="E102" s="1185"/>
      <c r="F102" s="1185"/>
      <c r="G102" s="1185"/>
      <c r="H102" s="1189"/>
      <c r="I102" s="1185"/>
      <c r="J102" s="1185"/>
      <c r="K102" s="1185"/>
      <c r="L102" s="1185"/>
      <c r="M102" s="1185"/>
    </row>
    <row r="103" spans="1:30">
      <c r="A103" s="1185"/>
      <c r="B103" s="1185"/>
      <c r="C103" s="1185"/>
      <c r="D103" s="1185"/>
      <c r="E103" s="1185"/>
      <c r="F103" s="1185"/>
      <c r="G103" s="1185"/>
      <c r="H103" s="1189"/>
      <c r="I103" s="1185"/>
      <c r="J103" s="1185"/>
      <c r="K103" s="1185"/>
      <c r="L103" s="1185"/>
      <c r="M103" s="1185"/>
    </row>
    <row r="104" spans="1:30">
      <c r="A104" s="1185"/>
      <c r="B104" s="1185"/>
      <c r="C104" s="1185"/>
      <c r="D104" s="1185"/>
      <c r="E104" s="1185"/>
      <c r="F104" s="1185"/>
      <c r="G104" s="1185"/>
      <c r="H104" s="1189"/>
      <c r="I104" s="1185"/>
      <c r="J104" s="1185"/>
      <c r="K104" s="1185"/>
      <c r="L104" s="1185"/>
      <c r="M104" s="1185"/>
    </row>
    <row r="105" spans="1:30">
      <c r="A105" s="1185"/>
      <c r="B105" s="1185"/>
      <c r="C105" s="1185"/>
      <c r="D105" s="1185"/>
      <c r="E105" s="1185"/>
      <c r="F105" s="1185"/>
      <c r="G105" s="1185"/>
      <c r="H105" s="1189"/>
      <c r="I105" s="1185"/>
      <c r="J105" s="1185"/>
      <c r="K105" s="1185"/>
      <c r="L105" s="1185"/>
      <c r="M105" s="1185"/>
    </row>
    <row r="106" spans="1:30">
      <c r="A106" s="1185"/>
      <c r="B106" s="1185"/>
      <c r="C106" s="1185"/>
      <c r="D106" s="1185"/>
      <c r="E106" s="1185"/>
      <c r="F106" s="1185"/>
      <c r="G106" s="1185"/>
      <c r="H106" s="1189"/>
      <c r="I106" s="1185"/>
      <c r="J106" s="1185"/>
      <c r="K106" s="1185"/>
      <c r="L106" s="1185"/>
      <c r="M106" s="1185"/>
    </row>
    <row r="107" spans="1:30">
      <c r="A107" s="1185"/>
      <c r="B107" s="1185"/>
      <c r="C107" s="1185"/>
      <c r="D107" s="1185"/>
      <c r="E107" s="1185"/>
      <c r="F107" s="1185"/>
      <c r="G107" s="1185"/>
      <c r="H107" s="1189"/>
      <c r="I107" s="1185"/>
      <c r="J107" s="1185"/>
      <c r="K107" s="1185"/>
      <c r="L107" s="1185"/>
      <c r="M107" s="1185"/>
    </row>
    <row r="108" spans="1:30">
      <c r="A108" s="1185"/>
      <c r="B108" s="1185"/>
      <c r="C108" s="1185"/>
      <c r="D108" s="1185"/>
      <c r="E108" s="1185"/>
      <c r="F108" s="1185"/>
      <c r="G108" s="1185"/>
      <c r="H108" s="1189"/>
      <c r="I108" s="1185"/>
      <c r="J108" s="1185"/>
      <c r="K108" s="1185"/>
      <c r="L108" s="1185"/>
      <c r="M108" s="1185"/>
    </row>
    <row r="109" spans="1:30">
      <c r="A109" s="1185"/>
      <c r="B109" s="1185"/>
      <c r="C109" s="1185"/>
      <c r="D109" s="1185"/>
      <c r="E109" s="1185"/>
      <c r="F109" s="1185"/>
      <c r="G109" s="1185"/>
      <c r="H109" s="1189"/>
      <c r="I109" s="1185"/>
      <c r="J109" s="1185"/>
      <c r="K109" s="1185"/>
      <c r="L109" s="1185"/>
      <c r="M109" s="1185"/>
    </row>
    <row r="110" spans="1:30">
      <c r="A110" s="1185"/>
      <c r="B110" s="1185"/>
      <c r="C110" s="1185"/>
      <c r="D110" s="1185"/>
      <c r="E110" s="1185"/>
      <c r="F110" s="1185"/>
      <c r="G110" s="1185"/>
      <c r="H110" s="1189"/>
      <c r="I110" s="1185"/>
      <c r="J110" s="1185"/>
      <c r="K110" s="1185"/>
      <c r="L110" s="1185"/>
      <c r="M110" s="1185"/>
    </row>
    <row r="111" spans="1:30">
      <c r="A111" s="1185"/>
      <c r="B111" s="1185"/>
      <c r="C111" s="1185"/>
      <c r="D111" s="1185"/>
      <c r="E111" s="1185"/>
      <c r="F111" s="1185"/>
      <c r="G111" s="1185"/>
      <c r="H111" s="1189"/>
      <c r="I111" s="1185"/>
      <c r="J111" s="1185"/>
      <c r="K111" s="1185"/>
      <c r="L111" s="1185"/>
      <c r="M111" s="1185"/>
    </row>
    <row r="112" spans="1:30">
      <c r="A112" s="1185"/>
      <c r="B112" s="1185"/>
      <c r="C112" s="1185"/>
      <c r="D112" s="1185"/>
      <c r="E112" s="1185"/>
      <c r="F112" s="1185"/>
      <c r="G112" s="1185"/>
      <c r="H112" s="1189"/>
      <c r="I112" s="1185"/>
      <c r="J112" s="1185"/>
      <c r="K112" s="1185"/>
      <c r="L112" s="1185"/>
      <c r="M112" s="1185"/>
    </row>
    <row r="113" spans="1:13">
      <c r="A113" s="1185"/>
      <c r="B113" s="1185"/>
      <c r="C113" s="1185"/>
      <c r="D113" s="1185"/>
      <c r="E113" s="1185"/>
      <c r="F113" s="1185"/>
      <c r="G113" s="1185"/>
      <c r="H113" s="1189"/>
      <c r="I113" s="1185"/>
      <c r="J113" s="1185"/>
      <c r="K113" s="1185"/>
      <c r="L113" s="1185"/>
      <c r="M113" s="1185"/>
    </row>
    <row r="114" spans="1:13">
      <c r="A114" s="1185"/>
      <c r="B114" s="1185"/>
      <c r="C114" s="1185"/>
      <c r="D114" s="1185"/>
      <c r="E114" s="1185"/>
      <c r="F114" s="1185"/>
      <c r="G114" s="1185"/>
      <c r="H114" s="1189"/>
      <c r="I114" s="1185"/>
      <c r="J114" s="1185"/>
      <c r="K114" s="1185"/>
      <c r="L114" s="1185"/>
      <c r="M114" s="1185"/>
    </row>
    <row r="115" spans="1:13">
      <c r="A115" s="1185"/>
      <c r="B115" s="1185"/>
      <c r="C115" s="1185"/>
      <c r="D115" s="1185"/>
      <c r="E115" s="1185"/>
      <c r="F115" s="1185"/>
      <c r="G115" s="1185"/>
      <c r="H115" s="1189"/>
      <c r="I115" s="1185"/>
      <c r="J115" s="1185"/>
      <c r="K115" s="1185"/>
      <c r="L115" s="1185"/>
      <c r="M115" s="1185"/>
    </row>
    <row r="116" spans="1:13">
      <c r="A116" s="1185"/>
      <c r="B116" s="1185"/>
      <c r="C116" s="1185"/>
      <c r="D116" s="1185"/>
      <c r="E116" s="1185"/>
      <c r="F116" s="1185"/>
      <c r="G116" s="1185"/>
      <c r="H116" s="1189"/>
      <c r="I116" s="1185"/>
      <c r="J116" s="1185"/>
      <c r="K116" s="1185"/>
      <c r="L116" s="1185"/>
      <c r="M116" s="1185"/>
    </row>
    <row r="117" spans="1:13">
      <c r="A117" s="1185"/>
      <c r="B117" s="1185"/>
      <c r="C117" s="1185"/>
      <c r="D117" s="1185"/>
      <c r="E117" s="1185"/>
      <c r="F117" s="1185"/>
      <c r="G117" s="1185"/>
      <c r="H117" s="1189"/>
      <c r="I117" s="1185"/>
      <c r="J117" s="1185"/>
      <c r="K117" s="1185"/>
      <c r="L117" s="1185"/>
      <c r="M117" s="1185"/>
    </row>
    <row r="118" spans="1:13">
      <c r="A118" s="1185"/>
      <c r="B118" s="1185"/>
      <c r="C118" s="1185"/>
      <c r="D118" s="1185"/>
      <c r="E118" s="1185"/>
      <c r="F118" s="1185"/>
      <c r="G118" s="1185"/>
      <c r="H118" s="1189"/>
      <c r="I118" s="1185"/>
      <c r="J118" s="1185"/>
      <c r="K118" s="1185"/>
      <c r="L118" s="1185"/>
      <c r="M118" s="1185"/>
    </row>
    <row r="119" spans="1:13">
      <c r="A119" s="1185"/>
      <c r="B119" s="1185"/>
      <c r="C119" s="1185"/>
      <c r="D119" s="1185"/>
      <c r="E119" s="1185"/>
      <c r="F119" s="1185"/>
      <c r="G119" s="1185"/>
      <c r="H119" s="1189"/>
      <c r="I119" s="1185"/>
      <c r="J119" s="1185"/>
      <c r="K119" s="1185"/>
      <c r="L119" s="1185"/>
    </row>
    <row r="120" spans="1:13">
      <c r="A120" s="1185"/>
      <c r="B120" s="1185"/>
      <c r="C120" s="1185"/>
      <c r="D120" s="1185"/>
      <c r="E120" s="1185"/>
      <c r="F120" s="1185"/>
      <c r="G120" s="1185"/>
      <c r="H120" s="1189"/>
      <c r="I120" s="1185"/>
      <c r="J120" s="1185"/>
      <c r="K120" s="1185"/>
      <c r="L120" s="1185"/>
    </row>
    <row r="121" spans="1:13">
      <c r="A121" s="1185"/>
      <c r="B121" s="1185"/>
      <c r="C121" s="1185"/>
      <c r="D121" s="1185"/>
      <c r="E121" s="1185"/>
      <c r="F121" s="1185"/>
      <c r="G121" s="1185"/>
      <c r="H121" s="1189"/>
      <c r="I121" s="1185"/>
      <c r="J121" s="1185"/>
      <c r="K121" s="1185"/>
      <c r="L121" s="1185"/>
    </row>
    <row r="122" spans="1:13">
      <c r="A122" s="1185"/>
      <c r="B122" s="1185"/>
      <c r="C122" s="1185"/>
      <c r="D122" s="1185"/>
      <c r="E122" s="1185"/>
      <c r="F122" s="1185"/>
      <c r="G122" s="1185"/>
      <c r="H122" s="1189"/>
      <c r="I122" s="1185"/>
      <c r="J122" s="1185"/>
      <c r="K122" s="1185"/>
      <c r="L122" s="1185"/>
    </row>
    <row r="123" spans="1:13" ht="20.25" customHeight="1">
      <c r="A123" s="1185"/>
      <c r="B123" s="1185"/>
      <c r="C123" s="1185"/>
      <c r="D123" s="1185"/>
      <c r="E123" s="1185"/>
      <c r="F123" s="1185"/>
      <c r="G123" s="1185"/>
      <c r="H123" s="1189"/>
      <c r="I123" s="1185"/>
      <c r="J123" s="1185"/>
      <c r="K123" s="1185"/>
      <c r="L123" s="1185"/>
    </row>
    <row r="124" spans="1:13">
      <c r="A124" s="1185"/>
      <c r="B124" s="1185"/>
      <c r="C124" s="1185"/>
      <c r="D124" s="1185"/>
      <c r="E124" s="1185"/>
      <c r="F124" s="1185"/>
      <c r="G124" s="1185"/>
      <c r="H124" s="1189"/>
      <c r="I124" s="1185"/>
      <c r="J124" s="1185"/>
      <c r="K124" s="1185"/>
      <c r="L124" s="1185"/>
    </row>
    <row r="125" spans="1:13">
      <c r="A125" s="1119"/>
      <c r="G125" s="1120"/>
      <c r="H125" s="1130"/>
      <c r="J125" s="1120"/>
      <c r="K125" s="1120"/>
    </row>
    <row r="126" spans="1:13">
      <c r="A126" s="1119"/>
      <c r="G126" s="1120"/>
      <c r="H126" s="1130"/>
      <c r="J126" s="1120"/>
      <c r="K126" s="1120"/>
    </row>
    <row r="127" spans="1:13">
      <c r="A127" s="1119"/>
      <c r="G127" s="1120"/>
      <c r="H127" s="1130"/>
      <c r="J127" s="1120"/>
      <c r="K127" s="1120"/>
    </row>
    <row r="128" spans="1:13">
      <c r="A128" s="1119"/>
      <c r="G128" s="1120"/>
      <c r="H128" s="1130"/>
      <c r="J128" s="1120"/>
      <c r="K128" s="1120"/>
    </row>
    <row r="129" spans="1:8" s="1120" customFormat="1">
      <c r="A129" s="1119"/>
      <c r="H129" s="1130"/>
    </row>
    <row r="130" spans="1:8" s="1120" customFormat="1">
      <c r="A130" s="1119"/>
      <c r="H130" s="1130"/>
    </row>
    <row r="131" spans="1:8" s="1120" customFormat="1">
      <c r="A131" s="1119"/>
      <c r="H131" s="1130"/>
    </row>
    <row r="132" spans="1:8" s="1120" customFormat="1">
      <c r="A132" s="1119"/>
      <c r="H132" s="1130"/>
    </row>
    <row r="133" spans="1:8" s="1120" customFormat="1">
      <c r="A133" s="1119"/>
      <c r="H133" s="1130"/>
    </row>
    <row r="134" spans="1:8" s="1120" customFormat="1">
      <c r="A134" s="1119"/>
      <c r="H134" s="1130"/>
    </row>
    <row r="135" spans="1:8" s="1120" customFormat="1">
      <c r="A135" s="1119"/>
      <c r="H135" s="1130"/>
    </row>
    <row r="136" spans="1:8" s="1120" customFormat="1">
      <c r="A136" s="1119"/>
      <c r="H136" s="1130"/>
    </row>
    <row r="137" spans="1:8" s="1120" customFormat="1">
      <c r="A137" s="1119"/>
      <c r="H137" s="1130"/>
    </row>
    <row r="138" spans="1:8" s="1120" customFormat="1">
      <c r="A138" s="1119"/>
      <c r="H138" s="1130"/>
    </row>
    <row r="139" spans="1:8" s="1120" customFormat="1">
      <c r="A139" s="1119"/>
      <c r="H139" s="1130"/>
    </row>
    <row r="140" spans="1:8" s="1120" customFormat="1">
      <c r="A140" s="1119"/>
      <c r="H140" s="1130"/>
    </row>
    <row r="141" spans="1:8" s="1120" customFormat="1">
      <c r="A141" s="1119"/>
      <c r="H141" s="1130"/>
    </row>
    <row r="142" spans="1:8" s="1120" customFormat="1">
      <c r="A142" s="1119"/>
      <c r="H142" s="1130"/>
    </row>
    <row r="143" spans="1:8" s="1120" customFormat="1">
      <c r="A143" s="1119"/>
      <c r="H143" s="1130"/>
    </row>
    <row r="144" spans="1:8" s="1120" customFormat="1">
      <c r="A144" s="1119"/>
      <c r="H144" s="1130"/>
    </row>
    <row r="145" spans="1:8" s="1120" customFormat="1">
      <c r="A145" s="1119"/>
      <c r="H145" s="1130"/>
    </row>
    <row r="146" spans="1:8" s="1120" customFormat="1">
      <c r="A146" s="1119"/>
      <c r="H146" s="1130"/>
    </row>
    <row r="147" spans="1:8" s="1120" customFormat="1">
      <c r="A147" s="1119"/>
      <c r="H147" s="1130"/>
    </row>
    <row r="148" spans="1:8" s="1120" customFormat="1">
      <c r="A148" s="1119"/>
      <c r="H148" s="1130"/>
    </row>
    <row r="149" spans="1:8" s="1120" customFormat="1">
      <c r="A149" s="1119"/>
      <c r="H149" s="1130"/>
    </row>
    <row r="150" spans="1:8" s="1120" customFormat="1">
      <c r="A150" s="1119"/>
      <c r="H150" s="1130"/>
    </row>
    <row r="151" spans="1:8" s="1120" customFormat="1">
      <c r="A151" s="1119"/>
      <c r="H151" s="1130"/>
    </row>
    <row r="152" spans="1:8" s="1120" customFormat="1">
      <c r="A152" s="1119"/>
      <c r="H152" s="1130"/>
    </row>
    <row r="153" spans="1:8" s="1120" customFormat="1">
      <c r="A153" s="1119"/>
      <c r="H153" s="1130"/>
    </row>
    <row r="154" spans="1:8" s="1120" customFormat="1">
      <c r="A154" s="1119"/>
      <c r="H154" s="1130"/>
    </row>
    <row r="155" spans="1:8" s="1120" customFormat="1">
      <c r="A155" s="1119"/>
      <c r="H155" s="1130"/>
    </row>
    <row r="156" spans="1:8" s="1120" customFormat="1">
      <c r="A156" s="1119"/>
      <c r="H156" s="1130"/>
    </row>
    <row r="157" spans="1:8" s="1120" customFormat="1">
      <c r="A157" s="1119"/>
      <c r="H157" s="1130"/>
    </row>
    <row r="158" spans="1:8" s="1120" customFormat="1">
      <c r="A158" s="1119"/>
      <c r="H158" s="1130"/>
    </row>
    <row r="159" spans="1:8" s="1120" customFormat="1">
      <c r="A159" s="1119"/>
      <c r="H159" s="1130"/>
    </row>
    <row r="160" spans="1:8" s="1120" customFormat="1">
      <c r="A160" s="1119"/>
      <c r="H160" s="1130"/>
    </row>
    <row r="161" spans="1:8" s="1120" customFormat="1">
      <c r="A161" s="1119"/>
      <c r="H161" s="1130"/>
    </row>
    <row r="162" spans="1:8" s="1120" customFormat="1">
      <c r="A162" s="1119"/>
      <c r="H162" s="1130"/>
    </row>
    <row r="163" spans="1:8" s="1120" customFormat="1">
      <c r="A163" s="1119"/>
      <c r="H163" s="1130"/>
    </row>
    <row r="164" spans="1:8" s="1120" customFormat="1">
      <c r="A164" s="1119"/>
      <c r="H164" s="1130"/>
    </row>
    <row r="165" spans="1:8" s="1120" customFormat="1">
      <c r="A165" s="1119"/>
      <c r="H165" s="1130"/>
    </row>
    <row r="166" spans="1:8" s="1120" customFormat="1">
      <c r="A166" s="1119"/>
      <c r="H166" s="1130"/>
    </row>
    <row r="167" spans="1:8" s="1120" customFormat="1">
      <c r="A167" s="1119"/>
      <c r="H167" s="1130"/>
    </row>
    <row r="168" spans="1:8" s="1120" customFormat="1">
      <c r="A168" s="1119"/>
      <c r="H168" s="1130"/>
    </row>
    <row r="169" spans="1:8" s="1120" customFormat="1">
      <c r="A169" s="1119"/>
      <c r="H169" s="1130"/>
    </row>
    <row r="170" spans="1:8" s="1120" customFormat="1">
      <c r="A170" s="1119"/>
      <c r="H170" s="1130"/>
    </row>
    <row r="171" spans="1:8" s="1120" customFormat="1">
      <c r="A171" s="1119"/>
      <c r="H171" s="1130"/>
    </row>
    <row r="172" spans="1:8" s="1120" customFormat="1">
      <c r="A172" s="1119"/>
      <c r="H172" s="1130"/>
    </row>
    <row r="173" spans="1:8" s="1120" customFormat="1">
      <c r="A173" s="1119"/>
      <c r="H173" s="1130"/>
    </row>
    <row r="174" spans="1:8" s="1120" customFormat="1">
      <c r="A174" s="1119"/>
      <c r="H174" s="1130"/>
    </row>
    <row r="175" spans="1:8" s="1120" customFormat="1">
      <c r="A175" s="1119"/>
      <c r="H175" s="1130"/>
    </row>
    <row r="176" spans="1:8" s="1120" customFormat="1">
      <c r="A176" s="1119"/>
      <c r="H176" s="1130"/>
    </row>
    <row r="177" spans="1:8" s="1120" customFormat="1">
      <c r="A177" s="1119"/>
      <c r="H177" s="1130"/>
    </row>
    <row r="178" spans="1:8" s="1120" customFormat="1">
      <c r="A178" s="1119"/>
      <c r="H178" s="1130"/>
    </row>
    <row r="179" spans="1:8" s="1120" customFormat="1">
      <c r="A179" s="1119"/>
      <c r="H179" s="1130"/>
    </row>
    <row r="180" spans="1:8" s="1120" customFormat="1">
      <c r="A180" s="1119"/>
      <c r="H180" s="1130"/>
    </row>
    <row r="181" spans="1:8" s="1120" customFormat="1">
      <c r="A181" s="1119"/>
      <c r="H181" s="1130"/>
    </row>
    <row r="182" spans="1:8" s="1120" customFormat="1">
      <c r="A182" s="1119"/>
      <c r="H182" s="1130"/>
    </row>
    <row r="183" spans="1:8" s="1120" customFormat="1">
      <c r="A183" s="1119"/>
      <c r="H183" s="1130"/>
    </row>
    <row r="184" spans="1:8" s="1120" customFormat="1">
      <c r="A184" s="1119"/>
      <c r="H184" s="1130"/>
    </row>
    <row r="185" spans="1:8" s="1120" customFormat="1">
      <c r="A185" s="1119"/>
      <c r="H185" s="1130"/>
    </row>
    <row r="186" spans="1:8" s="1120" customFormat="1">
      <c r="A186" s="1119"/>
      <c r="H186" s="1130"/>
    </row>
    <row r="187" spans="1:8" s="1120" customFormat="1">
      <c r="A187" s="1119"/>
      <c r="H187" s="1130"/>
    </row>
    <row r="188" spans="1:8" s="1120" customFormat="1">
      <c r="A188" s="1119"/>
      <c r="H188" s="1130"/>
    </row>
    <row r="189" spans="1:8" s="1120" customFormat="1">
      <c r="A189" s="1119"/>
      <c r="H189" s="1130"/>
    </row>
    <row r="190" spans="1:8" s="1120" customFormat="1">
      <c r="A190" s="1119"/>
      <c r="H190" s="1130"/>
    </row>
    <row r="191" spans="1:8" s="1120" customFormat="1">
      <c r="A191" s="1119"/>
      <c r="H191" s="1130"/>
    </row>
    <row r="192" spans="1:8" s="1120" customFormat="1">
      <c r="A192" s="1119"/>
      <c r="H192" s="1130"/>
    </row>
    <row r="193" spans="1:8" s="1120" customFormat="1">
      <c r="A193" s="1119"/>
      <c r="H193" s="1130"/>
    </row>
    <row r="194" spans="1:8" s="1120" customFormat="1">
      <c r="A194" s="1119"/>
      <c r="H194" s="1130"/>
    </row>
    <row r="195" spans="1:8" s="1120" customFormat="1">
      <c r="A195" s="1119"/>
      <c r="H195" s="1130"/>
    </row>
    <row r="196" spans="1:8" s="1120" customFormat="1">
      <c r="A196" s="1119"/>
      <c r="H196" s="1130"/>
    </row>
    <row r="197" spans="1:8" s="1120" customFormat="1">
      <c r="A197" s="1119"/>
      <c r="H197" s="1130"/>
    </row>
    <row r="198" spans="1:8" s="1120" customFormat="1">
      <c r="A198" s="1119"/>
      <c r="H198" s="1130"/>
    </row>
    <row r="199" spans="1:8" s="1120" customFormat="1">
      <c r="A199" s="1119"/>
      <c r="H199" s="1130"/>
    </row>
    <row r="200" spans="1:8" s="1120" customFormat="1">
      <c r="A200" s="1119"/>
      <c r="H200" s="1130"/>
    </row>
    <row r="201" spans="1:8" s="1120" customFormat="1">
      <c r="A201" s="1119"/>
      <c r="H201" s="1130"/>
    </row>
    <row r="202" spans="1:8" s="1120" customFormat="1">
      <c r="A202" s="1119"/>
      <c r="H202" s="1130"/>
    </row>
    <row r="203" spans="1:8" s="1120" customFormat="1">
      <c r="A203" s="1119"/>
      <c r="H203" s="1130"/>
    </row>
    <row r="204" spans="1:8" s="1120" customFormat="1">
      <c r="A204" s="1119"/>
      <c r="H204" s="1130"/>
    </row>
    <row r="205" spans="1:8" s="1120" customFormat="1">
      <c r="A205" s="1119"/>
      <c r="H205" s="1130"/>
    </row>
    <row r="206" spans="1:8" s="1120" customFormat="1">
      <c r="A206" s="1119"/>
      <c r="H206" s="1130"/>
    </row>
    <row r="207" spans="1:8" s="1120" customFormat="1">
      <c r="A207" s="1119"/>
      <c r="H207" s="1130"/>
    </row>
    <row r="208" spans="1:8" s="1120" customFormat="1">
      <c r="A208" s="1119"/>
      <c r="H208" s="1130"/>
    </row>
    <row r="209" spans="1:8" s="1120" customFormat="1">
      <c r="A209" s="1119"/>
      <c r="H209" s="1130"/>
    </row>
    <row r="210" spans="1:8" s="1120" customFormat="1">
      <c r="A210" s="1119"/>
      <c r="H210" s="1130"/>
    </row>
    <row r="211" spans="1:8" s="1120" customFormat="1">
      <c r="A211" s="1119"/>
      <c r="H211" s="1130"/>
    </row>
    <row r="212" spans="1:8" s="1120" customFormat="1">
      <c r="A212" s="1119"/>
      <c r="H212" s="1130"/>
    </row>
    <row r="213" spans="1:8" s="1120" customFormat="1">
      <c r="A213" s="1119"/>
      <c r="H213" s="1130"/>
    </row>
    <row r="214" spans="1:8" s="1120" customFormat="1">
      <c r="A214" s="1119"/>
      <c r="H214" s="1130"/>
    </row>
    <row r="215" spans="1:8" s="1120" customFormat="1">
      <c r="A215" s="1119"/>
      <c r="H215" s="1130"/>
    </row>
    <row r="216" spans="1:8" s="1120" customFormat="1">
      <c r="A216" s="1119"/>
      <c r="H216" s="1130"/>
    </row>
    <row r="217" spans="1:8" s="1120" customFormat="1">
      <c r="A217" s="1119"/>
      <c r="H217" s="1130"/>
    </row>
    <row r="218" spans="1:8" s="1120" customFormat="1">
      <c r="A218" s="1119"/>
      <c r="H218" s="1130"/>
    </row>
    <row r="219" spans="1:8" s="1120" customFormat="1">
      <c r="A219" s="1119"/>
      <c r="H219" s="1130"/>
    </row>
    <row r="220" spans="1:8" s="1120" customFormat="1">
      <c r="A220" s="1119"/>
      <c r="H220" s="1130"/>
    </row>
    <row r="221" spans="1:8" s="1120" customFormat="1">
      <c r="A221" s="1119"/>
      <c r="H221" s="1130"/>
    </row>
    <row r="222" spans="1:8" s="1120" customFormat="1">
      <c r="A222" s="1119"/>
      <c r="H222" s="1130"/>
    </row>
    <row r="223" spans="1:8" s="1120" customFormat="1">
      <c r="A223" s="1119"/>
      <c r="H223" s="1130"/>
    </row>
    <row r="224" spans="1:8" s="1120" customFormat="1">
      <c r="A224" s="1119"/>
      <c r="H224" s="1130"/>
    </row>
    <row r="225" spans="1:8" s="1120" customFormat="1">
      <c r="A225" s="1119"/>
      <c r="H225" s="1130"/>
    </row>
    <row r="226" spans="1:8" s="1120" customFormat="1">
      <c r="A226" s="1119"/>
      <c r="H226" s="1130"/>
    </row>
    <row r="227" spans="1:8" s="1120" customFormat="1">
      <c r="A227" s="1119"/>
      <c r="H227" s="1130"/>
    </row>
    <row r="228" spans="1:8" s="1120" customFormat="1">
      <c r="A228" s="1119"/>
      <c r="H228" s="1130"/>
    </row>
    <row r="229" spans="1:8" s="1120" customFormat="1">
      <c r="A229" s="1119"/>
      <c r="H229" s="1130"/>
    </row>
    <row r="230" spans="1:8" s="1120" customFormat="1">
      <c r="F230" s="1126"/>
      <c r="H230" s="1130"/>
    </row>
    <row r="231" spans="1:8" s="1120" customFormat="1">
      <c r="D231" s="1130">
        <v>1.575</v>
      </c>
      <c r="E231" s="1120" t="s">
        <v>33</v>
      </c>
      <c r="F231" s="1126" t="e">
        <f>+D231*#REF!</f>
        <v>#REF!</v>
      </c>
      <c r="G231" s="1120" t="s">
        <v>49</v>
      </c>
      <c r="H231" s="1130"/>
    </row>
    <row r="232" spans="1:8" s="1120" customFormat="1">
      <c r="D232" s="1120">
        <v>2</v>
      </c>
      <c r="E232" s="1120" t="s">
        <v>350</v>
      </c>
      <c r="F232" s="1126" t="e">
        <f>ส3_2</f>
        <v>#REF!</v>
      </c>
      <c r="G232" s="1120" t="s">
        <v>49</v>
      </c>
      <c r="H232" s="1130"/>
    </row>
    <row r="233" spans="1:8" s="1120" customFormat="1">
      <c r="D233" s="1120" t="s">
        <v>30</v>
      </c>
      <c r="F233" s="1126" t="e">
        <f>SUM(F231:F232)</f>
        <v>#REF!</v>
      </c>
      <c r="G233" s="1120" t="s">
        <v>49</v>
      </c>
      <c r="H233" s="1130"/>
    </row>
    <row r="234" spans="1:8" s="1120" customFormat="1">
      <c r="A234" s="1119"/>
      <c r="F234" s="1126" t="e">
        <f>ROUNDDOWN(F233,-1)</f>
        <v>#REF!</v>
      </c>
      <c r="H234" s="1130"/>
    </row>
    <row r="235" spans="1:8" s="1120" customFormat="1">
      <c r="A235" s="1119"/>
      <c r="H235" s="1130"/>
    </row>
    <row r="236" spans="1:8" s="1120" customFormat="1">
      <c r="A236" s="1119"/>
      <c r="H236" s="1130"/>
    </row>
    <row r="237" spans="1:8" s="1120" customFormat="1">
      <c r="A237" s="1119"/>
      <c r="H237" s="1130"/>
    </row>
    <row r="238" spans="1:8" s="1120" customFormat="1">
      <c r="A238" s="1119"/>
      <c r="H238" s="1130"/>
    </row>
    <row r="239" spans="1:8" s="1120" customFormat="1">
      <c r="A239" s="1119"/>
      <c r="H239" s="1130"/>
    </row>
    <row r="240" spans="1:8" s="1120" customFormat="1">
      <c r="A240" s="1119"/>
      <c r="H240" s="1130"/>
    </row>
    <row r="241" spans="1:8" s="1120" customFormat="1">
      <c r="A241" s="1119"/>
      <c r="H241" s="1130"/>
    </row>
    <row r="242" spans="1:8" s="1120" customFormat="1">
      <c r="A242" s="1119"/>
      <c r="H242" s="1130"/>
    </row>
    <row r="243" spans="1:8" s="1120" customFormat="1">
      <c r="A243" s="1119"/>
      <c r="H243" s="1130"/>
    </row>
    <row r="244" spans="1:8" s="1120" customFormat="1">
      <c r="A244" s="1119"/>
      <c r="H244" s="1130"/>
    </row>
    <row r="245" spans="1:8" s="1120" customFormat="1">
      <c r="A245" s="1119"/>
      <c r="H245" s="1130"/>
    </row>
    <row r="246" spans="1:8" s="1120" customFormat="1">
      <c r="A246" s="1119"/>
      <c r="H246" s="1130"/>
    </row>
    <row r="247" spans="1:8" s="1120" customFormat="1">
      <c r="A247" s="1119"/>
      <c r="H247" s="1130"/>
    </row>
    <row r="248" spans="1:8" s="1120" customFormat="1">
      <c r="A248" s="1119"/>
      <c r="H248" s="1130"/>
    </row>
    <row r="249" spans="1:8" s="1120" customFormat="1">
      <c r="A249" s="1119"/>
      <c r="H249" s="1130"/>
    </row>
    <row r="250" spans="1:8" s="1120" customFormat="1">
      <c r="A250" s="1119"/>
      <c r="H250" s="1130"/>
    </row>
    <row r="251" spans="1:8" s="1120" customFormat="1">
      <c r="A251" s="1119"/>
      <c r="H251" s="1130"/>
    </row>
    <row r="252" spans="1:8" s="1120" customFormat="1">
      <c r="A252" s="1119"/>
      <c r="H252" s="1130"/>
    </row>
    <row r="253" spans="1:8" s="1120" customFormat="1">
      <c r="A253" s="1119"/>
      <c r="H253" s="1130"/>
    </row>
    <row r="254" spans="1:8" s="1120" customFormat="1">
      <c r="A254" s="1119"/>
      <c r="H254" s="1130"/>
    </row>
    <row r="255" spans="1:8" s="1120" customFormat="1">
      <c r="A255" s="1119"/>
      <c r="H255" s="1130"/>
    </row>
    <row r="256" spans="1:8" s="1120" customFormat="1">
      <c r="A256" s="1119"/>
      <c r="H256" s="1130"/>
    </row>
    <row r="257" spans="1:11">
      <c r="A257" s="1119"/>
      <c r="G257" s="1120"/>
      <c r="H257" s="1130"/>
      <c r="J257" s="1120"/>
      <c r="K257" s="1120"/>
    </row>
    <row r="258" spans="1:11">
      <c r="A258" s="1119"/>
      <c r="G258" s="1120"/>
      <c r="H258" s="1130"/>
      <c r="J258" s="1120"/>
      <c r="K258" s="1120"/>
    </row>
    <row r="259" spans="1:11">
      <c r="A259" s="1119"/>
      <c r="G259" s="1120"/>
      <c r="H259" s="1130"/>
      <c r="J259" s="1120"/>
      <c r="K259" s="1120"/>
    </row>
    <row r="260" spans="1:11">
      <c r="A260" s="1119"/>
      <c r="G260" s="1120"/>
      <c r="H260" s="1130"/>
      <c r="J260" s="1120"/>
      <c r="K260" s="1120"/>
    </row>
    <row r="261" spans="1:11">
      <c r="A261" s="1119"/>
      <c r="G261" s="1120"/>
      <c r="H261" s="1130"/>
      <c r="J261" s="1120"/>
      <c r="K261" s="1120"/>
    </row>
    <row r="262" spans="1:11">
      <c r="A262" s="1119"/>
      <c r="G262" s="1120"/>
      <c r="H262" s="1130"/>
      <c r="J262" s="1120"/>
      <c r="K262" s="1120"/>
    </row>
    <row r="263" spans="1:11">
      <c r="A263" s="1119"/>
      <c r="G263" s="1120"/>
      <c r="H263" s="1130"/>
      <c r="J263" s="1120"/>
      <c r="K263" s="1120"/>
    </row>
    <row r="264" spans="1:11">
      <c r="A264" s="1119"/>
      <c r="G264" s="1120"/>
      <c r="H264" s="1130"/>
      <c r="J264" s="1120"/>
      <c r="K264" s="1120"/>
    </row>
    <row r="265" spans="1:11">
      <c r="A265" s="1119"/>
      <c r="G265" s="1120"/>
      <c r="H265" s="1130"/>
      <c r="J265" s="1120"/>
      <c r="K265" s="1120"/>
    </row>
    <row r="266" spans="1:11">
      <c r="A266" s="1119"/>
      <c r="G266" s="1120"/>
      <c r="H266" s="1130"/>
      <c r="J266" s="1120"/>
      <c r="K266" s="1120"/>
    </row>
    <row r="267" spans="1:11">
      <c r="A267" s="1119"/>
      <c r="G267" s="1120"/>
      <c r="H267" s="1130"/>
      <c r="J267" s="1120"/>
      <c r="K267" s="1120"/>
    </row>
    <row r="268" spans="1:11">
      <c r="A268" s="1119"/>
      <c r="G268" s="1120"/>
      <c r="H268" s="1130"/>
      <c r="J268" s="1120"/>
      <c r="K268" s="1120"/>
    </row>
    <row r="269" spans="1:11">
      <c r="A269" s="1119"/>
      <c r="G269" s="1120"/>
      <c r="H269" s="1130"/>
      <c r="J269" s="1120"/>
      <c r="K269" s="1120"/>
    </row>
    <row r="270" spans="1:11">
      <c r="A270" s="1119"/>
      <c r="G270" s="1120"/>
      <c r="H270" s="1130"/>
      <c r="J270" s="1120"/>
      <c r="K270" s="1120"/>
    </row>
    <row r="271" spans="1:11">
      <c r="A271" s="1119"/>
      <c r="G271" s="1120"/>
      <c r="H271" s="1130"/>
      <c r="J271" s="1120"/>
      <c r="K271" s="1120"/>
    </row>
    <row r="272" spans="1:11">
      <c r="A272" s="1119"/>
      <c r="G272" s="1120"/>
      <c r="H272" s="1130"/>
      <c r="J272" s="1120"/>
      <c r="K272" s="1120"/>
    </row>
    <row r="273" spans="1:11">
      <c r="A273" s="1119"/>
      <c r="G273" s="1120"/>
      <c r="H273" s="1130"/>
      <c r="J273" s="1120"/>
      <c r="K273" s="1120"/>
    </row>
    <row r="274" spans="1:11">
      <c r="A274" s="1119"/>
      <c r="G274" s="1120"/>
      <c r="H274" s="1130"/>
      <c r="J274" s="1120"/>
      <c r="K274" s="1120"/>
    </row>
    <row r="275" spans="1:11">
      <c r="A275" s="1119"/>
      <c r="G275" s="1120"/>
      <c r="H275" s="1130"/>
      <c r="J275" s="1120"/>
      <c r="K275" s="1120"/>
    </row>
    <row r="276" spans="1:11">
      <c r="A276" s="1119"/>
      <c r="G276" s="1120"/>
      <c r="H276" s="1130"/>
      <c r="J276" s="1120"/>
      <c r="K276" s="1120"/>
    </row>
    <row r="277" spans="1:11">
      <c r="A277" s="1119"/>
      <c r="G277" s="1120"/>
      <c r="H277" s="1130"/>
      <c r="J277" s="1120"/>
      <c r="K277" s="1120"/>
    </row>
    <row r="278" spans="1:11" hidden="1">
      <c r="A278" s="1119"/>
      <c r="G278" s="1120"/>
      <c r="H278" s="1130"/>
      <c r="J278" s="1120"/>
      <c r="K278" s="1120"/>
    </row>
    <row r="279" spans="1:11" hidden="1">
      <c r="A279" s="1119"/>
      <c r="G279" s="1120"/>
      <c r="H279" s="1130"/>
      <c r="J279" s="1120"/>
      <c r="K279" s="1120"/>
    </row>
    <row r="280" spans="1:11" hidden="1">
      <c r="A280" s="1119"/>
      <c r="G280" s="1120"/>
      <c r="H280" s="1130"/>
      <c r="J280" s="1120"/>
      <c r="K280" s="1120"/>
    </row>
    <row r="281" spans="1:11" hidden="1">
      <c r="A281" s="1119"/>
      <c r="G281" s="1120"/>
      <c r="H281" s="1130"/>
      <c r="J281" s="1120"/>
      <c r="K281" s="1120"/>
    </row>
    <row r="282" spans="1:11" hidden="1">
      <c r="A282" s="1119"/>
      <c r="G282" s="1120"/>
      <c r="H282" s="1130"/>
      <c r="J282" s="1120"/>
      <c r="K282" s="1120"/>
    </row>
    <row r="283" spans="1:11">
      <c r="A283" s="1119"/>
      <c r="G283" s="1120"/>
      <c r="H283" s="1130"/>
      <c r="J283" s="1120"/>
      <c r="K283" s="1120"/>
    </row>
    <row r="284" spans="1:11">
      <c r="A284" s="1119"/>
      <c r="G284" s="1120"/>
      <c r="H284" s="1130"/>
      <c r="J284" s="1120"/>
      <c r="K284" s="1120"/>
    </row>
    <row r="285" spans="1:11">
      <c r="A285" s="1119"/>
      <c r="G285" s="1120"/>
      <c r="H285" s="1130"/>
      <c r="J285" s="1120"/>
      <c r="K285" s="1120"/>
    </row>
    <row r="286" spans="1:11">
      <c r="A286" s="1119"/>
      <c r="G286" s="1120"/>
      <c r="H286" s="1130"/>
      <c r="J286" s="1120"/>
      <c r="K286" s="1120"/>
    </row>
    <row r="287" spans="1:11">
      <c r="A287" s="1119"/>
      <c r="G287" s="1120"/>
      <c r="H287" s="1130"/>
      <c r="J287" s="1120"/>
      <c r="K287" s="1120"/>
    </row>
    <row r="288" spans="1:11">
      <c r="A288" s="1119"/>
      <c r="G288" s="1120"/>
      <c r="H288" s="1130"/>
      <c r="J288" s="1120"/>
      <c r="K288" s="1120"/>
    </row>
    <row r="289" spans="1:11">
      <c r="A289" s="1119"/>
      <c r="G289" s="1120"/>
      <c r="H289" s="1130"/>
      <c r="J289" s="1120"/>
      <c r="K289" s="1120"/>
    </row>
    <row r="290" spans="1:11">
      <c r="A290" s="1119"/>
      <c r="G290" s="1120"/>
      <c r="H290" s="1130"/>
      <c r="J290" s="1120"/>
      <c r="K290" s="1120"/>
    </row>
    <row r="291" spans="1:11">
      <c r="A291" s="1119"/>
      <c r="G291" s="1120"/>
      <c r="H291" s="1130"/>
      <c r="J291" s="1120"/>
      <c r="K291" s="1120"/>
    </row>
    <row r="292" spans="1:11">
      <c r="A292" s="1119"/>
      <c r="G292" s="1120"/>
      <c r="H292" s="1130"/>
      <c r="J292" s="1120"/>
      <c r="K292" s="1120"/>
    </row>
    <row r="293" spans="1:11">
      <c r="A293" s="1119"/>
      <c r="G293" s="1120"/>
      <c r="H293" s="1130"/>
      <c r="J293" s="1120"/>
      <c r="K293" s="1120"/>
    </row>
    <row r="294" spans="1:11">
      <c r="A294" s="1119"/>
      <c r="G294" s="1120"/>
      <c r="H294" s="1130"/>
      <c r="J294" s="1120"/>
      <c r="K294" s="1120"/>
    </row>
    <row r="295" spans="1:11">
      <c r="A295" s="1119"/>
      <c r="G295" s="1120"/>
      <c r="H295" s="1130"/>
      <c r="J295" s="1120"/>
      <c r="K295" s="1120"/>
    </row>
    <row r="296" spans="1:11">
      <c r="A296" s="1119"/>
      <c r="G296" s="1120"/>
      <c r="H296" s="1130"/>
      <c r="J296" s="1120"/>
      <c r="K296" s="1120"/>
    </row>
    <row r="297" spans="1:11">
      <c r="A297" s="1119"/>
      <c r="G297" s="1120"/>
      <c r="H297" s="1130"/>
      <c r="J297" s="1120"/>
      <c r="K297" s="1120"/>
    </row>
    <row r="298" spans="1:11">
      <c r="A298" s="1119"/>
      <c r="G298" s="1120"/>
      <c r="H298" s="1130"/>
      <c r="J298" s="1120"/>
      <c r="K298" s="1120"/>
    </row>
    <row r="299" spans="1:11">
      <c r="A299" s="1119"/>
      <c r="G299" s="1120"/>
      <c r="H299" s="1130"/>
      <c r="J299" s="1120"/>
      <c r="K299" s="1120"/>
    </row>
    <row r="300" spans="1:11">
      <c r="A300" s="1119"/>
      <c r="G300" s="1120"/>
      <c r="H300" s="1130"/>
      <c r="J300" s="1120"/>
      <c r="K300" s="1120"/>
    </row>
    <row r="301" spans="1:11">
      <c r="A301" s="1119"/>
      <c r="G301" s="1120"/>
      <c r="H301" s="1130"/>
      <c r="J301" s="1120"/>
      <c r="K301" s="1120"/>
    </row>
    <row r="302" spans="1:11" ht="18" customHeight="1">
      <c r="A302" s="1119"/>
      <c r="G302" s="1120"/>
      <c r="H302" s="1130"/>
      <c r="J302" s="1120"/>
      <c r="K302" s="1120"/>
    </row>
    <row r="303" spans="1:11">
      <c r="A303" s="1119"/>
      <c r="G303" s="1120"/>
      <c r="H303" s="1130"/>
      <c r="J303" s="1120"/>
      <c r="K303" s="1120"/>
    </row>
    <row r="304" spans="1:11">
      <c r="A304" s="1119"/>
      <c r="G304" s="1120"/>
      <c r="H304" s="1130"/>
      <c r="J304" s="1120"/>
      <c r="K304" s="1120"/>
    </row>
    <row r="305" spans="1:11">
      <c r="A305" s="1119"/>
      <c r="G305" s="1120"/>
      <c r="H305" s="1130"/>
      <c r="J305" s="1120"/>
      <c r="K305" s="1120"/>
    </row>
    <row r="306" spans="1:11">
      <c r="A306" s="1119"/>
      <c r="G306" s="1120"/>
      <c r="H306" s="1130"/>
      <c r="J306" s="1120"/>
      <c r="K306" s="1120"/>
    </row>
    <row r="307" spans="1:11">
      <c r="A307" s="1119"/>
      <c r="G307" s="1120"/>
      <c r="H307" s="1130"/>
      <c r="J307" s="1120"/>
      <c r="K307" s="1120"/>
    </row>
    <row r="308" spans="1:11">
      <c r="A308" s="1119"/>
      <c r="G308" s="1120"/>
      <c r="H308" s="1130"/>
      <c r="J308" s="1120"/>
      <c r="K308" s="1120"/>
    </row>
    <row r="309" spans="1:11">
      <c r="A309" s="1119"/>
      <c r="G309" s="1120"/>
      <c r="H309" s="1130"/>
      <c r="J309" s="1120"/>
      <c r="K309" s="1120"/>
    </row>
    <row r="310" spans="1:11">
      <c r="A310" s="1119"/>
      <c r="G310" s="1120"/>
      <c r="H310" s="1130"/>
      <c r="J310" s="1120"/>
      <c r="K310" s="1120"/>
    </row>
    <row r="311" spans="1:11">
      <c r="A311" s="1119"/>
      <c r="G311" s="1120"/>
      <c r="H311" s="1130"/>
      <c r="J311" s="1120"/>
      <c r="K311" s="1120"/>
    </row>
    <row r="312" spans="1:11">
      <c r="A312" s="1119"/>
      <c r="G312" s="1120"/>
      <c r="H312" s="1130"/>
      <c r="J312" s="1120"/>
      <c r="K312" s="1120"/>
    </row>
    <row r="313" spans="1:11">
      <c r="A313" s="1119"/>
      <c r="G313" s="1120"/>
      <c r="H313" s="1130"/>
      <c r="J313" s="1120"/>
      <c r="K313" s="1120"/>
    </row>
    <row r="314" spans="1:11">
      <c r="A314" s="1119"/>
      <c r="G314" s="1120"/>
      <c r="H314" s="1130"/>
      <c r="J314" s="1120"/>
      <c r="K314" s="1120"/>
    </row>
    <row r="315" spans="1:11">
      <c r="A315" s="1119"/>
      <c r="G315" s="1120"/>
      <c r="H315" s="1130"/>
      <c r="J315" s="1120"/>
      <c r="K315" s="1120"/>
    </row>
    <row r="316" spans="1:11">
      <c r="A316" s="1119"/>
      <c r="G316" s="1120"/>
      <c r="H316" s="1130"/>
      <c r="J316" s="1120"/>
      <c r="K316" s="1120"/>
    </row>
    <row r="317" spans="1:11">
      <c r="A317" s="1119"/>
      <c r="G317" s="1120"/>
      <c r="H317" s="1130"/>
      <c r="J317" s="1120"/>
      <c r="K317" s="1120"/>
    </row>
    <row r="318" spans="1:11">
      <c r="A318" s="1119"/>
      <c r="G318" s="1120"/>
      <c r="H318" s="1130"/>
      <c r="J318" s="1120"/>
      <c r="K318" s="1120"/>
    </row>
    <row r="319" spans="1:11">
      <c r="A319" s="1119"/>
      <c r="G319" s="1120"/>
      <c r="H319" s="1130"/>
      <c r="J319" s="1120"/>
      <c r="K319" s="1120"/>
    </row>
    <row r="320" spans="1:11">
      <c r="A320" s="1119"/>
      <c r="G320" s="1120"/>
      <c r="H320" s="1130"/>
      <c r="J320" s="1120"/>
      <c r="K320" s="1120"/>
    </row>
    <row r="321" spans="1:11">
      <c r="A321" s="1119"/>
      <c r="G321" s="1120"/>
      <c r="H321" s="1130"/>
      <c r="J321" s="1120"/>
      <c r="K321" s="1120"/>
    </row>
    <row r="322" spans="1:11">
      <c r="A322" s="1119"/>
      <c r="G322" s="1120"/>
      <c r="H322" s="1130"/>
      <c r="J322" s="1120"/>
      <c r="K322" s="1120"/>
    </row>
    <row r="323" spans="1:11">
      <c r="A323" s="1119"/>
      <c r="G323" s="1120"/>
      <c r="H323" s="1130"/>
      <c r="J323" s="1120"/>
      <c r="K323" s="1120"/>
    </row>
    <row r="324" spans="1:11">
      <c r="A324" s="1119"/>
      <c r="G324" s="1120"/>
      <c r="H324" s="1130"/>
      <c r="J324" s="1120"/>
      <c r="K324" s="1120"/>
    </row>
    <row r="325" spans="1:11">
      <c r="A325" s="1119"/>
      <c r="G325" s="1120"/>
      <c r="H325" s="1130"/>
      <c r="J325" s="1120"/>
      <c r="K325" s="1120"/>
    </row>
    <row r="326" spans="1:11">
      <c r="A326" s="1119"/>
      <c r="G326" s="1120"/>
      <c r="H326" s="1130"/>
      <c r="J326" s="1120"/>
      <c r="K326" s="1120"/>
    </row>
    <row r="327" spans="1:11">
      <c r="A327" s="1119"/>
      <c r="G327" s="1120"/>
      <c r="H327" s="1130"/>
      <c r="J327" s="1120"/>
      <c r="K327" s="1120"/>
    </row>
    <row r="328" spans="1:11">
      <c r="A328" s="1119"/>
      <c r="G328" s="1120"/>
      <c r="H328" s="1130"/>
      <c r="J328" s="1120"/>
      <c r="K328" s="1120"/>
    </row>
    <row r="329" spans="1:11">
      <c r="A329" s="1119"/>
      <c r="G329" s="1120"/>
      <c r="H329" s="1130"/>
      <c r="J329" s="1120"/>
      <c r="K329" s="1120"/>
    </row>
    <row r="330" spans="1:11">
      <c r="A330" s="1119"/>
      <c r="G330" s="1120"/>
      <c r="H330" s="1130"/>
      <c r="J330" s="1120"/>
      <c r="K330" s="1120"/>
    </row>
    <row r="331" spans="1:11">
      <c r="A331" s="1119"/>
      <c r="G331" s="1120"/>
      <c r="H331" s="1130"/>
      <c r="J331" s="1120"/>
      <c r="K331" s="1120"/>
    </row>
    <row r="332" spans="1:11">
      <c r="A332" s="1119"/>
      <c r="G332" s="1120"/>
      <c r="H332" s="1130"/>
      <c r="J332" s="1120"/>
      <c r="K332" s="1120"/>
    </row>
    <row r="333" spans="1:11">
      <c r="A333" s="1119"/>
      <c r="G333" s="1120"/>
      <c r="H333" s="1130"/>
      <c r="J333" s="1120"/>
      <c r="K333" s="1120"/>
    </row>
    <row r="334" spans="1:11">
      <c r="A334" s="1119"/>
      <c r="G334" s="1120"/>
      <c r="H334" s="1130"/>
      <c r="J334" s="1120"/>
      <c r="K334" s="1120"/>
    </row>
    <row r="335" spans="1:11">
      <c r="A335" s="1119"/>
      <c r="G335" s="1120"/>
      <c r="H335" s="1130"/>
      <c r="J335" s="1120"/>
      <c r="K335" s="1120"/>
    </row>
    <row r="336" spans="1:11">
      <c r="A336" s="1119"/>
      <c r="G336" s="1120"/>
      <c r="H336" s="1130"/>
      <c r="J336" s="1120"/>
      <c r="K336" s="1120"/>
    </row>
    <row r="337" spans="1:11">
      <c r="A337" s="1119"/>
      <c r="G337" s="1120"/>
      <c r="H337" s="1130"/>
      <c r="J337" s="1120"/>
      <c r="K337" s="1120"/>
    </row>
    <row r="338" spans="1:11">
      <c r="A338" s="1119"/>
      <c r="G338" s="1120"/>
      <c r="H338" s="1130"/>
      <c r="J338" s="1120"/>
      <c r="K338" s="1120"/>
    </row>
    <row r="339" spans="1:11">
      <c r="A339" s="1119"/>
      <c r="G339" s="1120"/>
      <c r="H339" s="1130"/>
      <c r="J339" s="1120"/>
      <c r="K339" s="1120"/>
    </row>
    <row r="340" spans="1:11">
      <c r="A340" s="1119"/>
      <c r="G340" s="1120"/>
      <c r="H340" s="1130"/>
      <c r="J340" s="1120"/>
      <c r="K340" s="1120"/>
    </row>
    <row r="341" spans="1:11">
      <c r="A341" s="1119"/>
      <c r="G341" s="1120"/>
      <c r="H341" s="1130"/>
      <c r="J341" s="1120"/>
      <c r="K341" s="1120"/>
    </row>
    <row r="342" spans="1:11">
      <c r="A342" s="1119"/>
      <c r="G342" s="1120"/>
      <c r="H342" s="1130"/>
      <c r="J342" s="1120"/>
      <c r="K342" s="1120"/>
    </row>
    <row r="343" spans="1:11">
      <c r="A343" s="1119"/>
      <c r="G343" s="1120"/>
      <c r="H343" s="1130"/>
      <c r="J343" s="1120"/>
      <c r="K343" s="1120"/>
    </row>
    <row r="344" spans="1:11">
      <c r="A344" s="1119"/>
      <c r="G344" s="1120"/>
      <c r="H344" s="1130"/>
      <c r="J344" s="1120"/>
      <c r="K344" s="1120"/>
    </row>
    <row r="345" spans="1:11">
      <c r="E345" s="1151"/>
      <c r="F345" s="1195"/>
      <c r="H345" s="1196"/>
      <c r="I345" s="1126"/>
    </row>
    <row r="346" spans="1:11">
      <c r="E346" s="1151"/>
      <c r="H346" s="1196"/>
      <c r="I346" s="1126"/>
    </row>
    <row r="347" spans="1:11">
      <c r="E347" s="1151"/>
      <c r="H347" s="1196"/>
      <c r="I347" s="1126"/>
    </row>
    <row r="348" spans="1:11">
      <c r="E348" s="1151"/>
      <c r="H348" s="1196"/>
      <c r="I348" s="1126"/>
    </row>
    <row r="349" spans="1:11">
      <c r="E349" s="1151"/>
      <c r="F349" s="1195"/>
      <c r="H349" s="1196"/>
      <c r="I349" s="1126"/>
    </row>
    <row r="350" spans="1:11">
      <c r="E350" s="1151"/>
      <c r="F350" s="1195"/>
      <c r="H350" s="1196"/>
      <c r="I350" s="1126"/>
    </row>
    <row r="351" spans="1:11">
      <c r="E351" s="1151"/>
      <c r="F351" s="1195"/>
      <c r="H351" s="1196"/>
      <c r="I351" s="1126"/>
    </row>
    <row r="352" spans="1:11">
      <c r="E352" s="1151"/>
      <c r="F352" s="1195"/>
      <c r="H352" s="1196"/>
      <c r="I352" s="1126"/>
    </row>
    <row r="353" spans="5:11">
      <c r="E353" s="1151"/>
      <c r="F353" s="1195"/>
      <c r="H353" s="1196"/>
      <c r="I353" s="1126"/>
    </row>
    <row r="354" spans="5:11">
      <c r="E354" s="1151"/>
      <c r="F354" s="1195"/>
      <c r="H354" s="1196"/>
      <c r="I354" s="1126"/>
    </row>
    <row r="355" spans="5:11">
      <c r="E355" s="1151"/>
      <c r="F355" s="1195"/>
      <c r="H355" s="1196"/>
      <c r="I355" s="1126"/>
    </row>
    <row r="356" spans="5:11">
      <c r="E356" s="1151"/>
      <c r="F356" s="1195"/>
      <c r="H356" s="1196"/>
      <c r="I356" s="1126"/>
    </row>
    <row r="357" spans="5:11">
      <c r="E357" s="1151"/>
      <c r="F357" s="1195"/>
      <c r="H357" s="1196"/>
      <c r="I357" s="1126"/>
    </row>
    <row r="358" spans="5:11">
      <c r="E358" s="1151"/>
      <c r="H358" s="1196"/>
      <c r="I358" s="1126"/>
      <c r="J358" s="1120"/>
      <c r="K358" s="1120"/>
    </row>
    <row r="359" spans="5:11">
      <c r="E359" s="1151"/>
      <c r="H359" s="1196"/>
      <c r="I359" s="1126"/>
      <c r="J359" s="1120"/>
      <c r="K359" s="1120"/>
    </row>
    <row r="360" spans="5:11">
      <c r="E360" s="1151"/>
      <c r="H360" s="1196"/>
      <c r="I360" s="1126"/>
      <c r="J360" s="1120"/>
      <c r="K360" s="1120"/>
    </row>
    <row r="361" spans="5:11">
      <c r="E361" s="1151"/>
      <c r="H361" s="1196"/>
      <c r="I361" s="1126"/>
      <c r="J361" s="1120"/>
      <c r="K361" s="1120"/>
    </row>
    <row r="362" spans="5:11">
      <c r="E362" s="1151"/>
      <c r="F362" s="1195"/>
      <c r="H362" s="1196"/>
      <c r="I362" s="1126"/>
      <c r="J362" s="1120"/>
      <c r="K362" s="1120"/>
    </row>
    <row r="363" spans="5:11">
      <c r="H363" s="1196"/>
      <c r="I363" s="1126"/>
      <c r="J363" s="1120"/>
      <c r="K363" s="1120"/>
    </row>
    <row r="364" spans="5:11">
      <c r="H364" s="1196"/>
      <c r="I364" s="1126"/>
      <c r="J364" s="1120"/>
      <c r="K364" s="1120"/>
    </row>
    <row r="365" spans="5:11">
      <c r="H365" s="1196"/>
      <c r="I365" s="1126"/>
      <c r="J365" s="1120"/>
      <c r="K365" s="1120"/>
    </row>
  </sheetData>
  <mergeCells count="14">
    <mergeCell ref="V53:W53"/>
    <mergeCell ref="D12:F12"/>
    <mergeCell ref="D5:F5"/>
    <mergeCell ref="Q53:R53"/>
    <mergeCell ref="A1:K1"/>
    <mergeCell ref="A2:K2"/>
    <mergeCell ref="Q57:R57"/>
    <mergeCell ref="V57:W57"/>
    <mergeCell ref="Q54:R54"/>
    <mergeCell ref="V54:W54"/>
    <mergeCell ref="Q55:R55"/>
    <mergeCell ref="V55:W55"/>
    <mergeCell ref="Q56:R56"/>
    <mergeCell ref="V56:W56"/>
  </mergeCells>
  <dataValidations disablePrompts="1" count="1">
    <dataValidation type="list" allowBlank="1" showInputMessage="1" showErrorMessage="1" sqref="C65528" xr:uid="{00000000-0002-0000-0600-000000000000}">
      <formula1>$K$58:$K$58</formula1>
    </dataValidation>
  </dataValidations>
  <pageMargins left="0.25" right="0.25" top="0.75" bottom="0.75" header="0.3" footer="0.3"/>
  <pageSetup paperSize="9" scale="95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B14"/>
  <sheetViews>
    <sheetView zoomScaleNormal="100" workbookViewId="0">
      <selection activeCell="DB4" sqref="DB4"/>
    </sheetView>
  </sheetViews>
  <sheetFormatPr defaultColWidth="10.28515625" defaultRowHeight="25.9" customHeight="1"/>
  <cols>
    <col min="1" max="1" width="28.42578125" style="719" customWidth="1"/>
    <col min="2" max="2" width="11" style="722" customWidth="1"/>
    <col min="3" max="3" width="11.7109375" style="722" customWidth="1"/>
    <col min="4" max="4" width="9.140625" style="722" customWidth="1"/>
    <col min="5" max="5" width="8.5703125" style="719" bestFit="1" customWidth="1"/>
    <col min="6" max="6" width="8.7109375" style="719" customWidth="1"/>
    <col min="7" max="7" width="7.5703125" style="719" customWidth="1"/>
    <col min="8" max="8" width="8" style="724" bestFit="1" customWidth="1"/>
    <col min="9" max="9" width="7.85546875" style="719" bestFit="1" customWidth="1"/>
    <col min="10" max="10" width="8.140625" style="719" bestFit="1" customWidth="1"/>
    <col min="11" max="11" width="7.85546875" style="719" bestFit="1" customWidth="1"/>
    <col min="12" max="12" width="8.7109375" style="719" customWidth="1"/>
    <col min="13" max="13" width="9.85546875" style="719" bestFit="1" customWidth="1"/>
    <col min="14" max="14" width="7.85546875" style="719" bestFit="1" customWidth="1"/>
    <col min="15" max="20" width="13.85546875" style="719" bestFit="1" customWidth="1"/>
    <col min="21" max="31" width="10.28515625" style="719" customWidth="1"/>
    <col min="32" max="32" width="11.85546875" style="719" bestFit="1" customWidth="1"/>
    <col min="33" max="16384" width="10.28515625" style="719"/>
  </cols>
  <sheetData>
    <row r="1" spans="1:106" ht="25.9" customHeight="1">
      <c r="A1" s="1371" t="s">
        <v>882</v>
      </c>
      <c r="B1" s="1372"/>
      <c r="C1" s="718">
        <v>1</v>
      </c>
      <c r="D1" s="718">
        <v>2</v>
      </c>
      <c r="E1" s="718">
        <v>3</v>
      </c>
      <c r="F1" s="718">
        <v>4</v>
      </c>
      <c r="G1" s="718">
        <v>5</v>
      </c>
      <c r="H1" s="718">
        <v>6</v>
      </c>
      <c r="I1" s="718">
        <v>7</v>
      </c>
      <c r="J1" s="718">
        <v>8</v>
      </c>
      <c r="K1" s="718">
        <v>9</v>
      </c>
      <c r="L1" s="718">
        <v>10</v>
      </c>
      <c r="M1" s="718">
        <v>11</v>
      </c>
      <c r="N1" s="718">
        <v>12</v>
      </c>
      <c r="O1" s="718">
        <v>13</v>
      </c>
      <c r="P1" s="718">
        <v>14</v>
      </c>
      <c r="Q1" s="718">
        <v>15</v>
      </c>
      <c r="R1" s="718">
        <v>16</v>
      </c>
      <c r="S1" s="718">
        <v>17</v>
      </c>
      <c r="T1" s="718">
        <v>18</v>
      </c>
      <c r="U1" s="718">
        <v>19</v>
      </c>
      <c r="V1" s="718">
        <v>20</v>
      </c>
      <c r="W1" s="718">
        <v>21</v>
      </c>
      <c r="X1" s="718">
        <v>22</v>
      </c>
      <c r="Y1" s="718">
        <v>23</v>
      </c>
      <c r="Z1" s="718">
        <v>24</v>
      </c>
      <c r="AA1" s="718">
        <v>25</v>
      </c>
      <c r="AB1" s="718">
        <v>26</v>
      </c>
      <c r="AC1" s="718">
        <v>27</v>
      </c>
      <c r="AD1" s="718">
        <v>28</v>
      </c>
      <c r="AE1" s="718">
        <v>29</v>
      </c>
      <c r="AF1" s="718">
        <v>30</v>
      </c>
      <c r="AG1" s="718">
        <v>31</v>
      </c>
      <c r="AH1" s="718">
        <v>32</v>
      </c>
      <c r="AI1" s="718">
        <v>33</v>
      </c>
      <c r="AJ1" s="718">
        <v>34</v>
      </c>
      <c r="AK1" s="718">
        <v>35</v>
      </c>
      <c r="AL1" s="718">
        <v>36</v>
      </c>
      <c r="AM1" s="718">
        <v>37</v>
      </c>
      <c r="AN1" s="718">
        <v>38</v>
      </c>
      <c r="AO1" s="718">
        <v>39</v>
      </c>
      <c r="AP1" s="718">
        <v>40</v>
      </c>
      <c r="AQ1" s="718">
        <v>41</v>
      </c>
      <c r="AR1" s="718">
        <v>42</v>
      </c>
      <c r="AS1" s="718">
        <v>43</v>
      </c>
      <c r="AT1" s="718">
        <v>44</v>
      </c>
      <c r="AU1" s="718">
        <v>45</v>
      </c>
      <c r="AV1" s="718">
        <v>46</v>
      </c>
      <c r="AW1" s="718">
        <v>47</v>
      </c>
      <c r="AX1" s="718">
        <v>48</v>
      </c>
      <c r="AY1" s="718">
        <v>49</v>
      </c>
      <c r="AZ1" s="718">
        <v>50</v>
      </c>
      <c r="BA1" s="718">
        <v>51</v>
      </c>
      <c r="BB1" s="718">
        <v>52</v>
      </c>
      <c r="BC1" s="718">
        <v>53</v>
      </c>
      <c r="BD1" s="718">
        <v>54</v>
      </c>
      <c r="BE1" s="718">
        <v>55</v>
      </c>
      <c r="BF1" s="718">
        <v>56</v>
      </c>
      <c r="BG1" s="718">
        <v>57</v>
      </c>
      <c r="BH1" s="718">
        <v>58</v>
      </c>
      <c r="BI1" s="718">
        <v>59</v>
      </c>
      <c r="BJ1" s="718">
        <v>60</v>
      </c>
      <c r="BK1" s="718">
        <v>61</v>
      </c>
      <c r="BL1" s="718">
        <v>62</v>
      </c>
      <c r="BM1" s="718">
        <v>63</v>
      </c>
      <c r="BN1" s="718">
        <v>64</v>
      </c>
      <c r="BO1" s="718">
        <v>65</v>
      </c>
      <c r="BP1" s="718">
        <v>66</v>
      </c>
      <c r="BQ1" s="718">
        <v>67</v>
      </c>
      <c r="BR1" s="718">
        <v>68</v>
      </c>
      <c r="BS1" s="718">
        <v>69</v>
      </c>
      <c r="BT1" s="718">
        <v>70</v>
      </c>
      <c r="BU1" s="718">
        <v>71</v>
      </c>
      <c r="BV1" s="718">
        <v>72</v>
      </c>
      <c r="BW1" s="718">
        <v>73</v>
      </c>
      <c r="BX1" s="718">
        <v>74</v>
      </c>
      <c r="BY1" s="718">
        <v>75</v>
      </c>
      <c r="BZ1" s="718">
        <v>76</v>
      </c>
      <c r="CA1" s="718">
        <v>77</v>
      </c>
      <c r="CB1" s="718">
        <v>78</v>
      </c>
      <c r="CC1" s="718">
        <v>79</v>
      </c>
      <c r="CD1" s="718">
        <v>80</v>
      </c>
      <c r="CE1" s="718">
        <v>81</v>
      </c>
      <c r="CF1" s="718">
        <v>82</v>
      </c>
      <c r="CG1" s="718">
        <v>83</v>
      </c>
      <c r="CH1" s="718">
        <v>84</v>
      </c>
      <c r="CI1" s="718">
        <v>85</v>
      </c>
      <c r="CJ1" s="718">
        <v>86</v>
      </c>
      <c r="CK1" s="718">
        <v>87</v>
      </c>
      <c r="CL1" s="718">
        <v>88</v>
      </c>
      <c r="CM1" s="718">
        <v>89</v>
      </c>
      <c r="CN1" s="718">
        <v>90</v>
      </c>
      <c r="CO1" s="718">
        <v>91</v>
      </c>
      <c r="CP1" s="718">
        <v>92</v>
      </c>
      <c r="CQ1" s="718">
        <v>93</v>
      </c>
      <c r="CR1" s="718">
        <v>94</v>
      </c>
      <c r="CS1" s="718">
        <v>95</v>
      </c>
      <c r="CT1" s="718">
        <v>96</v>
      </c>
      <c r="CU1" s="718">
        <v>97</v>
      </c>
      <c r="CV1" s="718">
        <v>98</v>
      </c>
      <c r="CW1" s="718">
        <v>99</v>
      </c>
      <c r="CX1" s="718">
        <v>100</v>
      </c>
      <c r="CY1" s="718">
        <v>101</v>
      </c>
      <c r="CZ1" s="718">
        <v>102</v>
      </c>
      <c r="DA1" s="718">
        <v>103</v>
      </c>
      <c r="DB1" s="718">
        <v>104</v>
      </c>
    </row>
    <row r="2" spans="1:106" ht="25.9" customHeight="1">
      <c r="A2" s="1373" t="s">
        <v>714</v>
      </c>
      <c r="B2" s="1374"/>
      <c r="C2" s="720" t="s">
        <v>715</v>
      </c>
      <c r="D2" s="720" t="s">
        <v>716</v>
      </c>
      <c r="E2" s="720" t="s">
        <v>717</v>
      </c>
      <c r="F2" s="720" t="s">
        <v>718</v>
      </c>
      <c r="G2" s="720" t="s">
        <v>719</v>
      </c>
      <c r="H2" s="720" t="s">
        <v>720</v>
      </c>
      <c r="I2" s="720" t="s">
        <v>721</v>
      </c>
      <c r="J2" s="720" t="s">
        <v>722</v>
      </c>
      <c r="K2" s="720" t="s">
        <v>723</v>
      </c>
      <c r="L2" s="720" t="s">
        <v>724</v>
      </c>
      <c r="M2" s="720" t="s">
        <v>725</v>
      </c>
      <c r="N2" s="720" t="s">
        <v>726</v>
      </c>
      <c r="O2" s="720" t="s">
        <v>727</v>
      </c>
      <c r="P2" s="720" t="s">
        <v>728</v>
      </c>
      <c r="Q2" s="720" t="s">
        <v>729</v>
      </c>
      <c r="R2" s="720" t="s">
        <v>730</v>
      </c>
      <c r="S2" s="720" t="s">
        <v>731</v>
      </c>
      <c r="T2" s="720" t="s">
        <v>732</v>
      </c>
      <c r="U2" s="720" t="s">
        <v>733</v>
      </c>
      <c r="V2" s="720" t="s">
        <v>734</v>
      </c>
      <c r="W2" s="720" t="s">
        <v>735</v>
      </c>
      <c r="X2" s="720" t="s">
        <v>736</v>
      </c>
      <c r="Y2" s="720" t="s">
        <v>737</v>
      </c>
      <c r="Z2" s="720" t="s">
        <v>738</v>
      </c>
      <c r="AA2" s="720" t="s">
        <v>739</v>
      </c>
      <c r="AB2" s="720" t="s">
        <v>740</v>
      </c>
      <c r="AC2" s="720" t="s">
        <v>741</v>
      </c>
      <c r="AD2" s="720" t="s">
        <v>742</v>
      </c>
      <c r="AE2" s="720" t="s">
        <v>743</v>
      </c>
      <c r="AF2" s="720" t="s">
        <v>744</v>
      </c>
      <c r="AG2" s="720" t="s">
        <v>745</v>
      </c>
      <c r="AH2" s="720" t="s">
        <v>746</v>
      </c>
      <c r="AI2" s="720" t="s">
        <v>747</v>
      </c>
      <c r="AJ2" s="720" t="s">
        <v>748</v>
      </c>
      <c r="AK2" s="720" t="s">
        <v>749</v>
      </c>
      <c r="AL2" s="720" t="s">
        <v>750</v>
      </c>
      <c r="AM2" s="720" t="s">
        <v>751</v>
      </c>
      <c r="AN2" s="720" t="s">
        <v>752</v>
      </c>
      <c r="AO2" s="720" t="s">
        <v>753</v>
      </c>
      <c r="AP2" s="720" t="s">
        <v>754</v>
      </c>
      <c r="AQ2" s="720" t="s">
        <v>755</v>
      </c>
      <c r="AR2" s="720" t="s">
        <v>756</v>
      </c>
      <c r="AS2" s="720" t="s">
        <v>757</v>
      </c>
      <c r="AT2" s="720" t="s">
        <v>758</v>
      </c>
      <c r="AU2" s="720" t="s">
        <v>759</v>
      </c>
      <c r="AV2" s="720" t="s">
        <v>760</v>
      </c>
      <c r="AW2" s="720" t="s">
        <v>761</v>
      </c>
      <c r="AX2" s="720" t="s">
        <v>762</v>
      </c>
      <c r="AY2" s="720" t="s">
        <v>763</v>
      </c>
      <c r="AZ2" s="720" t="s">
        <v>764</v>
      </c>
      <c r="BA2" s="720" t="s">
        <v>765</v>
      </c>
      <c r="BB2" s="720" t="s">
        <v>766</v>
      </c>
      <c r="BC2" s="720" t="s">
        <v>767</v>
      </c>
      <c r="BD2" s="720" t="s">
        <v>768</v>
      </c>
      <c r="BE2" s="720" t="s">
        <v>769</v>
      </c>
      <c r="BF2" s="720" t="s">
        <v>770</v>
      </c>
      <c r="BG2" s="720" t="s">
        <v>771</v>
      </c>
      <c r="BH2" s="720" t="s">
        <v>772</v>
      </c>
      <c r="BI2" s="720" t="s">
        <v>773</v>
      </c>
      <c r="BJ2" s="720" t="s">
        <v>774</v>
      </c>
      <c r="BK2" s="720" t="s">
        <v>775</v>
      </c>
      <c r="BL2" s="720" t="s">
        <v>776</v>
      </c>
      <c r="BM2" s="720" t="s">
        <v>777</v>
      </c>
      <c r="BN2" s="720" t="s">
        <v>778</v>
      </c>
      <c r="BO2" s="720" t="s">
        <v>779</v>
      </c>
      <c r="BP2" s="720" t="s">
        <v>780</v>
      </c>
      <c r="BQ2" s="720" t="s">
        <v>781</v>
      </c>
      <c r="BR2" s="720" t="s">
        <v>782</v>
      </c>
      <c r="BS2" s="720" t="s">
        <v>783</v>
      </c>
      <c r="BT2" s="720" t="s">
        <v>784</v>
      </c>
      <c r="BU2" s="720" t="s">
        <v>785</v>
      </c>
      <c r="BV2" s="720" t="s">
        <v>786</v>
      </c>
      <c r="BW2" s="720" t="s">
        <v>787</v>
      </c>
      <c r="BX2" s="720" t="s">
        <v>788</v>
      </c>
      <c r="BY2" s="720" t="s">
        <v>789</v>
      </c>
      <c r="BZ2" s="720" t="s">
        <v>790</v>
      </c>
      <c r="CA2" s="720" t="s">
        <v>706</v>
      </c>
      <c r="CB2" s="720" t="s">
        <v>791</v>
      </c>
      <c r="CC2" s="720" t="s">
        <v>792</v>
      </c>
      <c r="CD2" s="720" t="s">
        <v>793</v>
      </c>
      <c r="CE2" s="720" t="s">
        <v>794</v>
      </c>
      <c r="CF2" s="720" t="s">
        <v>795</v>
      </c>
      <c r="CG2" s="720" t="s">
        <v>796</v>
      </c>
      <c r="CH2" s="720" t="s">
        <v>797</v>
      </c>
      <c r="CI2" s="720" t="s">
        <v>798</v>
      </c>
      <c r="CJ2" s="720" t="s">
        <v>799</v>
      </c>
      <c r="CK2" s="720" t="s">
        <v>800</v>
      </c>
      <c r="CL2" s="720" t="s">
        <v>801</v>
      </c>
      <c r="CM2" s="720" t="s">
        <v>707</v>
      </c>
      <c r="CN2" s="720" t="s">
        <v>802</v>
      </c>
      <c r="CO2" s="720" t="s">
        <v>803</v>
      </c>
      <c r="CP2" s="720" t="s">
        <v>804</v>
      </c>
      <c r="CQ2" s="720" t="s">
        <v>805</v>
      </c>
      <c r="CR2" s="720" t="s">
        <v>806</v>
      </c>
      <c r="CS2" s="720" t="s">
        <v>807</v>
      </c>
      <c r="CT2" s="720" t="s">
        <v>808</v>
      </c>
      <c r="CU2" s="720" t="s">
        <v>809</v>
      </c>
      <c r="CV2" s="720" t="s">
        <v>810</v>
      </c>
      <c r="CW2" s="720" t="s">
        <v>811</v>
      </c>
      <c r="CX2" s="720" t="s">
        <v>812</v>
      </c>
      <c r="CY2" s="720" t="s">
        <v>813</v>
      </c>
      <c r="CZ2" s="720" t="s">
        <v>814</v>
      </c>
      <c r="DA2" s="720" t="s">
        <v>815</v>
      </c>
      <c r="DB2" s="720" t="s">
        <v>816</v>
      </c>
    </row>
    <row r="3" spans="1:106" ht="25.9" customHeight="1">
      <c r="A3" s="1375" t="s">
        <v>883</v>
      </c>
      <c r="B3" s="1374"/>
      <c r="C3" s="721">
        <v>53</v>
      </c>
      <c r="D3" s="721">
        <v>38</v>
      </c>
      <c r="E3" s="721">
        <v>28</v>
      </c>
      <c r="F3" s="721">
        <v>22</v>
      </c>
      <c r="G3" s="721">
        <v>14</v>
      </c>
      <c r="H3" s="721">
        <v>15.8</v>
      </c>
      <c r="I3" s="721">
        <v>20</v>
      </c>
      <c r="J3" s="721">
        <v>10.1</v>
      </c>
      <c r="K3" s="721">
        <v>32</v>
      </c>
      <c r="L3" s="721">
        <v>27</v>
      </c>
      <c r="M3" s="721">
        <v>40</v>
      </c>
      <c r="N3" s="721">
        <v>15</v>
      </c>
      <c r="O3" s="721">
        <v>12</v>
      </c>
      <c r="P3" s="721">
        <v>7</v>
      </c>
      <c r="Q3" s="721">
        <v>1</v>
      </c>
      <c r="R3" s="721">
        <v>11</v>
      </c>
      <c r="S3" s="721">
        <v>19</v>
      </c>
      <c r="T3" s="721">
        <v>8</v>
      </c>
      <c r="U3" s="721">
        <v>42</v>
      </c>
      <c r="V3" s="721">
        <v>41</v>
      </c>
      <c r="W3" s="721">
        <v>47</v>
      </c>
      <c r="X3" s="721">
        <v>29</v>
      </c>
      <c r="Y3" s="721">
        <v>26</v>
      </c>
      <c r="Z3" s="721">
        <v>29</v>
      </c>
      <c r="AA3" s="721">
        <v>21</v>
      </c>
      <c r="AB3" s="721">
        <v>18</v>
      </c>
      <c r="AC3" s="721">
        <v>39</v>
      </c>
      <c r="AD3" s="721">
        <v>35</v>
      </c>
      <c r="AE3" s="721">
        <v>37</v>
      </c>
      <c r="AF3" s="721">
        <v>10</v>
      </c>
      <c r="AG3" s="721">
        <v>23</v>
      </c>
      <c r="AH3" s="721">
        <v>21</v>
      </c>
      <c r="AI3" s="721">
        <v>20</v>
      </c>
      <c r="AJ3" s="721">
        <v>27</v>
      </c>
      <c r="AK3" s="721">
        <v>13</v>
      </c>
      <c r="AL3" s="721">
        <v>27</v>
      </c>
      <c r="AM3" s="721">
        <v>63</v>
      </c>
      <c r="AN3" s="721">
        <v>38</v>
      </c>
      <c r="AO3" s="721">
        <v>49</v>
      </c>
      <c r="AP3" s="721">
        <v>83</v>
      </c>
      <c r="AQ3" s="721">
        <v>89</v>
      </c>
      <c r="AR3" s="721">
        <v>63</v>
      </c>
      <c r="AS3" s="721">
        <v>23</v>
      </c>
      <c r="AT3" s="721">
        <v>12</v>
      </c>
      <c r="AU3" s="721">
        <v>20</v>
      </c>
      <c r="AV3" s="721">
        <v>17</v>
      </c>
      <c r="AW3" s="721">
        <v>23</v>
      </c>
      <c r="AX3" s="721">
        <v>27</v>
      </c>
      <c r="AY3" s="721">
        <v>27</v>
      </c>
      <c r="AZ3" s="721">
        <v>24</v>
      </c>
      <c r="BA3" s="721">
        <v>17</v>
      </c>
      <c r="BB3" s="721">
        <v>19</v>
      </c>
      <c r="BC3" s="721">
        <v>45</v>
      </c>
      <c r="BD3" s="721">
        <v>55</v>
      </c>
      <c r="BE3" s="721">
        <v>39</v>
      </c>
      <c r="BF3" s="721">
        <v>49</v>
      </c>
      <c r="BG3" s="721">
        <v>45</v>
      </c>
      <c r="BH3" s="721">
        <v>40</v>
      </c>
      <c r="BI3" s="721">
        <v>45</v>
      </c>
      <c r="BJ3" s="721">
        <v>51</v>
      </c>
      <c r="BK3" s="721">
        <v>45</v>
      </c>
      <c r="BL3" s="721">
        <v>11</v>
      </c>
      <c r="BM3" s="721">
        <v>17</v>
      </c>
      <c r="BN3" s="721">
        <v>23</v>
      </c>
      <c r="BO3" s="721">
        <v>20</v>
      </c>
      <c r="BP3" s="721">
        <v>25</v>
      </c>
      <c r="BQ3" s="721">
        <v>18</v>
      </c>
      <c r="BR3" s="721">
        <v>9</v>
      </c>
      <c r="BS3" s="721">
        <v>16</v>
      </c>
      <c r="BT3" s="721">
        <v>17</v>
      </c>
      <c r="BU3" s="721">
        <v>13</v>
      </c>
      <c r="BV3" s="721">
        <v>9</v>
      </c>
      <c r="BW3" s="721">
        <v>18</v>
      </c>
      <c r="BX3" s="721">
        <v>37</v>
      </c>
      <c r="BY3" s="721">
        <v>32</v>
      </c>
      <c r="BZ3" s="721">
        <v>45</v>
      </c>
      <c r="CA3" s="721">
        <v>39</v>
      </c>
      <c r="CB3" s="721">
        <v>39</v>
      </c>
      <c r="CC3" s="721">
        <v>25</v>
      </c>
      <c r="CD3" s="721">
        <v>37</v>
      </c>
      <c r="CE3" s="721">
        <v>47</v>
      </c>
      <c r="CF3" s="721">
        <v>31</v>
      </c>
      <c r="CG3" s="721">
        <v>30</v>
      </c>
      <c r="CH3" s="721">
        <v>38</v>
      </c>
      <c r="CI3" s="721">
        <v>45</v>
      </c>
      <c r="CJ3" s="721">
        <v>34</v>
      </c>
      <c r="CK3" s="721">
        <v>51</v>
      </c>
      <c r="CL3" s="721">
        <v>51</v>
      </c>
      <c r="CM3" s="721">
        <v>42</v>
      </c>
      <c r="CN3" s="721">
        <v>31</v>
      </c>
      <c r="CO3" s="721">
        <v>39</v>
      </c>
      <c r="CP3" s="721">
        <v>32</v>
      </c>
      <c r="CQ3" s="721">
        <v>26</v>
      </c>
      <c r="CR3" s="721">
        <v>30</v>
      </c>
      <c r="CS3" s="721">
        <v>30</v>
      </c>
      <c r="CT3" s="721">
        <v>31</v>
      </c>
      <c r="CU3" s="721">
        <v>32</v>
      </c>
      <c r="CV3" s="721">
        <v>27</v>
      </c>
      <c r="CW3" s="721">
        <v>29</v>
      </c>
      <c r="CX3" s="721">
        <v>26</v>
      </c>
      <c r="CY3" s="721">
        <v>37</v>
      </c>
      <c r="CZ3" s="721">
        <v>33</v>
      </c>
      <c r="DA3" s="721">
        <v>31</v>
      </c>
      <c r="DB3" s="721">
        <v>33</v>
      </c>
    </row>
    <row r="4" spans="1:106" ht="25.9" customHeight="1">
      <c r="A4" s="775"/>
      <c r="B4" s="775"/>
      <c r="C4" s="723"/>
      <c r="D4" s="723"/>
      <c r="E4" s="723"/>
      <c r="F4" s="723"/>
      <c r="G4" s="723"/>
      <c r="H4" s="723"/>
      <c r="I4" s="723"/>
      <c r="J4" s="723"/>
      <c r="K4" s="723"/>
      <c r="L4" s="723"/>
      <c r="M4" s="723"/>
      <c r="N4" s="775"/>
      <c r="O4" s="775"/>
      <c r="P4" s="775"/>
      <c r="Q4" s="775"/>
      <c r="R4" s="775"/>
      <c r="S4" s="775"/>
      <c r="T4" s="775"/>
      <c r="U4" s="775"/>
      <c r="V4" s="775"/>
      <c r="W4" s="775"/>
      <c r="X4" s="775"/>
      <c r="Y4" s="775"/>
      <c r="Z4" s="775"/>
      <c r="AA4" s="775"/>
      <c r="AB4" s="775"/>
      <c r="AC4" s="775"/>
      <c r="AD4" s="775"/>
      <c r="AE4" s="775"/>
      <c r="AF4" s="775"/>
      <c r="AG4" s="775"/>
      <c r="AH4" s="775"/>
      <c r="AI4" s="775"/>
      <c r="AJ4" s="775"/>
      <c r="AK4" s="775"/>
      <c r="AL4" s="775"/>
      <c r="AM4" s="775"/>
      <c r="AN4" s="775"/>
      <c r="AO4" s="775"/>
      <c r="AP4" s="775"/>
      <c r="AQ4" s="775"/>
      <c r="AR4" s="775"/>
      <c r="AS4" s="775"/>
      <c r="AT4" s="775"/>
      <c r="AU4" s="775"/>
      <c r="AV4" s="775"/>
      <c r="AW4" s="775"/>
      <c r="AX4" s="775"/>
      <c r="AY4" s="775"/>
      <c r="AZ4" s="775"/>
      <c r="BA4" s="775"/>
      <c r="BB4" s="775"/>
      <c r="BC4" s="775"/>
      <c r="BD4" s="775"/>
      <c r="BE4" s="775"/>
      <c r="BF4" s="775"/>
      <c r="BG4" s="775"/>
      <c r="BH4" s="775"/>
      <c r="BI4" s="775"/>
      <c r="BJ4" s="775"/>
      <c r="BK4" s="775"/>
      <c r="BL4" s="775"/>
      <c r="BM4" s="775"/>
      <c r="BN4" s="775"/>
      <c r="BO4" s="775"/>
      <c r="BP4" s="775"/>
      <c r="BQ4" s="775"/>
      <c r="BR4" s="775"/>
      <c r="BS4" s="775"/>
      <c r="BT4" s="775"/>
      <c r="BU4" s="775"/>
      <c r="BV4" s="775"/>
      <c r="BW4" s="775"/>
      <c r="BX4" s="775"/>
      <c r="BY4" s="775"/>
      <c r="BZ4" s="775"/>
      <c r="CA4" s="775"/>
      <c r="CB4" s="775"/>
      <c r="CC4" s="775"/>
      <c r="CD4" s="775"/>
      <c r="CE4" s="775"/>
      <c r="CF4" s="775"/>
      <c r="CG4" s="775"/>
      <c r="CH4" s="775"/>
      <c r="CI4" s="775"/>
      <c r="CJ4" s="775"/>
      <c r="CK4" s="775"/>
      <c r="CL4" s="775"/>
      <c r="CM4" s="775"/>
      <c r="CN4" s="775"/>
      <c r="CO4" s="775"/>
      <c r="CP4" s="775"/>
      <c r="CQ4" s="775"/>
      <c r="CR4" s="775"/>
      <c r="CS4" s="775"/>
      <c r="CT4" s="775"/>
      <c r="CU4" s="775"/>
      <c r="CV4" s="775"/>
      <c r="CW4" s="775"/>
      <c r="CX4" s="775"/>
      <c r="CY4" s="775"/>
      <c r="CZ4" s="775"/>
      <c r="DA4" s="775"/>
      <c r="DB4" s="775"/>
    </row>
    <row r="5" spans="1:106" ht="25.9" customHeight="1">
      <c r="A5" s="1376" t="s">
        <v>884</v>
      </c>
      <c r="B5" s="1372"/>
      <c r="C5" s="718">
        <v>1</v>
      </c>
      <c r="D5" s="718">
        <v>2</v>
      </c>
      <c r="E5" s="718">
        <v>3</v>
      </c>
      <c r="F5" s="718">
        <v>4</v>
      </c>
      <c r="G5" s="718">
        <v>5</v>
      </c>
      <c r="H5" s="718">
        <v>6</v>
      </c>
      <c r="I5" s="718">
        <v>7</v>
      </c>
      <c r="J5" s="718">
        <v>8</v>
      </c>
      <c r="K5" s="718">
        <v>9</v>
      </c>
      <c r="L5" s="718">
        <v>10</v>
      </c>
      <c r="M5" s="718">
        <v>11</v>
      </c>
      <c r="N5" s="718">
        <v>12</v>
      </c>
      <c r="O5" s="718">
        <v>13</v>
      </c>
      <c r="P5" s="718">
        <v>14</v>
      </c>
      <c r="Q5" s="718">
        <v>15</v>
      </c>
      <c r="R5" s="718">
        <v>16</v>
      </c>
      <c r="S5" s="718">
        <v>17</v>
      </c>
      <c r="T5" s="718">
        <v>18</v>
      </c>
      <c r="U5" s="718">
        <v>19</v>
      </c>
      <c r="V5" s="718">
        <v>20</v>
      </c>
      <c r="W5" s="718">
        <v>21</v>
      </c>
      <c r="X5" s="718">
        <v>22</v>
      </c>
      <c r="Y5" s="718">
        <v>23</v>
      </c>
      <c r="Z5" s="718">
        <v>24</v>
      </c>
      <c r="AA5" s="718">
        <v>25</v>
      </c>
      <c r="AB5" s="718">
        <v>26</v>
      </c>
      <c r="AC5" s="718">
        <v>27</v>
      </c>
      <c r="AD5" s="718">
        <v>28</v>
      </c>
      <c r="AE5" s="718">
        <v>29</v>
      </c>
      <c r="AF5" s="718">
        <v>30</v>
      </c>
      <c r="AG5" s="718">
        <v>31</v>
      </c>
      <c r="AH5" s="718">
        <v>32</v>
      </c>
      <c r="AI5" s="718">
        <v>33</v>
      </c>
      <c r="AJ5" s="718">
        <v>34</v>
      </c>
      <c r="AK5" s="718">
        <v>35</v>
      </c>
      <c r="AL5" s="718">
        <v>36</v>
      </c>
      <c r="AM5" s="718">
        <v>37</v>
      </c>
      <c r="AN5" s="718">
        <v>38</v>
      </c>
      <c r="AO5" s="718">
        <v>39</v>
      </c>
      <c r="AP5" s="718">
        <v>40</v>
      </c>
      <c r="AQ5" s="718">
        <v>41</v>
      </c>
      <c r="AR5" s="718">
        <v>42</v>
      </c>
      <c r="AS5" s="718">
        <v>43</v>
      </c>
      <c r="AT5" s="718">
        <v>44</v>
      </c>
      <c r="AU5" s="718">
        <v>45</v>
      </c>
      <c r="AV5" s="718">
        <v>46</v>
      </c>
      <c r="AW5" s="718">
        <v>47</v>
      </c>
      <c r="AX5" s="718">
        <v>48</v>
      </c>
      <c r="AY5" s="718">
        <v>49</v>
      </c>
      <c r="AZ5" s="718">
        <v>50</v>
      </c>
      <c r="BA5" s="718">
        <v>51</v>
      </c>
      <c r="BB5" s="718">
        <v>52</v>
      </c>
      <c r="BC5" s="718">
        <v>53</v>
      </c>
      <c r="BD5" s="718">
        <v>54</v>
      </c>
      <c r="BE5" s="718">
        <v>55</v>
      </c>
      <c r="BF5" s="718">
        <v>56</v>
      </c>
      <c r="BG5" s="718">
        <v>57</v>
      </c>
      <c r="BH5" s="718">
        <v>58</v>
      </c>
      <c r="BI5" s="718">
        <v>59</v>
      </c>
      <c r="BJ5" s="718">
        <v>60</v>
      </c>
      <c r="BK5" s="718">
        <v>61</v>
      </c>
      <c r="BL5" s="718">
        <v>62</v>
      </c>
      <c r="BM5" s="718">
        <v>63</v>
      </c>
      <c r="BN5" s="718">
        <v>64</v>
      </c>
      <c r="BO5" s="718">
        <v>65</v>
      </c>
      <c r="BP5" s="718">
        <v>66</v>
      </c>
      <c r="BQ5" s="718">
        <v>67</v>
      </c>
      <c r="BR5" s="718">
        <v>68</v>
      </c>
      <c r="BS5" s="718">
        <v>69</v>
      </c>
      <c r="BT5" s="718">
        <v>70</v>
      </c>
      <c r="BU5" s="718">
        <v>71</v>
      </c>
      <c r="BV5" s="718">
        <v>72</v>
      </c>
      <c r="BW5" s="718">
        <v>73</v>
      </c>
      <c r="BX5" s="718">
        <v>74</v>
      </c>
      <c r="BY5" s="718">
        <v>75</v>
      </c>
      <c r="BZ5" s="718">
        <v>76</v>
      </c>
      <c r="CA5" s="718">
        <v>77</v>
      </c>
      <c r="CB5" s="718">
        <v>78</v>
      </c>
      <c r="CC5" s="718">
        <v>79</v>
      </c>
      <c r="CD5" s="718">
        <v>80</v>
      </c>
      <c r="CE5" s="718">
        <v>81</v>
      </c>
      <c r="CF5" s="718">
        <v>82</v>
      </c>
      <c r="CG5" s="718">
        <v>83</v>
      </c>
      <c r="CH5" s="718">
        <v>84</v>
      </c>
      <c r="CI5" s="718">
        <v>85</v>
      </c>
      <c r="CJ5" s="718">
        <v>86</v>
      </c>
      <c r="CK5" s="718">
        <v>87</v>
      </c>
      <c r="CL5" s="718">
        <v>88</v>
      </c>
      <c r="CM5" s="718">
        <v>89</v>
      </c>
      <c r="CN5" s="718">
        <v>90</v>
      </c>
      <c r="CO5" s="718">
        <v>91</v>
      </c>
      <c r="CP5" s="718">
        <v>92</v>
      </c>
      <c r="CQ5" s="718">
        <v>93</v>
      </c>
      <c r="CR5" s="718">
        <v>94</v>
      </c>
      <c r="CS5" s="718">
        <v>95</v>
      </c>
      <c r="CT5" s="718">
        <v>96</v>
      </c>
      <c r="CU5" s="718">
        <v>97</v>
      </c>
      <c r="CV5" s="718">
        <v>98</v>
      </c>
      <c r="CW5" s="718">
        <v>99</v>
      </c>
      <c r="CX5" s="718">
        <v>100</v>
      </c>
      <c r="CY5" s="718">
        <v>101</v>
      </c>
      <c r="CZ5" s="718">
        <v>102</v>
      </c>
      <c r="DA5" s="718">
        <v>103</v>
      </c>
      <c r="DB5" s="718">
        <v>104</v>
      </c>
    </row>
    <row r="6" spans="1:106" ht="25.9" customHeight="1">
      <c r="A6" s="1373" t="s">
        <v>714</v>
      </c>
      <c r="B6" s="1374"/>
      <c r="C6" s="720" t="s">
        <v>715</v>
      </c>
      <c r="D6" s="720" t="s">
        <v>716</v>
      </c>
      <c r="E6" s="720" t="s">
        <v>717</v>
      </c>
      <c r="F6" s="720" t="s">
        <v>718</v>
      </c>
      <c r="G6" s="720" t="s">
        <v>719</v>
      </c>
      <c r="H6" s="720" t="s">
        <v>720</v>
      </c>
      <c r="I6" s="720" t="s">
        <v>721</v>
      </c>
      <c r="J6" s="720" t="s">
        <v>722</v>
      </c>
      <c r="K6" s="720" t="s">
        <v>723</v>
      </c>
      <c r="L6" s="720" t="s">
        <v>724</v>
      </c>
      <c r="M6" s="720" t="s">
        <v>725</v>
      </c>
      <c r="N6" s="720" t="s">
        <v>726</v>
      </c>
      <c r="O6" s="720" t="s">
        <v>727</v>
      </c>
      <c r="P6" s="720" t="s">
        <v>728</v>
      </c>
      <c r="Q6" s="720" t="s">
        <v>729</v>
      </c>
      <c r="R6" s="720" t="s">
        <v>730</v>
      </c>
      <c r="S6" s="720" t="s">
        <v>731</v>
      </c>
      <c r="T6" s="720" t="s">
        <v>732</v>
      </c>
      <c r="U6" s="720" t="s">
        <v>733</v>
      </c>
      <c r="V6" s="720" t="s">
        <v>734</v>
      </c>
      <c r="W6" s="720" t="s">
        <v>735</v>
      </c>
      <c r="X6" s="720" t="s">
        <v>736</v>
      </c>
      <c r="Y6" s="720" t="s">
        <v>737</v>
      </c>
      <c r="Z6" s="720" t="s">
        <v>738</v>
      </c>
      <c r="AA6" s="720" t="s">
        <v>739</v>
      </c>
      <c r="AB6" s="720" t="s">
        <v>740</v>
      </c>
      <c r="AC6" s="720" t="s">
        <v>741</v>
      </c>
      <c r="AD6" s="720" t="s">
        <v>742</v>
      </c>
      <c r="AE6" s="720" t="s">
        <v>743</v>
      </c>
      <c r="AF6" s="720" t="s">
        <v>744</v>
      </c>
      <c r="AG6" s="720" t="s">
        <v>745</v>
      </c>
      <c r="AH6" s="720" t="s">
        <v>746</v>
      </c>
      <c r="AI6" s="720" t="s">
        <v>747</v>
      </c>
      <c r="AJ6" s="720" t="s">
        <v>748</v>
      </c>
      <c r="AK6" s="720" t="s">
        <v>749</v>
      </c>
      <c r="AL6" s="720" t="s">
        <v>750</v>
      </c>
      <c r="AM6" s="720" t="s">
        <v>751</v>
      </c>
      <c r="AN6" s="720" t="s">
        <v>752</v>
      </c>
      <c r="AO6" s="720" t="s">
        <v>753</v>
      </c>
      <c r="AP6" s="720" t="s">
        <v>754</v>
      </c>
      <c r="AQ6" s="720" t="s">
        <v>755</v>
      </c>
      <c r="AR6" s="720" t="s">
        <v>756</v>
      </c>
      <c r="AS6" s="720" t="s">
        <v>757</v>
      </c>
      <c r="AT6" s="720" t="s">
        <v>758</v>
      </c>
      <c r="AU6" s="720" t="s">
        <v>759</v>
      </c>
      <c r="AV6" s="720" t="s">
        <v>760</v>
      </c>
      <c r="AW6" s="720" t="s">
        <v>761</v>
      </c>
      <c r="AX6" s="720" t="s">
        <v>762</v>
      </c>
      <c r="AY6" s="720" t="s">
        <v>763</v>
      </c>
      <c r="AZ6" s="720" t="s">
        <v>764</v>
      </c>
      <c r="BA6" s="720" t="s">
        <v>765</v>
      </c>
      <c r="BB6" s="720" t="s">
        <v>766</v>
      </c>
      <c r="BC6" s="720" t="s">
        <v>767</v>
      </c>
      <c r="BD6" s="720" t="s">
        <v>768</v>
      </c>
      <c r="BE6" s="720" t="s">
        <v>769</v>
      </c>
      <c r="BF6" s="720" t="s">
        <v>770</v>
      </c>
      <c r="BG6" s="720" t="s">
        <v>771</v>
      </c>
      <c r="BH6" s="720" t="s">
        <v>772</v>
      </c>
      <c r="BI6" s="720" t="s">
        <v>773</v>
      </c>
      <c r="BJ6" s="720" t="s">
        <v>774</v>
      </c>
      <c r="BK6" s="720" t="s">
        <v>775</v>
      </c>
      <c r="BL6" s="720" t="s">
        <v>776</v>
      </c>
      <c r="BM6" s="720" t="s">
        <v>777</v>
      </c>
      <c r="BN6" s="720" t="s">
        <v>778</v>
      </c>
      <c r="BO6" s="720" t="s">
        <v>779</v>
      </c>
      <c r="BP6" s="720" t="s">
        <v>780</v>
      </c>
      <c r="BQ6" s="720" t="s">
        <v>781</v>
      </c>
      <c r="BR6" s="720" t="s">
        <v>782</v>
      </c>
      <c r="BS6" s="720" t="s">
        <v>783</v>
      </c>
      <c r="BT6" s="720" t="s">
        <v>784</v>
      </c>
      <c r="BU6" s="720" t="s">
        <v>785</v>
      </c>
      <c r="BV6" s="720" t="s">
        <v>786</v>
      </c>
      <c r="BW6" s="720" t="s">
        <v>787</v>
      </c>
      <c r="BX6" s="720" t="s">
        <v>788</v>
      </c>
      <c r="BY6" s="720" t="s">
        <v>789</v>
      </c>
      <c r="BZ6" s="720" t="s">
        <v>790</v>
      </c>
      <c r="CA6" s="720" t="s">
        <v>706</v>
      </c>
      <c r="CB6" s="720" t="s">
        <v>791</v>
      </c>
      <c r="CC6" s="720" t="s">
        <v>792</v>
      </c>
      <c r="CD6" s="720" t="s">
        <v>793</v>
      </c>
      <c r="CE6" s="720" t="s">
        <v>794</v>
      </c>
      <c r="CF6" s="720" t="s">
        <v>795</v>
      </c>
      <c r="CG6" s="720" t="s">
        <v>796</v>
      </c>
      <c r="CH6" s="720" t="s">
        <v>797</v>
      </c>
      <c r="CI6" s="720" t="s">
        <v>798</v>
      </c>
      <c r="CJ6" s="720" t="s">
        <v>799</v>
      </c>
      <c r="CK6" s="720" t="s">
        <v>800</v>
      </c>
      <c r="CL6" s="720" t="s">
        <v>801</v>
      </c>
      <c r="CM6" s="720" t="s">
        <v>707</v>
      </c>
      <c r="CN6" s="720" t="s">
        <v>802</v>
      </c>
      <c r="CO6" s="720" t="s">
        <v>803</v>
      </c>
      <c r="CP6" s="720" t="s">
        <v>804</v>
      </c>
      <c r="CQ6" s="720" t="s">
        <v>805</v>
      </c>
      <c r="CR6" s="720" t="s">
        <v>806</v>
      </c>
      <c r="CS6" s="720" t="s">
        <v>807</v>
      </c>
      <c r="CT6" s="720" t="s">
        <v>808</v>
      </c>
      <c r="CU6" s="720" t="s">
        <v>809</v>
      </c>
      <c r="CV6" s="720" t="s">
        <v>810</v>
      </c>
      <c r="CW6" s="720" t="s">
        <v>811</v>
      </c>
      <c r="CX6" s="720" t="s">
        <v>812</v>
      </c>
      <c r="CY6" s="720" t="s">
        <v>813</v>
      </c>
      <c r="CZ6" s="720" t="s">
        <v>814</v>
      </c>
      <c r="DA6" s="720" t="s">
        <v>815</v>
      </c>
      <c r="DB6" s="720" t="s">
        <v>816</v>
      </c>
    </row>
    <row r="7" spans="1:106" ht="25.9" customHeight="1">
      <c r="A7" s="1375" t="s">
        <v>817</v>
      </c>
      <c r="B7" s="1374"/>
      <c r="C7" s="721">
        <v>56</v>
      </c>
      <c r="D7" s="721">
        <v>40</v>
      </c>
      <c r="E7" s="721">
        <v>35</v>
      </c>
      <c r="F7" s="721">
        <v>22</v>
      </c>
      <c r="G7" s="721">
        <v>20</v>
      </c>
      <c r="H7" s="721">
        <v>22</v>
      </c>
      <c r="I7" s="721">
        <v>26</v>
      </c>
      <c r="J7" s="721">
        <v>17</v>
      </c>
      <c r="K7" s="721">
        <v>40</v>
      </c>
      <c r="L7" s="721">
        <v>23</v>
      </c>
      <c r="M7" s="721">
        <v>41</v>
      </c>
      <c r="N7" s="721">
        <v>21</v>
      </c>
      <c r="O7" s="721">
        <v>5</v>
      </c>
      <c r="P7" s="721">
        <v>14</v>
      </c>
      <c r="Q7" s="721">
        <v>11</v>
      </c>
      <c r="R7" s="721">
        <v>19</v>
      </c>
      <c r="S7" s="721">
        <v>28</v>
      </c>
      <c r="T7" s="721">
        <v>17</v>
      </c>
      <c r="U7" s="721">
        <v>39</v>
      </c>
      <c r="V7" s="721">
        <v>38</v>
      </c>
      <c r="W7" s="721">
        <v>44</v>
      </c>
      <c r="X7" s="721">
        <v>29</v>
      </c>
      <c r="Y7" s="721">
        <v>24</v>
      </c>
      <c r="Z7" s="721">
        <v>29</v>
      </c>
      <c r="AA7" s="721">
        <v>22</v>
      </c>
      <c r="AB7" s="721">
        <v>19</v>
      </c>
      <c r="AC7" s="721">
        <v>36</v>
      </c>
      <c r="AD7" s="721">
        <v>33</v>
      </c>
      <c r="AE7" s="721">
        <v>37</v>
      </c>
      <c r="AF7" s="721">
        <v>10</v>
      </c>
      <c r="AG7" s="721">
        <v>19</v>
      </c>
      <c r="AH7" s="721">
        <v>16</v>
      </c>
      <c r="AI7" s="721">
        <v>11</v>
      </c>
      <c r="AJ7" s="721">
        <v>23</v>
      </c>
      <c r="AK7" s="721">
        <v>16</v>
      </c>
      <c r="AL7" s="721">
        <v>23</v>
      </c>
      <c r="AM7" s="721">
        <v>53</v>
      </c>
      <c r="AN7" s="721">
        <v>55</v>
      </c>
      <c r="AO7" s="721">
        <v>61</v>
      </c>
      <c r="AP7" s="721">
        <v>80</v>
      </c>
      <c r="AQ7" s="721">
        <v>75</v>
      </c>
      <c r="AR7" s="721">
        <v>63</v>
      </c>
      <c r="AS7" s="721">
        <v>30</v>
      </c>
      <c r="AT7" s="721">
        <v>20</v>
      </c>
      <c r="AU7" s="721">
        <v>27</v>
      </c>
      <c r="AV7" s="721">
        <v>24</v>
      </c>
      <c r="AW7" s="721">
        <v>31</v>
      </c>
      <c r="AX7" s="721">
        <v>34</v>
      </c>
      <c r="AY7" s="721">
        <v>36</v>
      </c>
      <c r="AZ7" s="721">
        <v>33</v>
      </c>
      <c r="BA7" s="721">
        <v>24</v>
      </c>
      <c r="BB7" s="721">
        <v>27</v>
      </c>
      <c r="BC7" s="721">
        <v>39</v>
      </c>
      <c r="BD7" s="721">
        <v>46</v>
      </c>
      <c r="BE7" s="721">
        <v>35</v>
      </c>
      <c r="BF7" s="721">
        <v>56</v>
      </c>
      <c r="BG7" s="721">
        <v>53</v>
      </c>
      <c r="BH7" s="721">
        <v>47</v>
      </c>
      <c r="BI7" s="721">
        <v>54</v>
      </c>
      <c r="BJ7" s="721">
        <v>58</v>
      </c>
      <c r="BK7" s="721">
        <v>53</v>
      </c>
      <c r="BL7" s="721">
        <v>18</v>
      </c>
      <c r="BM7" s="721">
        <v>25</v>
      </c>
      <c r="BN7" s="721">
        <v>31</v>
      </c>
      <c r="BO7" s="721">
        <v>29</v>
      </c>
      <c r="BP7" s="721">
        <v>33</v>
      </c>
      <c r="BQ7" s="721">
        <v>24</v>
      </c>
      <c r="BR7" s="721">
        <v>15</v>
      </c>
      <c r="BS7" s="721">
        <v>22</v>
      </c>
      <c r="BT7" s="721">
        <v>24</v>
      </c>
      <c r="BU7" s="721">
        <v>20</v>
      </c>
      <c r="BV7" s="721">
        <v>16</v>
      </c>
      <c r="BW7" s="721">
        <v>25</v>
      </c>
      <c r="BX7" s="721">
        <v>45</v>
      </c>
      <c r="BY7" s="721">
        <v>41</v>
      </c>
      <c r="BZ7" s="721">
        <v>53</v>
      </c>
      <c r="CA7" s="721">
        <v>48</v>
      </c>
      <c r="CB7" s="721">
        <v>48</v>
      </c>
      <c r="CC7" s="721">
        <v>34</v>
      </c>
      <c r="CD7" s="721">
        <v>45</v>
      </c>
      <c r="CE7" s="721">
        <v>54</v>
      </c>
      <c r="CF7" s="721">
        <v>46</v>
      </c>
      <c r="CG7" s="721">
        <v>39</v>
      </c>
      <c r="CH7" s="721">
        <v>49</v>
      </c>
      <c r="CI7" s="721">
        <v>52</v>
      </c>
      <c r="CJ7" s="721">
        <v>47</v>
      </c>
      <c r="CK7" s="721">
        <v>58</v>
      </c>
      <c r="CL7" s="721">
        <v>58</v>
      </c>
      <c r="CM7" s="721">
        <v>50</v>
      </c>
      <c r="CN7" s="721">
        <v>43</v>
      </c>
      <c r="CO7" s="721">
        <v>48</v>
      </c>
      <c r="CP7" s="721">
        <v>41</v>
      </c>
      <c r="CQ7" s="721">
        <v>34</v>
      </c>
      <c r="CR7" s="721">
        <v>39</v>
      </c>
      <c r="CS7" s="721">
        <v>38</v>
      </c>
      <c r="CT7" s="721">
        <v>40</v>
      </c>
      <c r="CU7" s="721">
        <v>44</v>
      </c>
      <c r="CV7" s="721">
        <v>36</v>
      </c>
      <c r="CW7" s="721">
        <v>41</v>
      </c>
      <c r="CX7" s="721">
        <v>35</v>
      </c>
      <c r="CY7" s="721">
        <v>32</v>
      </c>
      <c r="CZ7" s="721">
        <v>29</v>
      </c>
      <c r="DA7" s="721">
        <v>27</v>
      </c>
      <c r="DB7" s="721">
        <v>29</v>
      </c>
    </row>
    <row r="8" spans="1:106" ht="25.9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</row>
    <row r="9" spans="1:106" ht="25.9" customHeight="1">
      <c r="A9" s="1377" t="s">
        <v>818</v>
      </c>
      <c r="B9" s="1377"/>
      <c r="C9" s="718">
        <v>1</v>
      </c>
      <c r="D9" s="718">
        <v>2</v>
      </c>
      <c r="E9" s="718">
        <v>3</v>
      </c>
      <c r="F9" s="718">
        <v>4</v>
      </c>
      <c r="G9" s="718">
        <v>5</v>
      </c>
      <c r="H9" s="718">
        <v>6</v>
      </c>
      <c r="I9" s="718">
        <v>7</v>
      </c>
      <c r="J9" s="718">
        <v>8</v>
      </c>
      <c r="K9" s="718">
        <v>9</v>
      </c>
      <c r="L9" s="718">
        <v>10</v>
      </c>
      <c r="M9" s="718">
        <v>11</v>
      </c>
      <c r="N9" s="718">
        <v>12</v>
      </c>
      <c r="O9" s="718">
        <v>13</v>
      </c>
      <c r="P9" s="718">
        <v>14</v>
      </c>
      <c r="Q9" s="718">
        <v>15</v>
      </c>
      <c r="R9" s="718">
        <v>16</v>
      </c>
      <c r="S9" s="718">
        <v>17</v>
      </c>
      <c r="T9" s="718">
        <v>18</v>
      </c>
      <c r="U9" s="718">
        <v>19</v>
      </c>
      <c r="V9" s="718">
        <v>20</v>
      </c>
      <c r="W9" s="718">
        <v>21</v>
      </c>
      <c r="X9" s="718">
        <v>22</v>
      </c>
      <c r="Y9" s="718">
        <v>23</v>
      </c>
      <c r="Z9" s="718">
        <v>24</v>
      </c>
      <c r="AA9" s="718">
        <v>25</v>
      </c>
      <c r="AB9" s="718">
        <v>26</v>
      </c>
      <c r="AC9" s="718">
        <v>27</v>
      </c>
      <c r="AD9" s="718">
        <v>28</v>
      </c>
      <c r="AE9" s="718">
        <v>29</v>
      </c>
      <c r="AF9" s="718">
        <v>30</v>
      </c>
      <c r="AG9" s="718">
        <v>31</v>
      </c>
      <c r="AH9" s="718">
        <v>32</v>
      </c>
      <c r="AI9" s="718">
        <v>33</v>
      </c>
      <c r="AJ9" s="718">
        <v>34</v>
      </c>
      <c r="AK9" s="718">
        <v>35</v>
      </c>
      <c r="AL9" s="718">
        <v>36</v>
      </c>
      <c r="AM9" s="718">
        <v>37</v>
      </c>
      <c r="AN9" s="718">
        <v>38</v>
      </c>
      <c r="AO9" s="718">
        <v>39</v>
      </c>
      <c r="AP9" s="718">
        <v>40</v>
      </c>
      <c r="AQ9" s="718">
        <v>41</v>
      </c>
      <c r="AR9" s="718">
        <v>42</v>
      </c>
      <c r="AS9" s="718">
        <v>43</v>
      </c>
      <c r="AT9" s="718">
        <v>44</v>
      </c>
      <c r="AU9" s="718">
        <v>45</v>
      </c>
      <c r="AV9" s="718">
        <v>46</v>
      </c>
      <c r="AW9" s="718">
        <v>47</v>
      </c>
      <c r="AX9" s="718">
        <v>48</v>
      </c>
      <c r="AY9" s="718">
        <v>49</v>
      </c>
      <c r="AZ9" s="718">
        <v>50</v>
      </c>
      <c r="BA9" s="718">
        <v>51</v>
      </c>
      <c r="BB9" s="718">
        <v>52</v>
      </c>
      <c r="BC9" s="718">
        <v>53</v>
      </c>
      <c r="BD9" s="718">
        <v>54</v>
      </c>
      <c r="BE9" s="718">
        <v>55</v>
      </c>
      <c r="BF9" s="718">
        <v>56</v>
      </c>
      <c r="BG9" s="718">
        <v>57</v>
      </c>
      <c r="BH9" s="718">
        <v>58</v>
      </c>
      <c r="BI9" s="718">
        <v>59</v>
      </c>
      <c r="BJ9" s="718">
        <v>60</v>
      </c>
      <c r="BK9" s="718">
        <v>61</v>
      </c>
      <c r="BL9" s="718">
        <v>62</v>
      </c>
      <c r="BM9" s="718">
        <v>63</v>
      </c>
      <c r="BN9" s="718">
        <v>64</v>
      </c>
      <c r="BO9" s="718">
        <v>65</v>
      </c>
      <c r="BP9" s="718">
        <v>66</v>
      </c>
      <c r="BQ9" s="718">
        <v>67</v>
      </c>
      <c r="BR9" s="718">
        <v>68</v>
      </c>
      <c r="BS9" s="718">
        <v>69</v>
      </c>
      <c r="BT9" s="718">
        <v>70</v>
      </c>
      <c r="BU9" s="718">
        <v>71</v>
      </c>
      <c r="BV9" s="718">
        <v>72</v>
      </c>
      <c r="BW9" s="718">
        <v>73</v>
      </c>
      <c r="BX9" s="718">
        <v>74</v>
      </c>
      <c r="BY9" s="718">
        <v>75</v>
      </c>
      <c r="BZ9" s="718">
        <v>76</v>
      </c>
      <c r="CA9" s="718">
        <v>77</v>
      </c>
      <c r="CB9" s="718">
        <v>78</v>
      </c>
      <c r="CC9" s="718">
        <v>79</v>
      </c>
      <c r="CD9" s="718">
        <v>80</v>
      </c>
      <c r="CE9" s="718">
        <v>81</v>
      </c>
      <c r="CF9" s="718">
        <v>82</v>
      </c>
      <c r="CG9" s="718">
        <v>83</v>
      </c>
      <c r="CH9" s="718">
        <v>84</v>
      </c>
      <c r="CI9" s="718">
        <v>85</v>
      </c>
      <c r="CJ9" s="718">
        <v>86</v>
      </c>
      <c r="CK9" s="718">
        <v>87</v>
      </c>
      <c r="CL9" s="718">
        <v>88</v>
      </c>
      <c r="CM9" s="718">
        <v>89</v>
      </c>
      <c r="CN9" s="718">
        <v>90</v>
      </c>
      <c r="CO9" s="718">
        <v>91</v>
      </c>
      <c r="CP9" s="718">
        <v>92</v>
      </c>
      <c r="CQ9" s="718">
        <v>93</v>
      </c>
      <c r="CR9" s="718">
        <v>94</v>
      </c>
      <c r="CS9" s="718">
        <v>95</v>
      </c>
      <c r="CT9" s="718">
        <v>96</v>
      </c>
      <c r="CU9" s="718">
        <v>97</v>
      </c>
      <c r="CV9" s="718">
        <v>98</v>
      </c>
      <c r="CW9" s="718">
        <v>99</v>
      </c>
      <c r="CX9" s="718">
        <v>100</v>
      </c>
      <c r="CY9" s="718">
        <v>101</v>
      </c>
      <c r="CZ9" s="718">
        <v>102</v>
      </c>
      <c r="DA9" s="718">
        <v>103</v>
      </c>
      <c r="DB9" s="718">
        <v>104</v>
      </c>
    </row>
    <row r="10" spans="1:106" ht="25.9" customHeight="1">
      <c r="A10" s="1373" t="s">
        <v>714</v>
      </c>
      <c r="B10" s="1378"/>
      <c r="C10" s="720" t="s">
        <v>715</v>
      </c>
      <c r="D10" s="720" t="s">
        <v>716</v>
      </c>
      <c r="E10" s="720" t="s">
        <v>717</v>
      </c>
      <c r="F10" s="720" t="s">
        <v>718</v>
      </c>
      <c r="G10" s="720" t="s">
        <v>719</v>
      </c>
      <c r="H10" s="720" t="s">
        <v>720</v>
      </c>
      <c r="I10" s="720" t="s">
        <v>721</v>
      </c>
      <c r="J10" s="720" t="s">
        <v>722</v>
      </c>
      <c r="K10" s="720" t="s">
        <v>723</v>
      </c>
      <c r="L10" s="720" t="s">
        <v>724</v>
      </c>
      <c r="M10" s="720" t="s">
        <v>725</v>
      </c>
      <c r="N10" s="720" t="s">
        <v>726</v>
      </c>
      <c r="O10" s="720" t="s">
        <v>727</v>
      </c>
      <c r="P10" s="720" t="s">
        <v>728</v>
      </c>
      <c r="Q10" s="720" t="s">
        <v>729</v>
      </c>
      <c r="R10" s="720" t="s">
        <v>730</v>
      </c>
      <c r="S10" s="720" t="s">
        <v>731</v>
      </c>
      <c r="T10" s="720" t="s">
        <v>732</v>
      </c>
      <c r="U10" s="720" t="s">
        <v>733</v>
      </c>
      <c r="V10" s="720" t="s">
        <v>734</v>
      </c>
      <c r="W10" s="720" t="s">
        <v>735</v>
      </c>
      <c r="X10" s="720" t="s">
        <v>736</v>
      </c>
      <c r="Y10" s="720" t="s">
        <v>737</v>
      </c>
      <c r="Z10" s="720" t="s">
        <v>738</v>
      </c>
      <c r="AA10" s="720" t="s">
        <v>739</v>
      </c>
      <c r="AB10" s="720" t="s">
        <v>740</v>
      </c>
      <c r="AC10" s="720" t="s">
        <v>741</v>
      </c>
      <c r="AD10" s="720" t="s">
        <v>742</v>
      </c>
      <c r="AE10" s="720" t="s">
        <v>743</v>
      </c>
      <c r="AF10" s="720" t="s">
        <v>744</v>
      </c>
      <c r="AG10" s="720" t="s">
        <v>745</v>
      </c>
      <c r="AH10" s="720" t="s">
        <v>746</v>
      </c>
      <c r="AI10" s="720" t="s">
        <v>747</v>
      </c>
      <c r="AJ10" s="720" t="s">
        <v>748</v>
      </c>
      <c r="AK10" s="720" t="s">
        <v>749</v>
      </c>
      <c r="AL10" s="720" t="s">
        <v>750</v>
      </c>
      <c r="AM10" s="720" t="s">
        <v>751</v>
      </c>
      <c r="AN10" s="720" t="s">
        <v>752</v>
      </c>
      <c r="AO10" s="720" t="s">
        <v>753</v>
      </c>
      <c r="AP10" s="720" t="s">
        <v>754</v>
      </c>
      <c r="AQ10" s="720" t="s">
        <v>755</v>
      </c>
      <c r="AR10" s="720" t="s">
        <v>756</v>
      </c>
      <c r="AS10" s="720" t="s">
        <v>757</v>
      </c>
      <c r="AT10" s="720" t="s">
        <v>758</v>
      </c>
      <c r="AU10" s="720" t="s">
        <v>759</v>
      </c>
      <c r="AV10" s="720" t="s">
        <v>760</v>
      </c>
      <c r="AW10" s="720" t="s">
        <v>761</v>
      </c>
      <c r="AX10" s="720" t="s">
        <v>762</v>
      </c>
      <c r="AY10" s="720" t="s">
        <v>763</v>
      </c>
      <c r="AZ10" s="720" t="s">
        <v>764</v>
      </c>
      <c r="BA10" s="720" t="s">
        <v>765</v>
      </c>
      <c r="BB10" s="720" t="s">
        <v>766</v>
      </c>
      <c r="BC10" s="720" t="s">
        <v>767</v>
      </c>
      <c r="BD10" s="720" t="s">
        <v>768</v>
      </c>
      <c r="BE10" s="720" t="s">
        <v>769</v>
      </c>
      <c r="BF10" s="720" t="s">
        <v>770</v>
      </c>
      <c r="BG10" s="720" t="s">
        <v>771</v>
      </c>
      <c r="BH10" s="720" t="s">
        <v>772</v>
      </c>
      <c r="BI10" s="720" t="s">
        <v>773</v>
      </c>
      <c r="BJ10" s="720" t="s">
        <v>774</v>
      </c>
      <c r="BK10" s="720" t="s">
        <v>775</v>
      </c>
      <c r="BL10" s="720" t="s">
        <v>776</v>
      </c>
      <c r="BM10" s="720" t="s">
        <v>777</v>
      </c>
      <c r="BN10" s="720" t="s">
        <v>778</v>
      </c>
      <c r="BO10" s="720" t="s">
        <v>779</v>
      </c>
      <c r="BP10" s="720" t="s">
        <v>780</v>
      </c>
      <c r="BQ10" s="720" t="s">
        <v>781</v>
      </c>
      <c r="BR10" s="720" t="s">
        <v>782</v>
      </c>
      <c r="BS10" s="720" t="s">
        <v>783</v>
      </c>
      <c r="BT10" s="720" t="s">
        <v>784</v>
      </c>
      <c r="BU10" s="720" t="s">
        <v>785</v>
      </c>
      <c r="BV10" s="720" t="s">
        <v>786</v>
      </c>
      <c r="BW10" s="720" t="s">
        <v>787</v>
      </c>
      <c r="BX10" s="720" t="s">
        <v>788</v>
      </c>
      <c r="BY10" s="720" t="s">
        <v>789</v>
      </c>
      <c r="BZ10" s="720" t="s">
        <v>790</v>
      </c>
      <c r="CA10" s="720" t="s">
        <v>706</v>
      </c>
      <c r="CB10" s="720" t="s">
        <v>791</v>
      </c>
      <c r="CC10" s="720" t="s">
        <v>792</v>
      </c>
      <c r="CD10" s="720" t="s">
        <v>793</v>
      </c>
      <c r="CE10" s="720" t="s">
        <v>794</v>
      </c>
      <c r="CF10" s="720" t="s">
        <v>795</v>
      </c>
      <c r="CG10" s="720" t="s">
        <v>796</v>
      </c>
      <c r="CH10" s="720" t="s">
        <v>797</v>
      </c>
      <c r="CI10" s="720" t="s">
        <v>798</v>
      </c>
      <c r="CJ10" s="720" t="s">
        <v>799</v>
      </c>
      <c r="CK10" s="720" t="s">
        <v>800</v>
      </c>
      <c r="CL10" s="720" t="s">
        <v>801</v>
      </c>
      <c r="CM10" s="720" t="s">
        <v>707</v>
      </c>
      <c r="CN10" s="720" t="s">
        <v>802</v>
      </c>
      <c r="CO10" s="720" t="s">
        <v>803</v>
      </c>
      <c r="CP10" s="720" t="s">
        <v>804</v>
      </c>
      <c r="CQ10" s="720" t="s">
        <v>805</v>
      </c>
      <c r="CR10" s="720" t="s">
        <v>806</v>
      </c>
      <c r="CS10" s="720" t="s">
        <v>807</v>
      </c>
      <c r="CT10" s="720" t="s">
        <v>808</v>
      </c>
      <c r="CU10" s="720" t="s">
        <v>809</v>
      </c>
      <c r="CV10" s="720" t="s">
        <v>810</v>
      </c>
      <c r="CW10" s="720" t="s">
        <v>811</v>
      </c>
      <c r="CX10" s="720" t="s">
        <v>812</v>
      </c>
      <c r="CY10" s="720" t="s">
        <v>813</v>
      </c>
      <c r="CZ10" s="720" t="s">
        <v>814</v>
      </c>
      <c r="DA10" s="720" t="s">
        <v>815</v>
      </c>
      <c r="DB10" s="720" t="s">
        <v>816</v>
      </c>
    </row>
    <row r="11" spans="1:106" ht="25.9" customHeight="1">
      <c r="A11" s="1379" t="s">
        <v>819</v>
      </c>
      <c r="B11" s="1380"/>
      <c r="C11" s="721">
        <v>44</v>
      </c>
      <c r="D11" s="721">
        <v>28</v>
      </c>
      <c r="E11" s="721">
        <v>15</v>
      </c>
      <c r="F11" s="721">
        <v>33</v>
      </c>
      <c r="G11" s="721">
        <v>27</v>
      </c>
      <c r="H11" s="721">
        <v>22</v>
      </c>
      <c r="I11" s="721">
        <v>28</v>
      </c>
      <c r="J11" s="721">
        <v>22</v>
      </c>
      <c r="K11" s="721">
        <v>26</v>
      </c>
      <c r="L11" s="721">
        <v>43</v>
      </c>
      <c r="M11" s="721">
        <v>28</v>
      </c>
      <c r="N11" s="721">
        <v>17</v>
      </c>
      <c r="O11" s="721">
        <v>22</v>
      </c>
      <c r="P11" s="721">
        <v>9</v>
      </c>
      <c r="Q11" s="721">
        <v>16</v>
      </c>
      <c r="R11" s="721">
        <v>11</v>
      </c>
      <c r="S11" s="721">
        <v>14</v>
      </c>
      <c r="T11" s="721">
        <v>16</v>
      </c>
      <c r="U11" s="721">
        <v>41</v>
      </c>
      <c r="V11" s="721">
        <v>39</v>
      </c>
      <c r="W11" s="721">
        <v>45</v>
      </c>
      <c r="X11" s="721">
        <v>31</v>
      </c>
      <c r="Y11" s="721">
        <v>27</v>
      </c>
      <c r="Z11" s="721">
        <v>30</v>
      </c>
      <c r="AA11" s="721">
        <v>28</v>
      </c>
      <c r="AB11" s="721">
        <v>25</v>
      </c>
      <c r="AC11" s="721">
        <v>37</v>
      </c>
      <c r="AD11" s="721">
        <v>34</v>
      </c>
      <c r="AE11" s="721">
        <v>38</v>
      </c>
      <c r="AF11" s="721">
        <v>24</v>
      </c>
      <c r="AG11" s="721">
        <v>34</v>
      </c>
      <c r="AH11" s="721">
        <v>29</v>
      </c>
      <c r="AI11" s="721">
        <v>30</v>
      </c>
      <c r="AJ11" s="721">
        <v>37</v>
      </c>
      <c r="AK11" s="721">
        <v>20</v>
      </c>
      <c r="AL11" s="721">
        <v>37</v>
      </c>
      <c r="AM11" s="721">
        <v>73</v>
      </c>
      <c r="AN11" s="721">
        <v>38</v>
      </c>
      <c r="AO11" s="721">
        <v>43</v>
      </c>
      <c r="AP11" s="721">
        <v>84</v>
      </c>
      <c r="AQ11" s="721">
        <v>108</v>
      </c>
      <c r="AR11" s="721">
        <v>61</v>
      </c>
      <c r="AS11" s="721">
        <v>16</v>
      </c>
      <c r="AT11" s="721">
        <v>7</v>
      </c>
      <c r="AU11" s="721">
        <v>10</v>
      </c>
      <c r="AV11" s="721">
        <v>11</v>
      </c>
      <c r="AW11" s="721">
        <v>11</v>
      </c>
      <c r="AX11" s="721">
        <v>22</v>
      </c>
      <c r="AY11" s="721">
        <v>13</v>
      </c>
      <c r="AZ11" s="721">
        <v>13</v>
      </c>
      <c r="BA11" s="721">
        <v>4</v>
      </c>
      <c r="BB11" s="721">
        <v>14</v>
      </c>
      <c r="BC11" s="721">
        <v>64</v>
      </c>
      <c r="BD11" s="721">
        <v>68</v>
      </c>
      <c r="BE11" s="721">
        <v>59</v>
      </c>
      <c r="BF11" s="721">
        <v>35</v>
      </c>
      <c r="BG11" s="721">
        <v>31</v>
      </c>
      <c r="BH11" s="721">
        <v>26</v>
      </c>
      <c r="BI11" s="721">
        <v>33</v>
      </c>
      <c r="BJ11" s="721">
        <v>40</v>
      </c>
      <c r="BK11" s="721">
        <v>30</v>
      </c>
      <c r="BL11" s="721">
        <v>10</v>
      </c>
      <c r="BM11" s="721">
        <v>17</v>
      </c>
      <c r="BN11" s="721">
        <v>13</v>
      </c>
      <c r="BO11" s="721">
        <v>11</v>
      </c>
      <c r="BP11" s="721">
        <v>15</v>
      </c>
      <c r="BQ11" s="721">
        <v>5</v>
      </c>
      <c r="BR11" s="721">
        <v>17</v>
      </c>
      <c r="BS11" s="721">
        <v>13</v>
      </c>
      <c r="BT11" s="721">
        <v>10</v>
      </c>
      <c r="BU11" s="721">
        <v>12</v>
      </c>
      <c r="BV11" s="721">
        <v>10</v>
      </c>
      <c r="BW11" s="721">
        <v>12</v>
      </c>
      <c r="BX11" s="721">
        <v>23</v>
      </c>
      <c r="BY11" s="721">
        <v>25</v>
      </c>
      <c r="BZ11" s="721">
        <v>31</v>
      </c>
      <c r="CA11" s="721">
        <v>26</v>
      </c>
      <c r="CB11" s="721">
        <v>25</v>
      </c>
      <c r="CC11" s="721">
        <v>11</v>
      </c>
      <c r="CD11" s="721">
        <v>23</v>
      </c>
      <c r="CE11" s="721">
        <v>32</v>
      </c>
      <c r="CF11" s="721">
        <v>23</v>
      </c>
      <c r="CG11" s="721">
        <v>16</v>
      </c>
      <c r="CH11" s="721">
        <v>28</v>
      </c>
      <c r="CI11" s="721">
        <v>31</v>
      </c>
      <c r="CJ11" s="721">
        <v>25</v>
      </c>
      <c r="CK11" s="721">
        <v>37</v>
      </c>
      <c r="CL11" s="721">
        <v>37</v>
      </c>
      <c r="CM11" s="721">
        <v>28</v>
      </c>
      <c r="CN11" s="721">
        <v>22</v>
      </c>
      <c r="CO11" s="721">
        <v>25</v>
      </c>
      <c r="CP11" s="721">
        <v>22</v>
      </c>
      <c r="CQ11" s="721">
        <v>16</v>
      </c>
      <c r="CR11" s="721">
        <v>20</v>
      </c>
      <c r="CS11" s="721">
        <v>20</v>
      </c>
      <c r="CT11" s="721">
        <v>21</v>
      </c>
      <c r="CU11" s="721">
        <v>25</v>
      </c>
      <c r="CV11" s="721">
        <v>18</v>
      </c>
      <c r="CW11" s="721">
        <v>23</v>
      </c>
      <c r="CX11" s="721">
        <v>16</v>
      </c>
      <c r="CY11" s="721">
        <v>42</v>
      </c>
      <c r="CZ11" s="721">
        <v>44</v>
      </c>
      <c r="DA11" s="721">
        <v>42</v>
      </c>
      <c r="DB11" s="721">
        <v>43</v>
      </c>
    </row>
    <row r="12" spans="1:106" ht="25.9" customHeight="1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</row>
    <row r="13" spans="1:106" ht="25.9" customHeight="1">
      <c r="A13" s="1373" t="s">
        <v>714</v>
      </c>
      <c r="B13" s="1374"/>
      <c r="C13" s="725" t="s">
        <v>715</v>
      </c>
      <c r="D13" s="720" t="s">
        <v>716</v>
      </c>
      <c r="E13" s="720" t="s">
        <v>717</v>
      </c>
      <c r="F13" s="720" t="s">
        <v>718</v>
      </c>
      <c r="G13" s="720" t="s">
        <v>719</v>
      </c>
      <c r="H13" s="720" t="s">
        <v>720</v>
      </c>
      <c r="I13" s="720" t="s">
        <v>721</v>
      </c>
      <c r="J13" s="720" t="s">
        <v>722</v>
      </c>
      <c r="K13" s="720" t="s">
        <v>723</v>
      </c>
      <c r="L13" s="720" t="s">
        <v>724</v>
      </c>
      <c r="M13" s="720" t="s">
        <v>725</v>
      </c>
      <c r="N13" s="720" t="s">
        <v>726</v>
      </c>
      <c r="O13" s="720" t="s">
        <v>727</v>
      </c>
      <c r="P13" s="720" t="s">
        <v>728</v>
      </c>
      <c r="Q13" s="720" t="s">
        <v>729</v>
      </c>
      <c r="R13" s="720" t="s">
        <v>730</v>
      </c>
      <c r="S13" s="720" t="s">
        <v>731</v>
      </c>
      <c r="T13" s="720" t="s">
        <v>732</v>
      </c>
      <c r="U13" s="720" t="s">
        <v>733</v>
      </c>
      <c r="V13" s="720" t="s">
        <v>734</v>
      </c>
      <c r="W13" s="720" t="s">
        <v>735</v>
      </c>
      <c r="X13" s="720" t="s">
        <v>736</v>
      </c>
      <c r="Y13" s="720" t="s">
        <v>737</v>
      </c>
      <c r="Z13" s="720" t="s">
        <v>738</v>
      </c>
      <c r="AA13" s="720" t="s">
        <v>739</v>
      </c>
      <c r="AB13" s="720" t="s">
        <v>740</v>
      </c>
      <c r="AC13" s="720" t="s">
        <v>741</v>
      </c>
      <c r="AD13" s="720" t="s">
        <v>742</v>
      </c>
      <c r="AE13" s="720" t="s">
        <v>743</v>
      </c>
      <c r="AF13" s="720" t="s">
        <v>744</v>
      </c>
      <c r="AG13" s="720" t="s">
        <v>745</v>
      </c>
      <c r="AH13" s="720" t="s">
        <v>746</v>
      </c>
      <c r="AI13" s="720" t="s">
        <v>747</v>
      </c>
      <c r="AJ13" s="720" t="s">
        <v>748</v>
      </c>
      <c r="AK13" s="720" t="s">
        <v>749</v>
      </c>
      <c r="AL13" s="720" t="s">
        <v>750</v>
      </c>
      <c r="AM13" s="720" t="s">
        <v>751</v>
      </c>
      <c r="AN13" s="720" t="s">
        <v>752</v>
      </c>
      <c r="AO13" s="720" t="s">
        <v>753</v>
      </c>
      <c r="AP13" s="720" t="s">
        <v>754</v>
      </c>
      <c r="AQ13" s="720" t="s">
        <v>755</v>
      </c>
      <c r="AR13" s="720" t="s">
        <v>756</v>
      </c>
      <c r="AS13" s="720" t="s">
        <v>757</v>
      </c>
      <c r="AT13" s="720" t="s">
        <v>758</v>
      </c>
      <c r="AU13" s="720" t="s">
        <v>759</v>
      </c>
      <c r="AV13" s="720" t="s">
        <v>760</v>
      </c>
      <c r="AW13" s="720" t="s">
        <v>761</v>
      </c>
      <c r="AX13" s="720" t="s">
        <v>762</v>
      </c>
      <c r="AY13" s="720" t="s">
        <v>763</v>
      </c>
      <c r="AZ13" s="720" t="s">
        <v>764</v>
      </c>
      <c r="BA13" s="720" t="s">
        <v>765</v>
      </c>
      <c r="BB13" s="720" t="s">
        <v>766</v>
      </c>
      <c r="BC13" s="720" t="s">
        <v>767</v>
      </c>
      <c r="BD13" s="720" t="s">
        <v>768</v>
      </c>
      <c r="BE13" s="720" t="s">
        <v>769</v>
      </c>
      <c r="BF13" s="720" t="s">
        <v>770</v>
      </c>
      <c r="BG13" s="720" t="s">
        <v>771</v>
      </c>
      <c r="BH13" s="720" t="s">
        <v>772</v>
      </c>
      <c r="BI13" s="720" t="s">
        <v>773</v>
      </c>
      <c r="BJ13" s="720" t="s">
        <v>774</v>
      </c>
      <c r="BK13" s="720" t="s">
        <v>775</v>
      </c>
      <c r="BL13" s="720" t="s">
        <v>776</v>
      </c>
      <c r="BM13" s="720" t="s">
        <v>777</v>
      </c>
      <c r="BN13" s="720" t="s">
        <v>778</v>
      </c>
      <c r="BO13" s="720" t="s">
        <v>779</v>
      </c>
      <c r="BP13" s="720" t="s">
        <v>780</v>
      </c>
      <c r="BQ13" s="720" t="s">
        <v>781</v>
      </c>
      <c r="BR13" s="720" t="s">
        <v>782</v>
      </c>
      <c r="BS13" s="720" t="s">
        <v>783</v>
      </c>
      <c r="BT13" s="720" t="s">
        <v>784</v>
      </c>
      <c r="BU13" s="720" t="s">
        <v>785</v>
      </c>
      <c r="BV13" s="720" t="s">
        <v>786</v>
      </c>
      <c r="BW13" s="720" t="s">
        <v>787</v>
      </c>
      <c r="BX13" s="720" t="s">
        <v>788</v>
      </c>
      <c r="BY13" s="720" t="s">
        <v>789</v>
      </c>
      <c r="BZ13" s="720" t="s">
        <v>790</v>
      </c>
      <c r="CA13" s="720" t="s">
        <v>706</v>
      </c>
      <c r="CB13" s="720" t="s">
        <v>791</v>
      </c>
      <c r="CC13" s="720" t="s">
        <v>792</v>
      </c>
      <c r="CD13" s="720" t="s">
        <v>793</v>
      </c>
      <c r="CE13" s="720" t="s">
        <v>794</v>
      </c>
      <c r="CF13" s="720" t="s">
        <v>795</v>
      </c>
      <c r="CG13" s="720" t="s">
        <v>796</v>
      </c>
      <c r="CH13" s="720" t="s">
        <v>797</v>
      </c>
      <c r="CI13" s="720" t="s">
        <v>798</v>
      </c>
      <c r="CJ13" s="720" t="s">
        <v>799</v>
      </c>
      <c r="CK13" s="720" t="s">
        <v>800</v>
      </c>
      <c r="CL13" s="720" t="s">
        <v>801</v>
      </c>
      <c r="CM13" s="720" t="s">
        <v>707</v>
      </c>
      <c r="CN13" s="720" t="s">
        <v>802</v>
      </c>
      <c r="CO13" s="720" t="s">
        <v>803</v>
      </c>
      <c r="CP13" s="720" t="s">
        <v>804</v>
      </c>
      <c r="CQ13" s="720" t="s">
        <v>805</v>
      </c>
      <c r="CR13" s="720" t="s">
        <v>806</v>
      </c>
      <c r="CS13" s="720" t="s">
        <v>807</v>
      </c>
      <c r="CT13" s="720" t="s">
        <v>808</v>
      </c>
      <c r="CU13" s="720" t="s">
        <v>809</v>
      </c>
      <c r="CV13" s="720" t="s">
        <v>810</v>
      </c>
      <c r="CW13" s="720" t="s">
        <v>811</v>
      </c>
      <c r="CX13" s="720" t="s">
        <v>812</v>
      </c>
      <c r="CY13" s="720" t="s">
        <v>813</v>
      </c>
      <c r="CZ13" s="720" t="s">
        <v>814</v>
      </c>
      <c r="DA13" s="720" t="s">
        <v>815</v>
      </c>
      <c r="DB13" s="720" t="s">
        <v>816</v>
      </c>
    </row>
    <row r="14" spans="1:106" ht="25.9" customHeight="1">
      <c r="A14" s="1373" t="s">
        <v>417</v>
      </c>
      <c r="B14" s="1374"/>
      <c r="C14" s="726" t="s">
        <v>820</v>
      </c>
      <c r="D14" s="726" t="s">
        <v>820</v>
      </c>
      <c r="E14" s="726" t="s">
        <v>820</v>
      </c>
      <c r="F14" s="726" t="s">
        <v>820</v>
      </c>
      <c r="G14" s="726" t="s">
        <v>820</v>
      </c>
      <c r="H14" s="726" t="s">
        <v>820</v>
      </c>
      <c r="I14" s="726" t="s">
        <v>820</v>
      </c>
      <c r="J14" s="726" t="s">
        <v>820</v>
      </c>
      <c r="K14" s="726" t="s">
        <v>820</v>
      </c>
      <c r="L14" s="726" t="s">
        <v>820</v>
      </c>
      <c r="M14" s="726" t="s">
        <v>820</v>
      </c>
      <c r="N14" s="726" t="s">
        <v>820</v>
      </c>
      <c r="O14" s="726" t="s">
        <v>821</v>
      </c>
      <c r="P14" s="726" t="s">
        <v>821</v>
      </c>
      <c r="Q14" s="726" t="s">
        <v>821</v>
      </c>
      <c r="R14" s="726" t="s">
        <v>821</v>
      </c>
      <c r="S14" s="726" t="s">
        <v>821</v>
      </c>
      <c r="T14" s="726" t="s">
        <v>821</v>
      </c>
      <c r="U14" s="726" t="s">
        <v>822</v>
      </c>
      <c r="V14" s="726" t="s">
        <v>822</v>
      </c>
      <c r="W14" s="726" t="s">
        <v>822</v>
      </c>
      <c r="X14" s="726" t="s">
        <v>738</v>
      </c>
      <c r="Y14" s="726" t="s">
        <v>738</v>
      </c>
      <c r="Z14" s="726" t="s">
        <v>738</v>
      </c>
      <c r="AA14" s="726" t="s">
        <v>738</v>
      </c>
      <c r="AB14" s="726" t="s">
        <v>738</v>
      </c>
      <c r="AC14" s="726" t="s">
        <v>738</v>
      </c>
      <c r="AD14" s="726" t="s">
        <v>738</v>
      </c>
      <c r="AE14" s="726" t="s">
        <v>738</v>
      </c>
      <c r="AF14" s="726" t="s">
        <v>823</v>
      </c>
      <c r="AG14" s="726" t="s">
        <v>823</v>
      </c>
      <c r="AH14" s="726" t="s">
        <v>823</v>
      </c>
      <c r="AI14" s="726" t="s">
        <v>823</v>
      </c>
      <c r="AJ14" s="726" t="s">
        <v>823</v>
      </c>
      <c r="AK14" s="726" t="s">
        <v>823</v>
      </c>
      <c r="AL14" s="726" t="s">
        <v>823</v>
      </c>
      <c r="AM14" s="726" t="s">
        <v>752</v>
      </c>
      <c r="AN14" s="726" t="s">
        <v>752</v>
      </c>
      <c r="AO14" s="726" t="s">
        <v>752</v>
      </c>
      <c r="AP14" s="726" t="s">
        <v>752</v>
      </c>
      <c r="AQ14" s="726" t="s">
        <v>752</v>
      </c>
      <c r="AR14" s="726" t="s">
        <v>752</v>
      </c>
      <c r="AS14" s="726" t="s">
        <v>824</v>
      </c>
      <c r="AT14" s="726" t="s">
        <v>824</v>
      </c>
      <c r="AU14" s="726" t="s">
        <v>824</v>
      </c>
      <c r="AV14" s="726" t="s">
        <v>824</v>
      </c>
      <c r="AW14" s="726" t="s">
        <v>824</v>
      </c>
      <c r="AX14" s="726" t="s">
        <v>824</v>
      </c>
      <c r="AY14" s="726" t="s">
        <v>824</v>
      </c>
      <c r="AZ14" s="726" t="s">
        <v>824</v>
      </c>
      <c r="BA14" s="726" t="s">
        <v>824</v>
      </c>
      <c r="BB14" s="726" t="s">
        <v>824</v>
      </c>
      <c r="BC14" s="726" t="s">
        <v>768</v>
      </c>
      <c r="BD14" s="726" t="s">
        <v>768</v>
      </c>
      <c r="BE14" s="726" t="s">
        <v>768</v>
      </c>
      <c r="BF14" s="726" t="s">
        <v>773</v>
      </c>
      <c r="BG14" s="726" t="s">
        <v>773</v>
      </c>
      <c r="BH14" s="726" t="s">
        <v>773</v>
      </c>
      <c r="BI14" s="726" t="s">
        <v>773</v>
      </c>
      <c r="BJ14" s="726" t="s">
        <v>773</v>
      </c>
      <c r="BK14" s="726" t="s">
        <v>773</v>
      </c>
      <c r="BL14" s="726" t="s">
        <v>787</v>
      </c>
      <c r="BM14" s="726" t="s">
        <v>787</v>
      </c>
      <c r="BN14" s="726" t="s">
        <v>787</v>
      </c>
      <c r="BO14" s="726" t="s">
        <v>787</v>
      </c>
      <c r="BP14" s="726" t="s">
        <v>787</v>
      </c>
      <c r="BQ14" s="726" t="s">
        <v>787</v>
      </c>
      <c r="BR14" s="726" t="s">
        <v>787</v>
      </c>
      <c r="BS14" s="726" t="s">
        <v>787</v>
      </c>
      <c r="BT14" s="726" t="s">
        <v>787</v>
      </c>
      <c r="BU14" s="726" t="s">
        <v>787</v>
      </c>
      <c r="BV14" s="726" t="s">
        <v>787</v>
      </c>
      <c r="BW14" s="726" t="s">
        <v>787</v>
      </c>
      <c r="BX14" s="726" t="s">
        <v>706</v>
      </c>
      <c r="BY14" s="726" t="s">
        <v>706</v>
      </c>
      <c r="BZ14" s="726" t="s">
        <v>706</v>
      </c>
      <c r="CA14" s="720" t="s">
        <v>706</v>
      </c>
      <c r="CB14" s="726" t="s">
        <v>706</v>
      </c>
      <c r="CC14" s="726" t="s">
        <v>706</v>
      </c>
      <c r="CD14" s="726" t="s">
        <v>706</v>
      </c>
      <c r="CE14" s="726" t="s">
        <v>706</v>
      </c>
      <c r="CF14" s="726" t="s">
        <v>706</v>
      </c>
      <c r="CG14" s="726" t="s">
        <v>706</v>
      </c>
      <c r="CH14" s="726" t="s">
        <v>706</v>
      </c>
      <c r="CI14" s="726" t="s">
        <v>706</v>
      </c>
      <c r="CJ14" s="726" t="s">
        <v>706</v>
      </c>
      <c r="CK14" s="726" t="s">
        <v>706</v>
      </c>
      <c r="CL14" s="726" t="s">
        <v>706</v>
      </c>
      <c r="CM14" s="726" t="s">
        <v>706</v>
      </c>
      <c r="CN14" s="726" t="s">
        <v>706</v>
      </c>
      <c r="CO14" s="726" t="s">
        <v>706</v>
      </c>
      <c r="CP14" s="726" t="s">
        <v>806</v>
      </c>
      <c r="CQ14" s="726" t="s">
        <v>806</v>
      </c>
      <c r="CR14" s="726" t="s">
        <v>806</v>
      </c>
      <c r="CS14" s="726" t="s">
        <v>806</v>
      </c>
      <c r="CT14" s="726" t="s">
        <v>806</v>
      </c>
      <c r="CU14" s="726" t="s">
        <v>806</v>
      </c>
      <c r="CV14" s="726" t="s">
        <v>806</v>
      </c>
      <c r="CW14" s="726" t="s">
        <v>806</v>
      </c>
      <c r="CX14" s="726" t="s">
        <v>806</v>
      </c>
      <c r="CY14" s="726" t="s">
        <v>815</v>
      </c>
      <c r="CZ14" s="726" t="s">
        <v>815</v>
      </c>
      <c r="DA14" s="726" t="s">
        <v>815</v>
      </c>
      <c r="DB14" s="726" t="s">
        <v>815</v>
      </c>
    </row>
  </sheetData>
  <mergeCells count="11">
    <mergeCell ref="A14:B14"/>
    <mergeCell ref="A7:B7"/>
    <mergeCell ref="A9:B9"/>
    <mergeCell ref="A10:B10"/>
    <mergeCell ref="A11:B11"/>
    <mergeCell ref="A13:B13"/>
    <mergeCell ref="A1:B1"/>
    <mergeCell ref="A2:B2"/>
    <mergeCell ref="A3:B3"/>
    <mergeCell ref="A5:B5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19</vt:i4>
      </vt:variant>
      <vt:variant>
        <vt:lpstr>ช่วงที่มีชื่อ</vt:lpstr>
      </vt:variant>
      <vt:variant>
        <vt:i4>23</vt:i4>
      </vt:variant>
    </vt:vector>
  </HeadingPairs>
  <TitlesOfParts>
    <vt:vector size="42" baseType="lpstr">
      <vt:lpstr>ปก</vt:lpstr>
      <vt:lpstr>Data</vt:lpstr>
      <vt:lpstr>รายละเอียดโครงการ</vt:lpstr>
      <vt:lpstr>ราคาวัสดุ</vt:lpstr>
      <vt:lpstr>ปร.5 (2)</vt:lpstr>
      <vt:lpstr>ปร.4 (2)</vt:lpstr>
      <vt:lpstr>คำนวณวัสดุ</vt:lpstr>
      <vt:lpstr>ค่างานต้นทุน</vt:lpstr>
      <vt:lpstr>ระยะขนส่ง</vt:lpstr>
      <vt:lpstr>F ทาง(โม)</vt:lpstr>
      <vt:lpstr>S2</vt:lpstr>
      <vt:lpstr>S3</vt:lpstr>
      <vt:lpstr>S4</vt:lpstr>
      <vt:lpstr>ข้อมูล</vt:lpstr>
      <vt:lpstr>Recycling</vt:lpstr>
      <vt:lpstr>deep</vt:lpstr>
      <vt:lpstr>deep (2)</vt:lpstr>
      <vt:lpstr>ปร.4</vt:lpstr>
      <vt:lpstr>ปร.5</vt:lpstr>
      <vt:lpstr>__yp2</vt:lpstr>
      <vt:lpstr>_yp1</vt:lpstr>
      <vt:lpstr>_yp2</vt:lpstr>
      <vt:lpstr>d_1</vt:lpstr>
      <vt:lpstr>d_2</vt:lpstr>
      <vt:lpstr>Recycling!Print_Area</vt:lpstr>
      <vt:lpstr>'ปร.4 (2)'!Print_Area</vt:lpstr>
      <vt:lpstr>'ปร.5 (2)'!Print_Area</vt:lpstr>
      <vt:lpstr>ราคาวัสดุ!Print_Area</vt:lpstr>
      <vt:lpstr>รายละเอียดโครงการ!Print_Area</vt:lpstr>
      <vt:lpstr>deep!Print_Titles</vt:lpstr>
      <vt:lpstr>'deep (2)'!Print_Titles</vt:lpstr>
      <vt:lpstr>'ปร.4 (2)'!Print_Titles</vt:lpstr>
      <vt:lpstr>x_1</vt:lpstr>
      <vt:lpstr>x_2</vt:lpstr>
      <vt:lpstr>xs_1</vt:lpstr>
      <vt:lpstr>xs_2</vt:lpstr>
      <vt:lpstr>y_1</vt:lpstr>
      <vt:lpstr>y_2</vt:lpstr>
      <vt:lpstr>Yc_1</vt:lpstr>
      <vt:lpstr>yc_2</vt:lpstr>
      <vt:lpstr>ys_1</vt:lpstr>
      <vt:lpstr>ys_2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User</cp:lastModifiedBy>
  <cp:lastPrinted>2023-08-25T09:26:32Z</cp:lastPrinted>
  <dcterms:created xsi:type="dcterms:W3CDTF">1999-01-11T08:20:28Z</dcterms:created>
  <dcterms:modified xsi:type="dcterms:W3CDTF">2023-08-31T07:26:26Z</dcterms:modified>
</cp:coreProperties>
</file>