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พัสดุ\โครงการก่อสร้าง\ราคากลาง ปร.4,5,6 Excel\"/>
    </mc:Choice>
  </mc:AlternateContent>
  <xr:revisionPtr revIDLastSave="0" documentId="8_{F0DCE361-F8FB-4EE2-AAD0-CD7FCE739B9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แบบสรุป" sheetId="11" r:id="rId1"/>
    <sheet name="ปร.5" sheetId="12" r:id="rId2"/>
    <sheet name="ค่างานต้นทุนต่อหน่วย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1" l="1"/>
  <c r="E15" i="11"/>
  <c r="E13" i="11"/>
  <c r="C35" i="11" s="1"/>
  <c r="F13" i="11"/>
  <c r="J81" i="10"/>
  <c r="J80" i="10"/>
  <c r="H77" i="10"/>
  <c r="F101" i="10"/>
  <c r="J62" i="10"/>
  <c r="I47" i="10"/>
  <c r="J64" i="10" s="1"/>
  <c r="H73" i="10"/>
  <c r="F65" i="10" l="1"/>
  <c r="J66" i="10"/>
  <c r="J67" i="10" s="1"/>
  <c r="F128" i="10"/>
  <c r="D126" i="10" l="1"/>
  <c r="J92" i="10"/>
  <c r="H75" i="10"/>
  <c r="J127" i="10"/>
  <c r="H121" i="10"/>
  <c r="I105" i="10"/>
  <c r="H130" i="10"/>
  <c r="H136" i="10"/>
  <c r="T24" i="10"/>
  <c r="T22" i="10"/>
  <c r="T20" i="10"/>
  <c r="D125" i="10" s="1"/>
  <c r="J155" i="10"/>
  <c r="J157" i="10" s="1"/>
  <c r="B158" i="10" s="1"/>
  <c r="J158" i="10" s="1"/>
  <c r="J161" i="10" s="1"/>
  <c r="J162" i="10" s="1"/>
  <c r="J146" i="10" l="1"/>
  <c r="B147" i="10" s="1"/>
  <c r="J147" i="10" s="1"/>
  <c r="J149" i="10" s="1"/>
  <c r="J150" i="10" s="1"/>
  <c r="T21" i="10"/>
  <c r="J122" i="10"/>
  <c r="J128" i="10"/>
  <c r="H85" i="10"/>
  <c r="H88" i="10" s="1"/>
  <c r="N56" i="10"/>
  <c r="T23" i="10"/>
  <c r="T25" i="10"/>
  <c r="T26" i="10"/>
  <c r="T27" i="10"/>
  <c r="T28" i="10"/>
  <c r="T29" i="10"/>
  <c r="T30" i="10"/>
  <c r="F126" i="10"/>
  <c r="J126" i="10" s="1"/>
  <c r="I14" i="10" l="1"/>
  <c r="J120" i="10" l="1"/>
  <c r="J121" i="10" s="1"/>
  <c r="H81" i="10"/>
  <c r="H82" i="10" s="1"/>
  <c r="J91" i="10"/>
  <c r="J93" i="10" s="1"/>
  <c r="J68" i="10" l="1"/>
  <c r="H71" i="10" l="1"/>
  <c r="F102" i="10"/>
  <c r="F103" i="10" s="1"/>
  <c r="I104" i="10" s="1"/>
  <c r="I106" i="10" s="1"/>
  <c r="I14" i="11"/>
  <c r="I16" i="11"/>
  <c r="G14" i="11"/>
  <c r="J14" i="11" s="1"/>
  <c r="G16" i="11"/>
  <c r="J16" i="11" s="1"/>
  <c r="I107" i="10" l="1"/>
  <c r="F15" i="11" s="1"/>
  <c r="H76" i="10"/>
  <c r="F125" i="10" s="1"/>
  <c r="D130" i="10" l="1"/>
  <c r="J130" i="10" s="1"/>
  <c r="K102" i="10"/>
  <c r="J125" i="10"/>
  <c r="H139" i="10"/>
  <c r="H137" i="10"/>
  <c r="H138" i="10"/>
  <c r="J131" i="10" l="1"/>
  <c r="J132" i="10" s="1"/>
  <c r="H141" i="10"/>
  <c r="I15" i="11" l="1"/>
  <c r="G15" i="11" l="1"/>
  <c r="J15" i="11" l="1"/>
  <c r="I26" i="11" l="1"/>
  <c r="F17" i="11"/>
  <c r="I17" i="11" s="1"/>
  <c r="G17" i="11" l="1"/>
  <c r="J17" i="11" s="1"/>
  <c r="G13" i="11" l="1"/>
  <c r="J13" i="11" l="1"/>
  <c r="J18" i="11" s="1"/>
  <c r="G18" i="11"/>
  <c r="I13" i="12" s="1"/>
  <c r="P13" i="12" s="1"/>
  <c r="P19" i="12" s="1"/>
  <c r="P20" i="12" s="1"/>
  <c r="I13" i="11"/>
  <c r="J19" i="11" l="1"/>
  <c r="F21" i="11" s="1"/>
  <c r="B21" i="12"/>
  <c r="F23" i="12"/>
  <c r="F23" i="11" l="1"/>
  <c r="H21" i="11"/>
  <c r="J34" i="11"/>
  <c r="C36" i="11" s="1"/>
  <c r="D34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tc={5EAF6849-B2DB-45AA-B85A-6C4C90789150}</author>
    <author>Asus</author>
    <author>User</author>
    <author>UserPP</author>
    <author>HP</author>
  </authors>
  <commentList>
    <comment ref="I32" authorId="0" shapeId="0" xr:uid="{00000000-0006-0000-0600-000001000000}">
      <text>
        <r>
          <rPr>
            <sz val="14"/>
            <rFont val="Cordia New"/>
            <charset val="222"/>
          </rPr>
          <t>[ข้อคิดเห็นแบบเธรด]
Excel เวอร์ชันของคุณช่วยให้คุณสามารถอ่านข้อคิดเห็นแบบเธรดนี้ อย่างไรก็ตาม การแก้ไขใดๆ จะได้รับการเอาออกถ้าไฟล์ถูกเปิดใน Excel เวอร์ชันใหม่กว่า เรียนรู้เพิ่มเติม: https://go.microsoft.com/fwlink/?linkid=870924
ข้อคิดเห็น:
    ค่าดำเนินการน้ำมัน 32.00-32.99</t>
        </r>
      </text>
    </comment>
    <comment ref="I33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ค่าดำเนินการและค่าเสื่อมราคาน้ำมัน 33.00 - 33.99 บาท/ลิตร</t>
        </r>
      </text>
    </comment>
    <comment ref="I35" authorId="2" shapeId="0" xr:uid="{00000000-0006-0000-0600-000003000000}">
      <text>
        <r>
          <rPr>
            <b/>
            <sz val="9"/>
            <color indexed="81"/>
            <rFont val="Tahoma"/>
          </rPr>
          <t>User:</t>
        </r>
        <r>
          <rPr>
            <sz val="9"/>
            <color indexed="81"/>
            <rFont val="Tahoma"/>
          </rPr>
          <t xml:space="preserve">
ค่าดำเนินการ33.00-33.99 บาท/ลิตร</t>
        </r>
      </text>
    </comment>
    <comment ref="I48" authorId="3" shapeId="0" xr:uid="{00000000-0006-0000-0600-000004000000}">
      <text>
        <r>
          <rPr>
            <b/>
            <sz val="9"/>
            <color indexed="81"/>
            <rFont val="Tahoma"/>
            <family val="2"/>
          </rPr>
          <t>UserPP:</t>
        </r>
        <r>
          <rPr>
            <sz val="9"/>
            <color indexed="81"/>
            <rFont val="Tahoma"/>
            <family val="2"/>
          </rPr>
          <t xml:space="preserve">
ตารางค่าขนส่งที่ราคาน้ำมัน B7 ลิตรละ 33.00-33.99 บาท/ลิตรรถบรรทก 10 ล้อหรือพ่วง</t>
        </r>
      </text>
    </comment>
    <comment ref="J80" authorId="3" shapeId="0" xr:uid="{00000000-0006-0000-0600-000005000000}">
      <text>
        <r>
          <rPr>
            <b/>
            <sz val="9"/>
            <color indexed="81"/>
            <rFont val="Tahoma"/>
            <family val="2"/>
          </rPr>
          <t>UserPP:</t>
        </r>
        <r>
          <rPr>
            <sz val="9"/>
            <color indexed="81"/>
            <rFont val="Tahoma"/>
            <family val="2"/>
          </rPr>
          <t xml:space="preserve">
ปริมาณยาง / ความหนา = 0.416/0.05 เมตร = 8.32 ตารางเมตร
</t>
        </r>
      </text>
    </comment>
    <comment ref="J127" authorId="4" shapeId="0" xr:uid="{00000000-0006-0000-0600-000006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ค่าผสมวัสดุแอสฟัลท์ติกคอนกรีต น้ำมัน 33.00-33.99บาท/ลิตร</t>
        </r>
      </text>
    </comment>
    <comment ref="J156" authorId="4" shapeId="0" xr:uid="{00000000-0006-0000-0600-000007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ตารางค่าขนส่ง 33.00-33.99</t>
        </r>
      </text>
    </comment>
  </commentList>
</comments>
</file>

<file path=xl/sharedStrings.xml><?xml version="1.0" encoding="utf-8"?>
<sst xmlns="http://schemas.openxmlformats.org/spreadsheetml/2006/main" count="548" uniqueCount="312">
  <si>
    <t>สถานที่</t>
  </si>
  <si>
    <t>หน่วย</t>
  </si>
  <si>
    <t>ชื่อโครงการ</t>
  </si>
  <si>
    <t>ตร.ม.</t>
  </si>
  <si>
    <t>ลำดับ</t>
  </si>
  <si>
    <t>ราคาต่อหน่วย</t>
  </si>
  <si>
    <t>=</t>
  </si>
  <si>
    <t>หน่วยงานรับผิดชอบ</t>
  </si>
  <si>
    <t>บาท / ตร.ม.</t>
  </si>
  <si>
    <t>ซม.</t>
  </si>
  <si>
    <t>x</t>
  </si>
  <si>
    <t>กม.</t>
  </si>
  <si>
    <t>บาท/ลบ.ม.</t>
  </si>
  <si>
    <t>@</t>
  </si>
  <si>
    <t>ค่าใช้จ่ายรวม</t>
  </si>
  <si>
    <t>บาท</t>
  </si>
  <si>
    <t>บาท/ตร.ม.</t>
  </si>
  <si>
    <t>หนา</t>
  </si>
  <si>
    <t>ตัน</t>
  </si>
  <si>
    <t>บาท/ตัน</t>
  </si>
  <si>
    <t>ค่างานต้นทุน</t>
  </si>
  <si>
    <t>+</t>
  </si>
  <si>
    <t>งานตีเส้นจราจร  (Marking)</t>
  </si>
  <si>
    <t>งานตีเส้น ThermoPlastic Paint ระดับ 1 (Yellow &amp; White)</t>
  </si>
  <si>
    <t>ค่าสี</t>
  </si>
  <si>
    <t>กก / ตร.ม.</t>
  </si>
  <si>
    <t>ค่าลูกแก้ว</t>
  </si>
  <si>
    <t>ค่า Primer</t>
  </si>
  <si>
    <t>ค่าทดสอบความหนา , Factor การสะท้อนแสง , การสะท้อนแสง</t>
  </si>
  <si>
    <t>แบบเลขที่</t>
  </si>
  <si>
    <t>ค่าดำเนินการ (ค่าแรงและค่าเสื่อมราคาเครื่องมือฯ) =</t>
  </si>
  <si>
    <t xml:space="preserve"> บาท/ตร.ม.</t>
  </si>
  <si>
    <t>(ยางAC + ค่าขนส่ง) x 0.052</t>
  </si>
  <si>
    <t>(หินผสม + ค่าขนส่ง) x 0.74</t>
  </si>
  <si>
    <t xml:space="preserve">ค่าขนส่งแอสฟัลติกคอนกรีตในสายทาง ระยะทาง  </t>
  </si>
  <si>
    <t>ค่าติดตั้งเครื่องผสม = 250,000/……..</t>
  </si>
  <si>
    <t>*ราคาน้ำมันดีเซล บาท/ลิตร</t>
  </si>
  <si>
    <t>ผลรวมค่าใช้จ่ายพิเศษตามข้อกำหนดและค่าใช้จ่ายอื่นๆ</t>
  </si>
  <si>
    <t>ปริมาณงาน Asphalt Concrete ทั้งโครงการ</t>
  </si>
  <si>
    <t>กรณีที่ปริมาณงาน ASPHALT CONCRETE ทั้งโครงการ น้อยกว่า 10,000 ตัน ให้ใช้ปริมาณ ASPHALT CONCRETE
= 10,000 ตันในการคานวณค่าติดดตัง้ เครื่องผสม)</t>
  </si>
  <si>
    <t>= 10,000 ตันในการคำนวณค่าติดดตั้งเครื่องผสม</t>
  </si>
  <si>
    <t>ค่าดำเนินการ + ค่าเสื่อม (ค่าผสมวัสดุแอสฟัลติกคอนกรีต)</t>
  </si>
  <si>
    <t>(ปกติใช้ L/4)</t>
  </si>
  <si>
    <t>รายการ</t>
  </si>
  <si>
    <t>เมตร</t>
  </si>
  <si>
    <t>1.  ขนาดความกว้างของผิวจราจร</t>
  </si>
  <si>
    <t>2.  ความยาวของผิวจราจร</t>
  </si>
  <si>
    <t>3.  ความหนาของผิวทางลาดยาง</t>
  </si>
  <si>
    <t>4.  พื้นที่ผิวถนน</t>
  </si>
  <si>
    <t>วัน</t>
  </si>
  <si>
    <t>เดือน</t>
  </si>
  <si>
    <t xml:space="preserve">       ราคาวัดุก่อสร้างจากกรุงเทพมหานคร (ราคาเงินสด ไม่รวมภาษีมูลค่าเพิ่ม ไม่รวมค่าขนส่ง)</t>
  </si>
  <si>
    <t xml:space="preserve">ยางมะตอย </t>
  </si>
  <si>
    <t>ชนิดเอซี เกรด AC 60/70  บรรจุ BULk</t>
  </si>
  <si>
    <t>ชนิดเออีแข็งตัวช้า เกรด CSS - 1  บรรจุ BULk</t>
  </si>
  <si>
    <t>ชนิดเออีแข็งตัวช้า เกรด CSS - 1h  บรรจุ BULk</t>
  </si>
  <si>
    <t>ชนิดเออีแข็งตัวช้า เกรด CRS - 2  บรรจุ BULk</t>
  </si>
  <si>
    <t>ชนิดเออีแข็งตัวปานกลาง เกรด CMS - 2h บรรจุ BULk</t>
  </si>
  <si>
    <t>ชนิดคัดแบ็คแข็งตัวเร็วปานกลางเกรด MC-70 บรรจุ BULk</t>
  </si>
  <si>
    <t xml:space="preserve">      ราคาวัสดุก่อสร้างสำนักงานพานิชย์ จังหวัดเชียงใหม่</t>
  </si>
  <si>
    <t xml:space="preserve">เดือน  </t>
  </si>
  <si>
    <t>หินฝุ่น</t>
  </si>
  <si>
    <t>หินย่อย 3/8"</t>
  </si>
  <si>
    <t>หินย่อย 1/2"</t>
  </si>
  <si>
    <t>หินย่อย 3/4"</t>
  </si>
  <si>
    <t>สีเทอร์โมพลาสติก</t>
  </si>
  <si>
    <t xml:space="preserve"> (ราคา ณ โรงโม่)</t>
  </si>
  <si>
    <t xml:space="preserve">  ราคาโดยประมาณ</t>
  </si>
  <si>
    <t>งานราดยางไพร์มโค้ด</t>
  </si>
  <si>
    <t>งานราดยางแทคโค้ด</t>
  </si>
  <si>
    <t>งานผิวทางแอสฟัลท์ติกคอนกรีต</t>
  </si>
  <si>
    <t>ค่าผสมแอสฟัลท์ติกคอนกรีต</t>
  </si>
  <si>
    <t>ค่าติดตั้งเครื่องผสม</t>
  </si>
  <si>
    <t>บนผิวทางไพร์มโค้ด</t>
  </si>
  <si>
    <t>บนผิวทางแท็คโค้ด</t>
  </si>
  <si>
    <t>11.  ค่าดำเนินการและค่าเสื่อมราคา (ราคาเครื่องจักร 2558)</t>
  </si>
  <si>
    <t>ครั้ง</t>
  </si>
  <si>
    <t>12.  ค่าขนส่งจากตารางค่าขนส่งวัสดุก่อสร้าง</t>
  </si>
  <si>
    <t>รถบรรทุก 10 ล้อ และล้อพ่วง (ยางมะตอย)</t>
  </si>
  <si>
    <t>จังหวัดลำปาง - ดอยขุนตาล</t>
  </si>
  <si>
    <t>อำเภอเมือง  จังหวัดเชียงใหม่ - สถานที่ก่อสร้าง</t>
  </si>
  <si>
    <t>รวมระยะทาง</t>
  </si>
  <si>
    <t xml:space="preserve">ค่าขนส่งอุปกรณ์ 80 ตันระยะทางขนส่งคิดที่ระยะทาง </t>
  </si>
  <si>
    <t>ระยะทางตั้งแต่ 201 - 1,000 กม. ค่าขนส่งคิด</t>
  </si>
  <si>
    <t>รถบรรทุก 10 ล้อ (หิน)</t>
  </si>
  <si>
    <t>ระยะทาง</t>
  </si>
  <si>
    <t>(แหล่งหินคลุก บ.หยุ่นศิลา จก. ต.แม่โป่ง อ.ดอยสะเก็ด  - สันกำแพง)</t>
  </si>
  <si>
    <t>ค่าบรรทุก  บาท/ตัน</t>
  </si>
  <si>
    <t>ค่าบรรทุก  บาท/ลบ.ม.</t>
  </si>
  <si>
    <t xml:space="preserve">ระยะทาง </t>
  </si>
  <si>
    <t>ระยะทางขนส่งจากแหล่งถึงสถานที่ก่อสร้าง</t>
  </si>
  <si>
    <t xml:space="preserve"> =</t>
  </si>
  <si>
    <t>คำนวณหาระยะทางแปรสภาพตามผิวทาง</t>
  </si>
  <si>
    <t>ระยะทางแปรตามสภาพผิวทาง</t>
  </si>
  <si>
    <t>ค่าขนส่ง</t>
  </si>
  <si>
    <t>ค่าขนส่งจากตารางที่ระยะทาง 200 กม.</t>
  </si>
  <si>
    <t>การคำนวณระยะทางและค่าขนส่ง ยาง AC</t>
  </si>
  <si>
    <t>1.ระยะทางขนส่งจากแหล่งถึงสถานที่ก่อสร้าง</t>
  </si>
  <si>
    <t>2.ค่าขนส่งที่ระยะทาง</t>
  </si>
  <si>
    <t>ระยะทางนอกตารางค่าขนส่ง</t>
  </si>
  <si>
    <t>ค่าขนส่งรวม</t>
  </si>
  <si>
    <t>ระยะทาง (ขนส่งอุปกรณ์ AC ขนาด 80 ตัน)</t>
  </si>
  <si>
    <t>ระยะทาง (ยางAC 60/70)</t>
  </si>
  <si>
    <t>ระยะทาง (หิน) จากโรงโม่ถึงสถานที่ก่อสร้าง</t>
  </si>
  <si>
    <t>ระยะขนส่งยางภายในสถานที่ก่อสร้าง</t>
  </si>
  <si>
    <t>(ความยาวผิวทาง/4)</t>
  </si>
  <si>
    <t>คำนวณค่าขนส่งวัสดุต่างๆ</t>
  </si>
  <si>
    <t>ค่าขนส่งหินขนาดต่างๆ(ระยะทาง12กม.)</t>
  </si>
  <si>
    <t>ค่าขนส่งยาง AC 60/70 หน้างาน</t>
  </si>
  <si>
    <t>คำนวณปริมาณยางทั้งโครงการ</t>
  </si>
  <si>
    <t>พื้นที่ผิวจราจร</t>
  </si>
  <si>
    <t xml:space="preserve"> /</t>
  </si>
  <si>
    <t>งานตีเส้นจราจร</t>
  </si>
  <si>
    <t>กว้าง</t>
  </si>
  <si>
    <t>ยาว</t>
  </si>
  <si>
    <t>เส้น</t>
  </si>
  <si>
    <t>เส้นกลาง</t>
  </si>
  <si>
    <t>จำนวนข้าง</t>
  </si>
  <si>
    <t>ตารางเมตร</t>
  </si>
  <si>
    <t>หลักเกณฑ์การประเมินราคาต้นทุนต่อหน่วย</t>
  </si>
  <si>
    <t xml:space="preserve">          ค่าใช้จ่ายรวม</t>
  </si>
  <si>
    <t>ชนิดพื้นทาง</t>
  </si>
  <si>
    <t>ตารางที่ 1</t>
  </si>
  <si>
    <t>อัตราการลาด Prime coat (ลิตร/ตร.ม.)</t>
  </si>
  <si>
    <t>อัตราที่ใช้คิดราคากลาง (ลิตร/ตร.ม)</t>
  </si>
  <si>
    <t>พื้นทางดินซีเมนต์</t>
  </si>
  <si>
    <t>พื้นทางหินคลุกซีเมนต์</t>
  </si>
  <si>
    <t>พื้นทางหินคลุก</t>
  </si>
  <si>
    <t>0.6-1.0</t>
  </si>
  <si>
    <t>0.8-1.4</t>
  </si>
  <si>
    <t xml:space="preserve">          ค่ายาง CSS-1 (จากตารางที่ 1) 1.0 x (.......บาท/ตัน)/1,000</t>
  </si>
  <si>
    <t xml:space="preserve">          ค่าดำเนินการ + ค่าเสื่อมราคา (งานราดยางไพร์มโค้ด :งานราดยางไพร์มโค้ด)</t>
  </si>
  <si>
    <t>4.1(1)  งานลาดแอสฟัลท์ไพร์มโค้ด(PRIME COAT)</t>
  </si>
  <si>
    <t>4.1(2)  งานลาดยางแอสฟัลท์แทคโค้ด (TACK COAT)</t>
  </si>
  <si>
    <t>ราคายาง</t>
  </si>
  <si>
    <t>ราคายางรวม</t>
  </si>
  <si>
    <t xml:space="preserve">           ค่าดำเนินการ + ค่าเสื่อมราคา</t>
  </si>
  <si>
    <t xml:space="preserve">           ค่าใช้จ่ายรวม</t>
  </si>
  <si>
    <t xml:space="preserve">           ค่างานต้นทุน</t>
  </si>
  <si>
    <t>ตารางที่ 2</t>
  </si>
  <si>
    <t>ชนิดวัสดุมวลรวม</t>
  </si>
  <si>
    <t>หินปูน (Linestone)</t>
  </si>
  <si>
    <t>หินแกรนิต (Granite)</t>
  </si>
  <si>
    <t>หินบะซอลต์ (Basalt)</t>
  </si>
  <si>
    <t>ปริมาณแอสฟัลท์ซีเมนต์(ซีเมนต์เป็นเปอร์นต์โดยน้ำหนักของวัสดุมวลรวม)</t>
  </si>
  <si>
    <t>ชั้นรองผิวทาง (Binder Course)</t>
  </si>
  <si>
    <t>ชั้นผิวทาง (Wearing Couse)</t>
  </si>
  <si>
    <t>Asphaltic</t>
  </si>
  <si>
    <t>Boundbase</t>
  </si>
  <si>
    <t>4.4(4)งานชั้นผิวทางแอสฟัลต์คอนกรีต  (Asphalt Concrete  Wearing  Course)</t>
  </si>
  <si>
    <t>ระยะทางที่ก่อสร้าง - ระยะทางนอกตารางค่าขนส่ง</t>
  </si>
  <si>
    <t>1 ลบ.ม. หนัก 2.4 ตัน</t>
  </si>
  <si>
    <t>hotmixed 1 ตัน = 1/2.4=0.416 ลบ.ม.</t>
  </si>
  <si>
    <t>งานผิวจราจร</t>
  </si>
  <si>
    <t>งานประสานผิวจราจรกับพื้นทาง</t>
  </si>
  <si>
    <t>3.1 งานสีเทอร์โมพลาสติก</t>
  </si>
  <si>
    <t>ขอใช้งบประมาณในการก่อสร้าง</t>
  </si>
  <si>
    <t>ระยะเวลาในการก่อสร้างประมาณ</t>
  </si>
  <si>
    <t>เฉลี่ยราคาโดยประมาณ</t>
  </si>
  <si>
    <t>บาท/ตารางเมตร</t>
  </si>
  <si>
    <t>0.30 + 0.10 Mt/Mo + 0.40 At/Ao + 0.10 Et/Eo + 0.10 Ft/Fo</t>
  </si>
  <si>
    <t>ผลรวมต้นทุนงานก่อสร้างสะพานและท่อเหลี่ยม</t>
  </si>
  <si>
    <t>ค่า Factor F งานก่อสร้างทาง</t>
  </si>
  <si>
    <t>ค่า Factor F งานก่อสร้างสะพานและท่อเหลี่ยม</t>
  </si>
  <si>
    <t>ค่า Factor F ค่าใช้จ่ายพิเศษตามข้อกำหนด</t>
  </si>
  <si>
    <t xml:space="preserve"> 1  +  3  / (  1  x  4  +  2  x  5 )</t>
  </si>
  <si>
    <t>ค่า Factor F งานก่อสร้างทางซึ่งรวมค่าใช้จ่ายพิเศษตามข้อกำหนด (Factor  FN)   = 4 x 5</t>
  </si>
  <si>
    <t>ค่า Factor F งานก่อสร้างทางซึ่งรวมค่าใช้จ่ายพิเศษตามข้อกำหนด (Factor  FN)   = 5 x 6</t>
  </si>
  <si>
    <t>(ลงชื่อ)</t>
  </si>
  <si>
    <t>ประเภทผิวจราจร</t>
  </si>
  <si>
    <t>ASPHALTIC CONCRETE</t>
  </si>
  <si>
    <t>เส้นทางสาย</t>
  </si>
  <si>
    <t>คำนวณระยะทางและค่าขนส่งอุปกรณ์  80  ตัน</t>
  </si>
  <si>
    <t>สถานที่ก่อสร้าง</t>
  </si>
  <si>
    <t>หน้า</t>
  </si>
  <si>
    <t>พ.ศ.</t>
  </si>
  <si>
    <t>หน่วย : บาท</t>
  </si>
  <si>
    <t>ลำดับที่</t>
  </si>
  <si>
    <t>Factor F</t>
  </si>
  <si>
    <t>หมายเหตุ</t>
  </si>
  <si>
    <t>งานทาง</t>
  </si>
  <si>
    <t>0.30  +  0.40 At/Ao  + 0.20Et/Eo + 0.10 Ft/Fo</t>
  </si>
  <si>
    <t>สูตรค่า K งานผิวทาง PRIME COAT , TACK COAT,SEAL COAT      =</t>
  </si>
  <si>
    <t>สูตรค่า K งานผิวทาง ASPHALTIC  CONCRETE                           =</t>
  </si>
  <si>
    <t>ปริมาณงาน</t>
  </si>
  <si>
    <t>ราคาน้ำมันเฉลี่ย</t>
  </si>
  <si>
    <t>บาท/ลิตร</t>
  </si>
  <si>
    <t>7.  ระยะเวลาการก่อสร้าง</t>
  </si>
  <si>
    <t>รายละเอียดการคำนวณค่างานต้นทุนต่อหน่วย  งานก่อสร้าง</t>
  </si>
  <si>
    <t>5.  งบประมาณ</t>
  </si>
  <si>
    <t>6.  ราคาวัสดุก่อสร้าง</t>
  </si>
  <si>
    <t>แบบ ปร. 5</t>
  </si>
  <si>
    <t>ดอยขุนตาล - อำเภอเมือง  จังหวัดเชียงใหม่</t>
  </si>
  <si>
    <t>ช่วงที่ 1 (ผิวลาดยาง)</t>
  </si>
  <si>
    <t>***ถ้าปูหนา 4 ซม. =0.416/0.04 = 10.4 ตร.ม.</t>
  </si>
  <si>
    <t xml:space="preserve">               ผู้อำนวยการกองช่าง</t>
  </si>
  <si>
    <t>แบบปร.4</t>
  </si>
  <si>
    <t>ประมาณราคาเมื่อ</t>
  </si>
  <si>
    <t>AC 60/70</t>
  </si>
  <si>
    <t>AC 40/50</t>
  </si>
  <si>
    <t>PARA AC</t>
  </si>
  <si>
    <t>MC-70</t>
  </si>
  <si>
    <t>PMA</t>
  </si>
  <si>
    <t>CSS-1</t>
  </si>
  <si>
    <t>CRS-2</t>
  </si>
  <si>
    <t>CMS-2H</t>
  </si>
  <si>
    <t>CSS-1H</t>
  </si>
  <si>
    <t>CSS-1H EMA</t>
  </si>
  <si>
    <t>EAP</t>
  </si>
  <si>
    <t>THAI BITUMEN</t>
  </si>
  <si>
    <t>ZOLA</t>
  </si>
  <si>
    <t>(ไม่ควรเกิน 200 กม.)</t>
  </si>
  <si>
    <t>ค่าขนส่ง 1 กม.ที่น้ำมัน 30.00-30.99  บาท</t>
  </si>
  <si>
    <t>***ถ้าปูหนา 5 ซม. =0.416/0.05 = 8.32 ตร.ม.</t>
  </si>
  <si>
    <t>RAYCOL</t>
  </si>
  <si>
    <t>SECO ASPHALT</t>
  </si>
  <si>
    <t>TIPCO</t>
  </si>
  <si>
    <t>2567</t>
  </si>
  <si>
    <t>งานตัดดิน (EARTH EXCAVATION)</t>
  </si>
  <si>
    <t>ค่าดำเนินการ + ค่าเสื่อม (งานตัด - ขึ้นรูปคันทาง : ดิน - ตัก</t>
  </si>
  <si>
    <t>ค่าขนทิ้ง</t>
  </si>
  <si>
    <t>รวม</t>
  </si>
  <si>
    <t>ส่วนขยาย</t>
  </si>
  <si>
    <t>ค่าดำเนินการ + ค่าเสื่อม (งานตัด - ขึ้นรูปคันทาง : ดิน - ขุดตัด</t>
  </si>
  <si>
    <t>ส่วนขยายตัวของทราย</t>
  </si>
  <si>
    <t>ส่วนขยายตัวของดิน, ดินปนทราย</t>
  </si>
  <si>
    <t>งานพื้นทางหินคลุก</t>
  </si>
  <si>
    <t xml:space="preserve">ส่วนยุบตัว = </t>
  </si>
  <si>
    <t>x 1.50</t>
  </si>
  <si>
    <t>ค่าดำเนินการ + ค่าเสื่อมราคา (งานพื้นทาง (หินคลุก)  : ผสม ( Blend )….........)</t>
  </si>
  <si>
    <t>ค่าดำเนินการ + ค่าเสื่อมราคา (งานพื้นทาง (หินคลุก)  : บดทับ….........)</t>
  </si>
  <si>
    <t>ค่าใช้จ่ายรวม = …................+….................+…..............</t>
  </si>
  <si>
    <t>ชื่อโครงการก่อสร้าง</t>
  </si>
  <si>
    <t>หน่วยงานเจ้าของโครงการ</t>
  </si>
  <si>
    <t>ตุลาคม</t>
  </si>
  <si>
    <t>พฤศจิกายน</t>
  </si>
  <si>
    <t xml:space="preserve">           ค่ายาง CRS - 2  0.30 ลิตร (33,112.80บาท/ตัน)/1,000</t>
  </si>
  <si>
    <t>รวมราคา</t>
  </si>
  <si>
    <t>ราคาทุน
(บาท)</t>
  </si>
  <si>
    <t>ราคาต่อหน่วย
xFn</t>
  </si>
  <si>
    <t>บัญชีแสดงรายการก่อสร้างสำหรับงานก่อสร้างทาง สะพาน และท่อเหลี่ยม</t>
  </si>
  <si>
    <t>ประมาณราคาวันที่</t>
  </si>
  <si>
    <t>ผลรวมค่างานต้นทุนงานก่อสร้างทาง</t>
  </si>
  <si>
    <t>รวมค่างานต้นทุนงานทาง</t>
  </si>
  <si>
    <t>TOTAL</t>
  </si>
  <si>
    <t>ปรับราคาค่าก่อสร้างเหลือเพียง</t>
  </si>
  <si>
    <t>ขนาดหรือพื้นที่</t>
  </si>
  <si>
    <t>เฉลี่ยราคา</t>
  </si>
  <si>
    <t>แบบสรุปประมาณราคาค่าก่อสร้าง</t>
  </si>
  <si>
    <t>แบบ  ปร. 4   จำนวน</t>
  </si>
  <si>
    <t>ประมาณราคาเมื่อวันที่</t>
  </si>
  <si>
    <t xml:space="preserve"> - เงินล่วงหน้าจ่าย</t>
  </si>
  <si>
    <t xml:space="preserve"> - ดอกเบี้ยเงินกู้</t>
  </si>
  <si>
    <t xml:space="preserve"> - เงินประกันผลงานหัก</t>
  </si>
  <si>
    <t xml:space="preserve"> - ค่าภาษีมูลค่าเพิ่ม</t>
  </si>
  <si>
    <t>ค่างานต้นทุนงานทาง</t>
  </si>
  <si>
    <t>ค่าใช้จ่ายพิเศษตามข้อกำหนดและค่าใช้จ่ายอื่น</t>
  </si>
  <si>
    <t>รวมเป็นค่าก่อสร้าง</t>
  </si>
  <si>
    <t>รวมค่างานต้นทุน</t>
  </si>
  <si>
    <t>พื้นที่ถนน</t>
  </si>
  <si>
    <t>เฉลี่ยราคา ตร.ม.ละ</t>
  </si>
  <si>
    <t>รวมค่างานก่อสร้าง</t>
  </si>
  <si>
    <t>1.1แอสฟัลท์ติกคอนกรีตหนา 5 cm.</t>
  </si>
  <si>
    <t>ค่าวัสดุจากปากโม่ (รวมค่าตัก) บ้านแม่โป่ง ตำบลแม่โป่ง อำเภอดอยสะเก็ด จ.เชียงใหม่</t>
  </si>
  <si>
    <t>ค่าขนส่งอุปกรณ์ 80 ตัว ระยะทาง 100 - 300 กม.</t>
  </si>
  <si>
    <t>งานปูลาดและบดทับผิว AC หนา 5 ซม.</t>
  </si>
  <si>
    <t>ค่าขนส่ง ....5...กม.</t>
  </si>
  <si>
    <t>(รถ 6 ล้อ)</t>
  </si>
  <si>
    <t>ค่าดำเนินการ + ค่าเสื่อมราคา (งานปูลาดและบดทับผิว AC หนา 5 ซม.บนผิว Tack coat) x (ตัวแปร) x (พื้นที่ปูลาดตามความหนา)</t>
  </si>
  <si>
    <t>2.1 งาน TACK COAT</t>
  </si>
  <si>
    <t>จังหวัดพิษณุโลก- จังหวัดลำปาง</t>
  </si>
  <si>
    <t>100.00 กม.</t>
  </si>
  <si>
    <t>ระยะทางราบ  100.00 กม.</t>
  </si>
  <si>
    <t>ค่าขนส่งอุปกรณ์ 80 ตัน (ระยะทาง 100 กม.)</t>
  </si>
  <si>
    <t>ค่าขนส่งยาง AC 60/70 ระยะทาง 431 กม.)</t>
  </si>
  <si>
    <t>ค่าขนส่งอุปกรณ์ 80 ตัน ระยะทางขนส่ง (ไม่เกิน 100 กม.)</t>
  </si>
  <si>
    <t>ปริมาณยาง AC ทั้งโครงการความหนา 4 ซม.</t>
  </si>
  <si>
    <t>ซอยมิตรเกษตร ซอย 3  หมู่ที่ 3  บ้านป่าป้อง  ตำบลป่าป้อง  อำเภอดอยสะเก็ด  จังหวัดเชียงใหม่</t>
  </si>
  <si>
    <t>เทศบาลตำบลป่าป้องกำหนด</t>
  </si>
  <si>
    <t>เทศบาลตำบลป่าป้อง  ตำบลป่าป้อง  อำเภอดอยสะเก็ด  จังหวัดเชียงใหม่</t>
  </si>
  <si>
    <t>ผู้สำรวจ</t>
  </si>
  <si>
    <t xml:space="preserve">            (นายสุพัฒน์  จันทบุตร)</t>
  </si>
  <si>
    <t xml:space="preserve">              ผู้ช่วยนายช่างโยธา</t>
  </si>
  <si>
    <t>ประมาณราคา</t>
  </si>
  <si>
    <t>ตรวจประมาณราคา</t>
  </si>
  <si>
    <t>เห็นชอบ</t>
  </si>
  <si>
    <t xml:space="preserve">              (นางกัลยา  มีรักษ์)</t>
  </si>
  <si>
    <t xml:space="preserve">            (นายสมบูรณ์  ริญญา)</t>
  </si>
  <si>
    <t xml:space="preserve">           (นางสาวปนัดดา  เหมืองทอง)</t>
  </si>
  <si>
    <t xml:space="preserve">        ผู้อำนวยการกองช่างอบต.สันกำแพง</t>
  </si>
  <si>
    <t xml:space="preserve">                (นางกัลยา  มีรักษ์)</t>
  </si>
  <si>
    <t xml:space="preserve">         ปลัดเทศบาล รักษาราชการแทน</t>
  </si>
  <si>
    <t xml:space="preserve">           ปลัดเทศบาลตำบลป่าป้อง</t>
  </si>
  <si>
    <t xml:space="preserve">              (นายสมบูรณ์  ริญญา)</t>
  </si>
  <si>
    <t xml:space="preserve">          นายกเทศมนตรีตำบลป่าป้อง</t>
  </si>
  <si>
    <t xml:space="preserve">               ผู้ช่วยนายช่างโยธา</t>
  </si>
  <si>
    <t xml:space="preserve">        (นางสาวปนัดดา  เหมืองทอง)</t>
  </si>
  <si>
    <t xml:space="preserve">   ผู้อำนวยการกองช่างอบต.สันกำแพง</t>
  </si>
  <si>
    <t xml:space="preserve">       ปลัดเทศบาล รักษาราชการแทน</t>
  </si>
  <si>
    <t xml:space="preserve">             ผู้อำนวยการกองช่าง</t>
  </si>
  <si>
    <t xml:space="preserve">               (นางกัลยา  มีรักษ์)</t>
  </si>
  <si>
    <t xml:space="preserve">        นายกเทศมนตรีตำบลป่าป้อง</t>
  </si>
  <si>
    <t xml:space="preserve">หรือมีพื้นที่ไม่น้อยกว่า1,280.00 ตารางเมตร  </t>
  </si>
  <si>
    <t>อนุมัติ</t>
  </si>
  <si>
    <t xml:space="preserve">ประมาณราคาเมื่อวันที่  </t>
  </si>
  <si>
    <t>ปรับปรุงผิวจราจรแบบ Over Lay ด้วย แอสฟัลท์ติกคอนกรีต รหัสสายทาง ชม.ถ.40-0016 ซอย 3 บ้านป่าป้อง  -</t>
  </si>
  <si>
    <t>วัดดวงดี หมู่ที่ 6 บ้านดวงดี ตำบลป่าป้อง อำเภอดอยสะเก็ด  จังหวัดเชียงใหม่</t>
  </si>
  <si>
    <t xml:space="preserve">ปรับปรุงผิวจราจรแบบ Over Lay ด้วย แอสฟัลท์ติกคอนกรีต  กว้าง 4.00 เมตร ยาว 320.00 เมตร หนา 0.05 เมตร  </t>
  </si>
  <si>
    <t>ราคางานก่อสร้างประมาณ</t>
  </si>
  <si>
    <t>หน้าที่ 1</t>
  </si>
  <si>
    <t>หน้า 2</t>
  </si>
  <si>
    <t>หน้าที่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</si>
</sst>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#."/>
    <numFmt numFmtId="166" formatCode="0.0"/>
    <numFmt numFmtId="167" formatCode="_-* #,##0.000_-;\-* #,##0.000_-;_-* &quot;-&quot;??_-;_-@_-"/>
    <numFmt numFmtId="168" formatCode="_-* #,##0.0000_-;\-* #,##0.0000_-;_-* &quot;-&quot;??_-;_-@_-"/>
    <numFmt numFmtId="169" formatCode="_-* #,##0.0000_-;\-* #,##0.0000_-;_-* &quot;-&quot;_-;_-@_-"/>
    <numFmt numFmtId="170" formatCode="_-* #,##0.00_-;\-* #,##0.00_-;_-* &quot;-&quot;_-;_-@_-"/>
    <numFmt numFmtId="171" formatCode="#,###&quot;  &quot;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sz val="8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TH SarabunPSK"/>
      <family val="2"/>
    </font>
    <font>
      <sz val="9"/>
      <color indexed="81"/>
      <name val="Tahoma"/>
    </font>
    <font>
      <b/>
      <sz val="9"/>
      <color indexed="81"/>
      <name val="Tahoma"/>
    </font>
    <font>
      <b/>
      <sz val="16"/>
      <name val="TH SarabunPSK"/>
      <family val="2"/>
    </font>
    <font>
      <b/>
      <sz val="14"/>
      <name val="TH SarabunPSK"/>
      <family val="2"/>
    </font>
    <font>
      <b/>
      <sz val="12.5"/>
      <name val="TH SarabunPSK"/>
      <family val="2"/>
    </font>
    <font>
      <sz val="13.5"/>
      <name val="TH SarabunPSK"/>
      <family val="2"/>
    </font>
    <font>
      <b/>
      <sz val="13"/>
      <name val="TH SarabunPSK"/>
      <family val="2"/>
    </font>
    <font>
      <b/>
      <u/>
      <sz val="14"/>
      <name val="TH SarabunPSK"/>
      <family val="2"/>
    </font>
    <font>
      <sz val="13"/>
      <name val="TH SarabunPSK"/>
      <family val="2"/>
    </font>
    <font>
      <sz val="13"/>
      <color theme="1"/>
      <name val="TH SarabunPSK"/>
      <family val="2"/>
    </font>
    <font>
      <b/>
      <sz val="17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2.5"/>
      <name val="TH SarabunPSK"/>
      <family val="2"/>
    </font>
    <font>
      <sz val="13"/>
      <color rgb="FFFF0000"/>
      <name val="TH SarabunPSK"/>
      <family val="2"/>
    </font>
    <font>
      <sz val="13"/>
      <color rgb="FF000000"/>
      <name val="TH SarabunPSK"/>
      <family val="2"/>
    </font>
    <font>
      <b/>
      <u/>
      <sz val="13"/>
      <name val="TH SarabunPSK"/>
      <family val="2"/>
    </font>
    <font>
      <b/>
      <sz val="13"/>
      <color rgb="FF000000"/>
      <name val="TH SarabunPSK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6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</cellStyleXfs>
  <cellXfs count="257">
    <xf numFmtId="0" fontId="0" fillId="0" borderId="0" xfId="0"/>
    <xf numFmtId="0" fontId="11" fillId="0" borderId="0" xfId="6" applyFont="1" applyAlignment="1">
      <alignment horizontal="right" vertical="center"/>
    </xf>
    <xf numFmtId="0" fontId="11" fillId="0" borderId="0" xfId="0" applyFont="1" applyAlignment="1">
      <alignment vertical="center"/>
    </xf>
    <xf numFmtId="43" fontId="15" fillId="0" borderId="0" xfId="1" applyFont="1" applyAlignment="1">
      <alignment vertical="center"/>
    </xf>
    <xf numFmtId="43" fontId="11" fillId="0" borderId="0" xfId="1" applyFont="1" applyAlignment="1">
      <alignment horizontal="left" vertical="center"/>
    </xf>
    <xf numFmtId="0" fontId="11" fillId="0" borderId="0" xfId="6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3" fontId="11" fillId="0" borderId="0" xfId="1" applyFont="1" applyAlignment="1">
      <alignment vertical="center"/>
    </xf>
    <xf numFmtId="43" fontId="16" fillId="0" borderId="0" xfId="1" applyFont="1" applyAlignment="1">
      <alignment horizontal="left" vertical="center"/>
    </xf>
    <xf numFmtId="43" fontId="17" fillId="0" borderId="0" xfId="1" applyFont="1" applyAlignment="1">
      <alignment horizontal="left" vertical="center"/>
    </xf>
    <xf numFmtId="0" fontId="15" fillId="0" borderId="14" xfId="0" applyFont="1" applyBorder="1" applyAlignment="1">
      <alignment horizontal="center" vertical="center"/>
    </xf>
    <xf numFmtId="43" fontId="15" fillId="0" borderId="14" xfId="1" applyFont="1" applyBorder="1" applyAlignment="1">
      <alignment horizontal="center" vertical="center"/>
    </xf>
    <xf numFmtId="43" fontId="15" fillId="0" borderId="14" xfId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center" vertical="center"/>
    </xf>
    <xf numFmtId="43" fontId="15" fillId="0" borderId="15" xfId="1" applyFont="1" applyBorder="1" applyAlignment="1">
      <alignment horizontal="center" vertical="center"/>
    </xf>
    <xf numFmtId="43" fontId="15" fillId="0" borderId="15" xfId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168" fontId="11" fillId="0" borderId="16" xfId="1" applyNumberFormat="1" applyFont="1" applyBorder="1" applyAlignment="1">
      <alignment vertical="center"/>
    </xf>
    <xf numFmtId="43" fontId="11" fillId="0" borderId="16" xfId="0" applyNumberFormat="1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43" fontId="11" fillId="0" borderId="14" xfId="1" applyFont="1" applyBorder="1" applyAlignment="1">
      <alignment vertical="center"/>
    </xf>
    <xf numFmtId="168" fontId="11" fillId="0" borderId="14" xfId="1" applyNumberFormat="1" applyFont="1" applyBorder="1" applyAlignment="1">
      <alignment vertical="center"/>
    </xf>
    <xf numFmtId="43" fontId="11" fillId="0" borderId="14" xfId="0" applyNumberFormat="1" applyFont="1" applyBorder="1" applyAlignment="1">
      <alignment vertical="center"/>
    </xf>
    <xf numFmtId="43" fontId="11" fillId="0" borderId="0" xfId="1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43" fontId="15" fillId="0" borderId="18" xfId="0" applyNumberFormat="1" applyFont="1" applyBorder="1" applyAlignment="1">
      <alignment vertical="center"/>
    </xf>
    <xf numFmtId="43" fontId="11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167" fontId="11" fillId="0" borderId="14" xfId="0" applyNumberFormat="1" applyFont="1" applyBorder="1" applyAlignment="1">
      <alignment vertical="center"/>
    </xf>
    <xf numFmtId="168" fontId="11" fillId="0" borderId="14" xfId="0" applyNumberFormat="1" applyFont="1" applyBorder="1" applyAlignment="1">
      <alignment vertical="center"/>
    </xf>
    <xf numFmtId="167" fontId="11" fillId="0" borderId="23" xfId="0" applyNumberFormat="1" applyFont="1" applyBorder="1" applyAlignment="1">
      <alignment vertical="center"/>
    </xf>
    <xf numFmtId="43" fontId="15" fillId="0" borderId="14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43" fontId="1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3" fontId="21" fillId="0" borderId="0" xfId="1" applyFont="1" applyAlignment="1">
      <alignment vertical="center"/>
    </xf>
    <xf numFmtId="0" fontId="11" fillId="0" borderId="0" xfId="4" applyFont="1" applyAlignment="1">
      <alignment vertical="center"/>
    </xf>
    <xf numFmtId="0" fontId="15" fillId="0" borderId="0" xfId="4" applyFont="1" applyAlignment="1" applyProtection="1">
      <alignment horizontal="left" vertical="center"/>
      <protection hidden="1"/>
    </xf>
    <xf numFmtId="0" fontId="11" fillId="0" borderId="0" xfId="4" applyFont="1" applyAlignment="1" applyProtection="1">
      <alignment vertical="center"/>
      <protection locked="0"/>
    </xf>
    <xf numFmtId="0" fontId="15" fillId="0" borderId="0" xfId="4" applyFont="1" applyAlignment="1" applyProtection="1">
      <alignment vertical="center"/>
      <protection hidden="1"/>
    </xf>
    <xf numFmtId="0" fontId="11" fillId="0" borderId="0" xfId="6" applyFont="1" applyAlignment="1">
      <alignment vertical="center"/>
    </xf>
    <xf numFmtId="0" fontId="11" fillId="0" borderId="0" xfId="4" applyFont="1" applyAlignment="1" applyProtection="1">
      <alignment vertical="center"/>
      <protection hidden="1"/>
    </xf>
    <xf numFmtId="0" fontId="15" fillId="0" borderId="0" xfId="4" applyFont="1" applyAlignment="1">
      <alignment vertical="center"/>
    </xf>
    <xf numFmtId="0" fontId="11" fillId="0" borderId="0" xfId="4" applyFont="1" applyAlignment="1" applyProtection="1">
      <alignment horizontal="center" vertical="center"/>
      <protection locked="0"/>
    </xf>
    <xf numFmtId="0" fontId="11" fillId="0" borderId="0" xfId="4" applyFont="1" applyAlignment="1" applyProtection="1">
      <alignment horizontal="right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left" vertical="center"/>
      <protection hidden="1"/>
    </xf>
    <xf numFmtId="0" fontId="11" fillId="0" borderId="0" xfId="4" applyFont="1" applyAlignment="1" applyProtection="1">
      <alignment horizontal="center" vertical="center"/>
      <protection hidden="1"/>
    </xf>
    <xf numFmtId="0" fontId="15" fillId="0" borderId="14" xfId="4" applyFont="1" applyBorder="1" applyAlignment="1" applyProtection="1">
      <alignment horizontal="center" vertical="center"/>
      <protection hidden="1"/>
    </xf>
    <xf numFmtId="0" fontId="15" fillId="0" borderId="7" xfId="4" applyFont="1" applyBorder="1" applyAlignment="1" applyProtection="1">
      <alignment horizontal="center" vertical="center"/>
      <protection hidden="1"/>
    </xf>
    <xf numFmtId="41" fontId="11" fillId="0" borderId="15" xfId="4" applyNumberFormat="1" applyFont="1" applyBorder="1" applyAlignment="1" applyProtection="1">
      <alignment horizontal="center" vertical="center"/>
      <protection hidden="1"/>
    </xf>
    <xf numFmtId="0" fontId="11" fillId="0" borderId="10" xfId="4" applyFont="1" applyBorder="1" applyAlignment="1">
      <alignment vertical="center"/>
    </xf>
    <xf numFmtId="41" fontId="11" fillId="0" borderId="16" xfId="4" applyNumberFormat="1" applyFont="1" applyBorder="1" applyAlignment="1" applyProtection="1">
      <alignment horizontal="center" vertical="center"/>
      <protection hidden="1"/>
    </xf>
    <xf numFmtId="10" fontId="11" fillId="0" borderId="22" xfId="4" applyNumberFormat="1" applyFont="1" applyBorder="1" applyAlignment="1">
      <alignment vertical="center"/>
    </xf>
    <xf numFmtId="41" fontId="11" fillId="0" borderId="16" xfId="4" applyNumberFormat="1" applyFont="1" applyBorder="1" applyAlignment="1" applyProtection="1">
      <alignment vertical="center"/>
      <protection hidden="1"/>
    </xf>
    <xf numFmtId="0" fontId="11" fillId="0" borderId="16" xfId="4" applyFont="1" applyBorder="1" applyAlignment="1" applyProtection="1">
      <alignment vertical="center"/>
      <protection hidden="1"/>
    </xf>
    <xf numFmtId="0" fontId="11" fillId="0" borderId="26" xfId="4" applyFont="1" applyBorder="1" applyAlignment="1" applyProtection="1">
      <alignment vertical="center"/>
      <protection hidden="1"/>
    </xf>
    <xf numFmtId="0" fontId="11" fillId="0" borderId="22" xfId="4" applyFont="1" applyBorder="1" applyAlignment="1">
      <alignment vertical="center"/>
    </xf>
    <xf numFmtId="0" fontId="11" fillId="0" borderId="14" xfId="4" applyFont="1" applyBorder="1" applyAlignment="1" applyProtection="1">
      <alignment vertical="center"/>
      <protection hidden="1"/>
    </xf>
    <xf numFmtId="0" fontId="15" fillId="0" borderId="11" xfId="4" applyFont="1" applyBorder="1" applyAlignment="1" applyProtection="1">
      <alignment horizontal="left" vertical="center"/>
      <protection hidden="1"/>
    </xf>
    <xf numFmtId="43" fontId="15" fillId="0" borderId="11" xfId="1" applyFont="1" applyFill="1" applyBorder="1" applyAlignment="1" applyProtection="1">
      <alignment horizontal="center" vertical="center"/>
      <protection hidden="1"/>
    </xf>
    <xf numFmtId="43" fontId="15" fillId="0" borderId="7" xfId="1" applyFont="1" applyFill="1" applyBorder="1" applyAlignment="1" applyProtection="1">
      <alignment horizontal="center" vertical="center"/>
      <protection hidden="1"/>
    </xf>
    <xf numFmtId="43" fontId="15" fillId="0" borderId="12" xfId="1" applyFont="1" applyFill="1" applyBorder="1" applyAlignment="1" applyProtection="1">
      <alignment horizontal="center" vertical="center"/>
      <protection hidden="1"/>
    </xf>
    <xf numFmtId="169" fontId="15" fillId="0" borderId="11" xfId="4" applyNumberFormat="1" applyFont="1" applyBorder="1" applyAlignment="1" applyProtection="1">
      <alignment horizontal="center" vertical="center"/>
      <protection hidden="1"/>
    </xf>
    <xf numFmtId="169" fontId="15" fillId="0" borderId="7" xfId="4" applyNumberFormat="1" applyFont="1" applyBorder="1" applyAlignment="1" applyProtection="1">
      <alignment horizontal="center" vertical="center"/>
      <protection hidden="1"/>
    </xf>
    <xf numFmtId="169" fontId="15" fillId="0" borderId="12" xfId="4" applyNumberFormat="1" applyFont="1" applyBorder="1" applyAlignment="1" applyProtection="1">
      <alignment horizontal="center" vertical="center"/>
      <protection hidden="1"/>
    </xf>
    <xf numFmtId="0" fontId="11" fillId="0" borderId="11" xfId="4" applyFont="1" applyBorder="1" applyAlignment="1" applyProtection="1">
      <alignment horizontal="center" vertical="center"/>
      <protection hidden="1"/>
    </xf>
    <xf numFmtId="0" fontId="11" fillId="0" borderId="7" xfId="4" applyFont="1" applyBorder="1" applyAlignment="1" applyProtection="1">
      <alignment horizontal="center" vertical="center"/>
      <protection hidden="1"/>
    </xf>
    <xf numFmtId="0" fontId="11" fillId="0" borderId="12" xfId="4" applyFont="1" applyBorder="1" applyAlignment="1">
      <alignment vertical="center"/>
    </xf>
    <xf numFmtId="0" fontId="20" fillId="0" borderId="0" xfId="4" applyFont="1" applyAlignment="1" applyProtection="1">
      <alignment horizontal="center" vertical="center"/>
      <protection hidden="1"/>
    </xf>
    <xf numFmtId="43" fontId="11" fillId="0" borderId="0" xfId="11" applyFont="1" applyFill="1" applyBorder="1" applyAlignment="1" applyProtection="1">
      <alignment vertical="center"/>
      <protection locked="0"/>
    </xf>
    <xf numFmtId="43" fontId="11" fillId="0" borderId="0" xfId="11" applyFont="1" applyFill="1" applyBorder="1" applyAlignment="1" applyProtection="1">
      <alignment vertical="center"/>
      <protection hidden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6" applyFont="1" applyAlignment="1">
      <alignment horizontal="left" vertical="center"/>
    </xf>
    <xf numFmtId="43" fontId="20" fillId="0" borderId="0" xfId="1" applyFont="1" applyAlignment="1">
      <alignment horizontal="left" vertical="center"/>
    </xf>
    <xf numFmtId="0" fontId="20" fillId="0" borderId="0" xfId="6" applyFont="1" applyAlignment="1">
      <alignment horizontal="left" vertical="center"/>
    </xf>
    <xf numFmtId="0" fontId="20" fillId="0" borderId="0" xfId="6" applyFont="1" applyAlignment="1">
      <alignment horizontal="center" vertical="center"/>
    </xf>
    <xf numFmtId="0" fontId="20" fillId="0" borderId="0" xfId="6" applyFont="1" applyAlignment="1">
      <alignment vertical="center"/>
    </xf>
    <xf numFmtId="0" fontId="21" fillId="0" borderId="0" xfId="6" applyFont="1" applyAlignment="1">
      <alignment vertical="center"/>
    </xf>
    <xf numFmtId="15" fontId="20" fillId="0" borderId="0" xfId="6" applyNumberFormat="1" applyFont="1" applyAlignment="1">
      <alignment vertical="center"/>
    </xf>
    <xf numFmtId="43" fontId="20" fillId="0" borderId="0" xfId="1" applyFont="1" applyBorder="1" applyAlignment="1">
      <alignment vertical="center"/>
    </xf>
    <xf numFmtId="43" fontId="20" fillId="0" borderId="0" xfId="1" applyFont="1" applyBorder="1" applyAlignment="1">
      <alignment horizontal="left" vertical="center"/>
    </xf>
    <xf numFmtId="15" fontId="20" fillId="0" borderId="0" xfId="6" applyNumberFormat="1" applyFont="1" applyAlignment="1">
      <alignment horizontal="left" vertical="center"/>
    </xf>
    <xf numFmtId="43" fontId="20" fillId="0" borderId="0" xfId="1" applyFont="1" applyAlignment="1">
      <alignment vertical="center"/>
    </xf>
    <xf numFmtId="0" fontId="20" fillId="0" borderId="0" xfId="6" applyFont="1" applyAlignment="1">
      <alignment horizontal="right" vertical="center"/>
    </xf>
    <xf numFmtId="0" fontId="20" fillId="0" borderId="0" xfId="0" quotePrefix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49" fontId="20" fillId="0" borderId="0" xfId="1" applyNumberFormat="1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28" fillId="0" borderId="0" xfId="4" applyFont="1" applyAlignment="1">
      <alignment vertical="center"/>
    </xf>
    <xf numFmtId="0" fontId="20" fillId="0" borderId="0" xfId="4" applyFont="1" applyAlignment="1">
      <alignment horizontal="left" vertical="center"/>
    </xf>
    <xf numFmtId="0" fontId="20" fillId="0" borderId="0" xfId="4" applyFont="1" applyAlignment="1">
      <alignment vertical="center"/>
    </xf>
    <xf numFmtId="166" fontId="20" fillId="0" borderId="0" xfId="4" applyNumberFormat="1" applyFont="1" applyAlignment="1">
      <alignment horizontal="left" vertical="center"/>
    </xf>
    <xf numFmtId="2" fontId="20" fillId="0" borderId="0" xfId="4" applyNumberFormat="1" applyFont="1" applyAlignment="1">
      <alignment vertical="center"/>
    </xf>
    <xf numFmtId="0" fontId="20" fillId="0" borderId="0" xfId="4" applyFont="1" applyAlignment="1">
      <alignment horizontal="center" vertical="center"/>
    </xf>
    <xf numFmtId="166" fontId="20" fillId="0" borderId="0" xfId="4" applyNumberFormat="1" applyFont="1" applyAlignment="1">
      <alignment horizontal="center" vertical="center"/>
    </xf>
    <xf numFmtId="0" fontId="20" fillId="0" borderId="0" xfId="4" applyFont="1" applyAlignment="1">
      <alignment horizontal="right" vertical="center"/>
    </xf>
    <xf numFmtId="49" fontId="20" fillId="0" borderId="0" xfId="0" applyNumberFormat="1" applyFont="1" applyAlignment="1">
      <alignment horizontal="right" vertical="center"/>
    </xf>
    <xf numFmtId="43" fontId="20" fillId="0" borderId="0" xfId="1" applyFont="1" applyFill="1" applyAlignment="1">
      <alignment vertical="center"/>
    </xf>
    <xf numFmtId="43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43" fontId="20" fillId="0" borderId="0" xfId="1" applyFont="1" applyAlignment="1">
      <alignment horizontal="center" vertical="center"/>
    </xf>
    <xf numFmtId="43" fontId="25" fillId="0" borderId="0" xfId="1" applyFont="1" applyAlignment="1">
      <alignment vertical="center"/>
    </xf>
    <xf numFmtId="0" fontId="18" fillId="0" borderId="0" xfId="4" applyFont="1" applyAlignment="1">
      <alignment vertical="center"/>
    </xf>
    <xf numFmtId="0" fontId="20" fillId="0" borderId="14" xfId="1" applyNumberFormat="1" applyFont="1" applyBorder="1" applyAlignment="1">
      <alignment horizontal="center" vertical="center"/>
    </xf>
    <xf numFmtId="43" fontId="20" fillId="0" borderId="0" xfId="1" applyFont="1" applyFill="1" applyBorder="1" applyAlignment="1">
      <alignment vertical="center"/>
    </xf>
    <xf numFmtId="43" fontId="20" fillId="0" borderId="14" xfId="0" applyNumberFormat="1" applyFont="1" applyBorder="1" applyAlignment="1">
      <alignment vertical="center"/>
    </xf>
    <xf numFmtId="0" fontId="20" fillId="0" borderId="14" xfId="1" applyNumberFormat="1" applyFont="1" applyBorder="1" applyAlignment="1">
      <alignment vertical="center"/>
    </xf>
    <xf numFmtId="0" fontId="20" fillId="0" borderId="0" xfId="1" applyNumberFormat="1" applyFont="1" applyBorder="1" applyAlignment="1">
      <alignment horizontal="center" vertical="center"/>
    </xf>
    <xf numFmtId="43" fontId="28" fillId="0" borderId="0" xfId="1" applyFont="1" applyAlignment="1">
      <alignment vertical="center"/>
    </xf>
    <xf numFmtId="0" fontId="28" fillId="0" borderId="0" xfId="4" applyFont="1" applyAlignment="1">
      <alignment horizontal="center" vertical="center"/>
    </xf>
    <xf numFmtId="43" fontId="18" fillId="0" borderId="0" xfId="1" applyFont="1" applyAlignment="1">
      <alignment horizontal="center" vertical="center"/>
    </xf>
    <xf numFmtId="166" fontId="18" fillId="0" borderId="0" xfId="4" applyNumberFormat="1" applyFont="1" applyAlignment="1">
      <alignment horizontal="center" vertical="center"/>
    </xf>
    <xf numFmtId="2" fontId="20" fillId="0" borderId="0" xfId="4" applyNumberFormat="1" applyFont="1" applyAlignment="1">
      <alignment horizontal="right" vertical="center"/>
    </xf>
    <xf numFmtId="2" fontId="20" fillId="0" borderId="0" xfId="4" applyNumberFormat="1" applyFont="1" applyAlignment="1">
      <alignment horizontal="center" vertical="center"/>
    </xf>
    <xf numFmtId="43" fontId="20" fillId="0" borderId="6" xfId="4" applyNumberFormat="1" applyFont="1" applyBorder="1" applyAlignment="1">
      <alignment horizontal="center" vertical="center"/>
    </xf>
    <xf numFmtId="2" fontId="20" fillId="0" borderId="3" xfId="4" applyNumberFormat="1" applyFont="1" applyBorder="1" applyAlignment="1">
      <alignment horizontal="right" vertical="center"/>
    </xf>
    <xf numFmtId="2" fontId="20" fillId="0" borderId="7" xfId="4" applyNumberFormat="1" applyFont="1" applyBorder="1" applyAlignment="1">
      <alignment horizontal="right" vertical="center"/>
    </xf>
    <xf numFmtId="0" fontId="20" fillId="0" borderId="0" xfId="4" quotePrefix="1" applyFont="1" applyAlignment="1">
      <alignment horizontal="center" vertical="center"/>
    </xf>
    <xf numFmtId="43" fontId="20" fillId="0" borderId="3" xfId="1" applyFont="1" applyBorder="1" applyAlignment="1">
      <alignment horizontal="right" vertical="center"/>
    </xf>
    <xf numFmtId="43" fontId="20" fillId="0" borderId="7" xfId="1" applyFont="1" applyBorder="1" applyAlignment="1">
      <alignment horizontal="right" vertical="center"/>
    </xf>
    <xf numFmtId="2" fontId="20" fillId="0" borderId="8" xfId="0" applyNumberFormat="1" applyFont="1" applyBorder="1" applyAlignment="1">
      <alignment horizontal="right" vertical="center"/>
    </xf>
    <xf numFmtId="166" fontId="20" fillId="0" borderId="6" xfId="4" applyNumberFormat="1" applyFont="1" applyBorder="1" applyAlignment="1">
      <alignment horizontal="center" vertical="center"/>
    </xf>
    <xf numFmtId="43" fontId="20" fillId="0" borderId="5" xfId="1" applyFont="1" applyBorder="1" applyAlignment="1">
      <alignment horizontal="right" vertical="center"/>
    </xf>
    <xf numFmtId="43" fontId="20" fillId="0" borderId="4" xfId="1" applyFont="1" applyBorder="1" applyAlignment="1">
      <alignment horizontal="right" vertical="center"/>
    </xf>
    <xf numFmtId="43" fontId="20" fillId="0" borderId="0" xfId="1" applyFont="1" applyBorder="1" applyAlignment="1">
      <alignment horizontal="right" vertical="center"/>
    </xf>
    <xf numFmtId="43" fontId="28" fillId="0" borderId="0" xfId="1" applyFont="1" applyFill="1" applyBorder="1" applyAlignment="1">
      <alignment vertical="center"/>
    </xf>
    <xf numFmtId="2" fontId="28" fillId="0" borderId="0" xfId="4" applyNumberFormat="1" applyFont="1" applyAlignment="1">
      <alignment horizontal="center" vertical="center"/>
    </xf>
    <xf numFmtId="43" fontId="20" fillId="0" borderId="0" xfId="1" applyFont="1" applyBorder="1" applyAlignment="1">
      <alignment horizontal="center" vertical="center"/>
    </xf>
    <xf numFmtId="43" fontId="28" fillId="0" borderId="0" xfId="1" applyFont="1" applyBorder="1" applyAlignment="1">
      <alignment vertical="center"/>
    </xf>
    <xf numFmtId="2" fontId="20" fillId="0" borderId="0" xfId="0" applyNumberFormat="1" applyFont="1" applyAlignment="1">
      <alignment horizontal="right" vertical="center"/>
    </xf>
    <xf numFmtId="43" fontId="20" fillId="0" borderId="6" xfId="1" applyFont="1" applyBorder="1" applyAlignment="1">
      <alignment horizontal="center" vertical="center"/>
    </xf>
    <xf numFmtId="43" fontId="20" fillId="0" borderId="13" xfId="1" applyFont="1" applyBorder="1" applyAlignment="1">
      <alignment horizontal="center" vertical="center"/>
    </xf>
    <xf numFmtId="2" fontId="20" fillId="0" borderId="4" xfId="1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168" fontId="20" fillId="0" borderId="0" xfId="1" quotePrefix="1" applyNumberFormat="1" applyFont="1" applyAlignment="1">
      <alignment horizontal="left" vertical="center"/>
    </xf>
    <xf numFmtId="164" fontId="20" fillId="0" borderId="0" xfId="0" applyNumberFormat="1" applyFont="1" applyAlignment="1">
      <alignment vertical="center"/>
    </xf>
    <xf numFmtId="2" fontId="20" fillId="0" borderId="0" xfId="0" applyNumberFormat="1" applyFont="1" applyAlignment="1">
      <alignment horizontal="left" vertical="center"/>
    </xf>
    <xf numFmtId="0" fontId="28" fillId="0" borderId="0" xfId="6" applyFont="1" applyAlignment="1">
      <alignment horizontal="left" vertical="center"/>
    </xf>
    <xf numFmtId="0" fontId="28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6" applyFont="1" applyAlignment="1">
      <alignment horizontal="left" vertical="center"/>
    </xf>
    <xf numFmtId="43" fontId="11" fillId="0" borderId="0" xfId="4" applyNumberFormat="1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center" vertical="center"/>
      <protection hidden="1"/>
    </xf>
    <xf numFmtId="0" fontId="22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>
      <alignment horizontal="right" vertical="center"/>
    </xf>
    <xf numFmtId="43" fontId="15" fillId="0" borderId="11" xfId="1" applyFont="1" applyFill="1" applyBorder="1" applyAlignment="1" applyProtection="1">
      <alignment horizontal="center" vertical="center"/>
      <protection hidden="1"/>
    </xf>
    <xf numFmtId="43" fontId="15" fillId="0" borderId="7" xfId="1" applyFont="1" applyFill="1" applyBorder="1" applyAlignment="1" applyProtection="1">
      <alignment horizontal="center" vertical="center"/>
      <protection hidden="1"/>
    </xf>
    <xf numFmtId="43" fontId="15" fillId="0" borderId="12" xfId="1" applyFont="1" applyFill="1" applyBorder="1" applyAlignment="1" applyProtection="1">
      <alignment horizontal="center" vertical="center"/>
      <protection hidden="1"/>
    </xf>
    <xf numFmtId="169" fontId="15" fillId="0" borderId="11" xfId="4" applyNumberFormat="1" applyFont="1" applyBorder="1" applyAlignment="1" applyProtection="1">
      <alignment horizontal="center" vertical="center"/>
      <protection hidden="1"/>
    </xf>
    <xf numFmtId="169" fontId="15" fillId="0" borderId="7" xfId="4" applyNumberFormat="1" applyFont="1" applyBorder="1" applyAlignment="1" applyProtection="1">
      <alignment horizontal="center" vertical="center"/>
      <protection hidden="1"/>
    </xf>
    <xf numFmtId="169" fontId="15" fillId="0" borderId="12" xfId="4" applyNumberFormat="1" applyFont="1" applyBorder="1" applyAlignment="1" applyProtection="1">
      <alignment horizontal="center" vertical="center"/>
      <protection hidden="1"/>
    </xf>
    <xf numFmtId="43" fontId="15" fillId="0" borderId="11" xfId="1" applyFont="1" applyBorder="1" applyAlignment="1" applyProtection="1">
      <alignment horizontal="center" vertical="center"/>
      <protection hidden="1"/>
    </xf>
    <xf numFmtId="43" fontId="15" fillId="0" borderId="7" xfId="1" applyFont="1" applyBorder="1" applyAlignment="1" applyProtection="1">
      <alignment horizontal="center" vertical="center"/>
      <protection hidden="1"/>
    </xf>
    <xf numFmtId="43" fontId="15" fillId="0" borderId="12" xfId="1" applyFont="1" applyBorder="1" applyAlignment="1" applyProtection="1">
      <alignment horizontal="center" vertical="center"/>
      <protection hidden="1"/>
    </xf>
    <xf numFmtId="43" fontId="23" fillId="0" borderId="11" xfId="1" applyFont="1" applyFill="1" applyBorder="1" applyAlignment="1" applyProtection="1">
      <alignment horizontal="center" vertical="center"/>
      <protection hidden="1"/>
    </xf>
    <xf numFmtId="43" fontId="23" fillId="0" borderId="7" xfId="1" applyFont="1" applyFill="1" applyBorder="1" applyAlignment="1" applyProtection="1">
      <alignment horizontal="center" vertical="center"/>
      <protection hidden="1"/>
    </xf>
    <xf numFmtId="43" fontId="23" fillId="0" borderId="12" xfId="1" applyFont="1" applyFill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left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right" vertical="center"/>
      <protection hidden="1"/>
    </xf>
    <xf numFmtId="0" fontId="15" fillId="0" borderId="14" xfId="4" applyFont="1" applyBorder="1" applyAlignment="1" applyProtection="1">
      <alignment horizontal="center" vertical="center"/>
      <protection hidden="1"/>
    </xf>
    <xf numFmtId="0" fontId="15" fillId="0" borderId="14" xfId="4" applyFont="1" applyBorder="1" applyAlignment="1" applyProtection="1">
      <alignment horizontal="center" vertical="center" wrapText="1"/>
      <protection hidden="1"/>
    </xf>
    <xf numFmtId="0" fontId="15" fillId="0" borderId="11" xfId="4" applyFont="1" applyBorder="1" applyAlignment="1" applyProtection="1">
      <alignment horizontal="center" vertical="center"/>
      <protection hidden="1"/>
    </xf>
    <xf numFmtId="0" fontId="15" fillId="0" borderId="7" xfId="4" applyFont="1" applyBorder="1" applyAlignment="1" applyProtection="1">
      <alignment horizontal="center" vertical="center"/>
      <protection hidden="1"/>
    </xf>
    <xf numFmtId="0" fontId="15" fillId="0" borderId="12" xfId="4" applyFont="1" applyBorder="1" applyAlignment="1" applyProtection="1">
      <alignment horizontal="center" vertical="center"/>
      <protection hidden="1"/>
    </xf>
    <xf numFmtId="41" fontId="11" fillId="0" borderId="15" xfId="4" applyNumberFormat="1" applyFont="1" applyBorder="1" applyAlignment="1" applyProtection="1">
      <alignment horizontal="left" vertical="center"/>
      <protection locked="0"/>
    </xf>
    <xf numFmtId="0" fontId="11" fillId="0" borderId="15" xfId="4" applyFont="1" applyBorder="1" applyAlignment="1" applyProtection="1">
      <alignment horizontal="left" vertical="center"/>
      <protection locked="0"/>
    </xf>
    <xf numFmtId="164" fontId="11" fillId="0" borderId="24" xfId="1" applyNumberFormat="1" applyFont="1" applyFill="1" applyBorder="1" applyAlignment="1" applyProtection="1">
      <alignment horizontal="right" vertical="center"/>
      <protection locked="0"/>
    </xf>
    <xf numFmtId="164" fontId="11" fillId="0" borderId="29" xfId="1" applyNumberFormat="1" applyFont="1" applyFill="1" applyBorder="1" applyAlignment="1" applyProtection="1">
      <alignment horizontal="right" vertical="center"/>
      <protection locked="0"/>
    </xf>
    <xf numFmtId="164" fontId="11" fillId="0" borderId="25" xfId="1" applyNumberFormat="1" applyFont="1" applyFill="1" applyBorder="1" applyAlignment="1" applyProtection="1">
      <alignment horizontal="right" vertical="center"/>
      <protection locked="0"/>
    </xf>
    <xf numFmtId="169" fontId="11" fillId="0" borderId="24" xfId="4" applyNumberFormat="1" applyFont="1" applyBorder="1" applyAlignment="1" applyProtection="1">
      <alignment horizontal="right" vertical="center"/>
      <protection hidden="1"/>
    </xf>
    <xf numFmtId="169" fontId="11" fillId="0" borderId="29" xfId="4" applyNumberFormat="1" applyFont="1" applyBorder="1" applyAlignment="1" applyProtection="1">
      <alignment horizontal="right" vertical="center"/>
      <protection hidden="1"/>
    </xf>
    <xf numFmtId="170" fontId="11" fillId="0" borderId="24" xfId="4" applyNumberFormat="1" applyFont="1" applyBorder="1" applyAlignment="1" applyProtection="1">
      <alignment horizontal="right" vertical="center"/>
      <protection hidden="1"/>
    </xf>
    <xf numFmtId="170" fontId="11" fillId="0" borderId="29" xfId="4" applyNumberFormat="1" applyFont="1" applyBorder="1" applyAlignment="1" applyProtection="1">
      <alignment horizontal="right" vertical="center"/>
      <protection hidden="1"/>
    </xf>
    <xf numFmtId="170" fontId="11" fillId="0" borderId="25" xfId="4" applyNumberFormat="1" applyFont="1" applyBorder="1" applyAlignment="1" applyProtection="1">
      <alignment horizontal="right" vertical="center"/>
      <protection hidden="1"/>
    </xf>
    <xf numFmtId="0" fontId="11" fillId="0" borderId="9" xfId="4" applyFont="1" applyBorder="1" applyAlignment="1" applyProtection="1">
      <alignment horizontal="left" vertical="center"/>
      <protection hidden="1"/>
    </xf>
    <xf numFmtId="0" fontId="11" fillId="0" borderId="8" xfId="4" applyFont="1" applyBorder="1" applyAlignment="1" applyProtection="1">
      <alignment horizontal="left" vertical="center"/>
      <protection hidden="1"/>
    </xf>
    <xf numFmtId="0" fontId="11" fillId="0" borderId="21" xfId="4" applyFont="1" applyBorder="1" applyAlignment="1" applyProtection="1">
      <alignment horizontal="left" vertical="center"/>
      <protection hidden="1"/>
    </xf>
    <xf numFmtId="0" fontId="11" fillId="0" borderId="0" xfId="4" applyFont="1" applyAlignment="1" applyProtection="1">
      <alignment horizontal="left" vertical="center"/>
      <protection hidden="1"/>
    </xf>
    <xf numFmtId="0" fontId="15" fillId="0" borderId="19" xfId="4" applyFont="1" applyBorder="1" applyAlignment="1" applyProtection="1">
      <alignment horizontal="center" vertical="center"/>
      <protection hidden="1"/>
    </xf>
    <xf numFmtId="0" fontId="15" fillId="0" borderId="13" xfId="4" applyFont="1" applyBorder="1" applyAlignment="1" applyProtection="1">
      <alignment horizontal="center" vertical="center"/>
      <protection hidden="1"/>
    </xf>
    <xf numFmtId="43" fontId="11" fillId="0" borderId="16" xfId="1" applyFont="1" applyFill="1" applyBorder="1" applyAlignment="1" applyProtection="1">
      <alignment horizontal="center" vertical="center"/>
      <protection hidden="1"/>
    </xf>
    <xf numFmtId="169" fontId="11" fillId="0" borderId="16" xfId="4" applyNumberFormat="1" applyFont="1" applyBorder="1" applyAlignment="1" applyProtection="1">
      <alignment horizontal="center" vertical="center"/>
      <protection hidden="1"/>
    </xf>
    <xf numFmtId="171" fontId="11" fillId="0" borderId="19" xfId="4" applyNumberFormat="1" applyFont="1" applyBorder="1" applyAlignment="1" applyProtection="1">
      <alignment vertical="center"/>
      <protection hidden="1"/>
    </xf>
    <xf numFmtId="171" fontId="11" fillId="0" borderId="13" xfId="4" applyNumberFormat="1" applyFont="1" applyBorder="1" applyAlignment="1" applyProtection="1">
      <alignment vertical="center"/>
      <protection hidden="1"/>
    </xf>
    <xf numFmtId="171" fontId="11" fillId="0" borderId="20" xfId="4" applyNumberFormat="1" applyFont="1" applyBorder="1" applyAlignment="1" applyProtection="1">
      <alignment vertical="center"/>
      <protection hidden="1"/>
    </xf>
    <xf numFmtId="0" fontId="11" fillId="0" borderId="16" xfId="4" applyFont="1" applyBorder="1" applyAlignment="1" applyProtection="1">
      <alignment horizontal="left" vertical="center"/>
      <protection locked="0"/>
    </xf>
    <xf numFmtId="164" fontId="11" fillId="0" borderId="19" xfId="1" applyNumberFormat="1" applyFont="1" applyFill="1" applyBorder="1" applyAlignment="1" applyProtection="1">
      <alignment horizontal="center" vertical="center"/>
      <protection locked="0"/>
    </xf>
    <xf numFmtId="164" fontId="11" fillId="0" borderId="13" xfId="1" applyNumberFormat="1" applyFont="1" applyFill="1" applyBorder="1" applyAlignment="1" applyProtection="1">
      <alignment horizontal="center" vertical="center"/>
      <protection locked="0"/>
    </xf>
    <xf numFmtId="164" fontId="11" fillId="0" borderId="20" xfId="1" applyNumberFormat="1" applyFont="1" applyFill="1" applyBorder="1" applyAlignment="1" applyProtection="1">
      <alignment horizontal="center" vertical="center"/>
      <protection locked="0"/>
    </xf>
    <xf numFmtId="169" fontId="11" fillId="0" borderId="19" xfId="4" applyNumberFormat="1" applyFont="1" applyBorder="1" applyAlignment="1" applyProtection="1">
      <alignment horizontal="center" vertical="center"/>
      <protection hidden="1"/>
    </xf>
    <xf numFmtId="169" fontId="11" fillId="0" borderId="13" xfId="4" applyNumberFormat="1" applyFont="1" applyBorder="1" applyAlignment="1" applyProtection="1">
      <alignment horizontal="center" vertical="center"/>
      <protection hidden="1"/>
    </xf>
    <xf numFmtId="170" fontId="11" fillId="0" borderId="19" xfId="4" applyNumberFormat="1" applyFont="1" applyBorder="1" applyAlignment="1" applyProtection="1">
      <alignment horizontal="center" vertical="center"/>
      <protection hidden="1"/>
    </xf>
    <xf numFmtId="170" fontId="11" fillId="0" borderId="13" xfId="4" applyNumberFormat="1" applyFont="1" applyBorder="1" applyAlignment="1" applyProtection="1">
      <alignment horizontal="center" vertical="center"/>
      <protection hidden="1"/>
    </xf>
    <xf numFmtId="170" fontId="11" fillId="0" borderId="20" xfId="4" applyNumberFormat="1" applyFont="1" applyBorder="1" applyAlignment="1" applyProtection="1">
      <alignment horizontal="center" vertical="center"/>
      <protection hidden="1"/>
    </xf>
    <xf numFmtId="43" fontId="15" fillId="0" borderId="0" xfId="11" applyFont="1" applyFill="1" applyBorder="1" applyAlignment="1" applyProtection="1">
      <alignment horizontal="center" vertical="center"/>
      <protection hidden="1"/>
    </xf>
    <xf numFmtId="0" fontId="11" fillId="0" borderId="21" xfId="4" applyFont="1" applyBorder="1" applyAlignment="1" applyProtection="1">
      <alignment horizontal="center" vertical="center"/>
      <protection hidden="1"/>
    </xf>
    <xf numFmtId="171" fontId="11" fillId="0" borderId="27" xfId="4" applyNumberFormat="1" applyFont="1" applyBorder="1" applyAlignment="1" applyProtection="1">
      <alignment vertical="center"/>
      <protection hidden="1"/>
    </xf>
    <xf numFmtId="171" fontId="11" fillId="0" borderId="17" xfId="4" applyNumberFormat="1" applyFont="1" applyBorder="1" applyAlignment="1" applyProtection="1">
      <alignment vertical="center"/>
      <protection hidden="1"/>
    </xf>
    <xf numFmtId="171" fontId="11" fillId="0" borderId="28" xfId="4" applyNumberFormat="1" applyFont="1" applyBorder="1" applyAlignment="1" applyProtection="1">
      <alignment vertical="center"/>
      <protection hidden="1"/>
    </xf>
    <xf numFmtId="0" fontId="11" fillId="0" borderId="19" xfId="4" applyFont="1" applyBorder="1" applyAlignment="1" applyProtection="1">
      <alignment horizontal="center" vertical="center"/>
      <protection hidden="1"/>
    </xf>
    <xf numFmtId="0" fontId="11" fillId="0" borderId="13" xfId="4" applyFont="1" applyBorder="1" applyAlignment="1" applyProtection="1">
      <alignment horizontal="center" vertical="center"/>
      <protection hidden="1"/>
    </xf>
    <xf numFmtId="43" fontId="11" fillId="0" borderId="8" xfId="1" applyFont="1" applyBorder="1" applyAlignment="1" applyProtection="1">
      <alignment horizontal="center" vertical="center"/>
      <protection hidden="1"/>
    </xf>
    <xf numFmtId="0" fontId="11" fillId="0" borderId="27" xfId="4" applyFont="1" applyBorder="1" applyAlignment="1" applyProtection="1">
      <alignment horizontal="center" vertical="center"/>
      <protection hidden="1"/>
    </xf>
    <xf numFmtId="0" fontId="11" fillId="0" borderId="17" xfId="4" applyFont="1" applyBorder="1" applyAlignment="1" applyProtection="1">
      <alignment horizontal="center" vertical="center"/>
      <protection hidden="1"/>
    </xf>
    <xf numFmtId="43" fontId="11" fillId="0" borderId="26" xfId="1" applyFont="1" applyFill="1" applyBorder="1" applyAlignment="1" applyProtection="1">
      <alignment horizontal="center" vertical="center"/>
      <protection hidden="1"/>
    </xf>
    <xf numFmtId="169" fontId="11" fillId="0" borderId="26" xfId="4" applyNumberFormat="1" applyFont="1" applyBorder="1" applyAlignment="1" applyProtection="1">
      <alignment horizontal="center" vertical="center"/>
      <protection hidden="1"/>
    </xf>
    <xf numFmtId="0" fontId="20" fillId="0" borderId="0" xfId="4" applyFont="1" applyAlignment="1">
      <alignment horizontal="left" vertical="center" wrapText="1"/>
    </xf>
    <xf numFmtId="0" fontId="20" fillId="0" borderId="0" xfId="4" quotePrefix="1" applyFont="1" applyAlignment="1">
      <alignment horizontal="left" vertical="center" wrapText="1"/>
    </xf>
    <xf numFmtId="0" fontId="20" fillId="0" borderId="14" xfId="4" applyFont="1" applyBorder="1" applyAlignment="1">
      <alignment horizontal="left" vertical="center"/>
    </xf>
    <xf numFmtId="0" fontId="18" fillId="0" borderId="3" xfId="4" applyFont="1" applyBorder="1" applyAlignment="1">
      <alignment horizontal="center" vertical="center"/>
    </xf>
    <xf numFmtId="0" fontId="20" fillId="0" borderId="11" xfId="1" applyNumberFormat="1" applyFont="1" applyBorder="1" applyAlignment="1">
      <alignment horizontal="center" vertical="center"/>
    </xf>
    <xf numFmtId="0" fontId="20" fillId="0" borderId="12" xfId="1" applyNumberFormat="1" applyFont="1" applyBorder="1" applyAlignment="1">
      <alignment horizontal="center" vertical="center"/>
    </xf>
    <xf numFmtId="0" fontId="20" fillId="0" borderId="14" xfId="4" applyFont="1" applyBorder="1" applyAlignment="1">
      <alignment horizontal="center" vertical="center"/>
    </xf>
    <xf numFmtId="0" fontId="20" fillId="0" borderId="14" xfId="1" applyNumberFormat="1" applyFont="1" applyBorder="1" applyAlignment="1">
      <alignment horizontal="center" vertical="center"/>
    </xf>
    <xf numFmtId="0" fontId="25" fillId="0" borderId="0" xfId="6" applyFont="1" applyAlignment="1">
      <alignment horizontal="left" vertical="center"/>
    </xf>
    <xf numFmtId="0" fontId="20" fillId="0" borderId="0" xfId="6" applyFont="1" applyAlignment="1">
      <alignment horizontal="left" vertical="center"/>
    </xf>
    <xf numFmtId="43" fontId="20" fillId="0" borderId="14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5" fontId="20" fillId="0" borderId="0" xfId="6" applyNumberFormat="1" applyFont="1" applyAlignment="1">
      <alignment horizontal="center" vertical="center"/>
    </xf>
    <xf numFmtId="43" fontId="20" fillId="0" borderId="0" xfId="4" applyNumberFormat="1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43" fontId="20" fillId="0" borderId="0" xfId="0" applyNumberFormat="1" applyFont="1" applyAlignment="1">
      <alignment horizontal="center" vertical="center"/>
    </xf>
    <xf numFmtId="0" fontId="20" fillId="0" borderId="9" xfId="4" applyFont="1" applyBorder="1" applyAlignment="1">
      <alignment horizontal="center" vertical="center"/>
    </xf>
    <xf numFmtId="0" fontId="20" fillId="0" borderId="8" xfId="4" applyFont="1" applyBorder="1" applyAlignment="1">
      <alignment horizontal="center" vertical="center"/>
    </xf>
    <xf numFmtId="0" fontId="20" fillId="0" borderId="10" xfId="4" applyFont="1" applyBorder="1" applyAlignment="1">
      <alignment horizontal="center" vertical="center"/>
    </xf>
    <xf numFmtId="0" fontId="20" fillId="0" borderId="2" xfId="4" applyFont="1" applyBorder="1" applyAlignment="1">
      <alignment horizontal="center" vertical="center"/>
    </xf>
    <xf numFmtId="0" fontId="20" fillId="0" borderId="3" xfId="4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/>
    </xf>
    <xf numFmtId="0" fontId="20" fillId="0" borderId="11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20" fillId="0" borderId="12" xfId="4" applyFont="1" applyBorder="1" applyAlignment="1">
      <alignment horizontal="center" vertical="center"/>
    </xf>
  </cellXfs>
  <cellStyles count="15">
    <cellStyle name="Comma 6" xfId="10" xr:uid="{00000000-0005-0000-0000-000000000000}"/>
    <cellStyle name="Comma 6 2" xfId="14" xr:uid="{00000000-0005-0000-0000-000001000000}"/>
    <cellStyle name="Normal 2" xfId="7" xr:uid="{00000000-0005-0000-0000-000002000000}"/>
    <cellStyle name="Normal 5" xfId="8" xr:uid="{00000000-0005-0000-0000-000003000000}"/>
    <cellStyle name="เครื่องหมายจุลภาค 2" xfId="11" xr:uid="{00000000-0005-0000-0000-000005000000}"/>
    <cellStyle name="เครื่องหมายจุลภาค 4" xfId="2" xr:uid="{00000000-0005-0000-0000-000006000000}"/>
    <cellStyle name="เครื่องหมายจุลภาค 5" xfId="3" xr:uid="{00000000-0005-0000-0000-000007000000}"/>
    <cellStyle name="เครื่องหมายจุลภาค 5 2" xfId="12" xr:uid="{00000000-0005-0000-0000-000008000000}"/>
    <cellStyle name="จุลภาค" xfId="1" builtinId="3"/>
    <cellStyle name="ปกติ" xfId="0" builtinId="0"/>
    <cellStyle name="ปกติ 2" xfId="4" xr:uid="{00000000-0005-0000-0000-00000A000000}"/>
    <cellStyle name="ปกติ 3" xfId="5" xr:uid="{00000000-0005-0000-0000-00000B000000}"/>
    <cellStyle name="ปกติ 3 2" xfId="9" xr:uid="{00000000-0005-0000-0000-00000C000000}"/>
    <cellStyle name="ปกติ 3 3" xfId="13" xr:uid="{00000000-0005-0000-0000-00000D000000}"/>
    <cellStyle name="ปกติ_BOQ-BANG-NGA 2" xfId="6" xr:uid="{00000000-0005-0000-0000-00000E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570443</xdr:colOff>
      <xdr:row>52</xdr:row>
      <xdr:rowOff>66676</xdr:rowOff>
    </xdr:from>
    <xdr:to>
      <xdr:col>9</xdr:col>
      <xdr:colOff>796926</xdr:colOff>
      <xdr:row>56</xdr:row>
      <xdr:rowOff>185738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82631BFF-0C7B-4D54-B7C2-70C8232124BF}"/>
            </a:ext>
          </a:extLst>
        </xdr:cNvPr>
        <xdr:cNvSpPr txBox="1"/>
      </xdr:nvSpPr>
      <xdr:spPr>
        <a:xfrm>
          <a:off x="5656793" y="10220326"/>
          <a:ext cx="1655233" cy="8810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179918</xdr:colOff>
      <xdr:row>41</xdr:row>
      <xdr:rowOff>31751</xdr:rowOff>
    </xdr:from>
    <xdr:to>
      <xdr:col>21</xdr:col>
      <xdr:colOff>323850</xdr:colOff>
      <xdr:row>45</xdr:row>
      <xdr:rowOff>86255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26178BA5-5D04-4456-AF0A-277AD41D8F4E}"/>
            </a:ext>
          </a:extLst>
        </xdr:cNvPr>
        <xdr:cNvSpPr txBox="1"/>
      </xdr:nvSpPr>
      <xdr:spPr>
        <a:xfrm>
          <a:off x="5228168" y="9264651"/>
          <a:ext cx="1813982" cy="8165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sus" id="{F8209F15-B864-496C-9B45-C3B47F96B213}" userId="Asus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31" dT="2024-11-25T12:44:33.76" personId="{F8209F15-B864-496C-9B45-C3B47F96B213}" id="{5EAF6849-B2DB-45AA-B85A-6C4C90789150}">
    <text>ค่าดำเนินการน้ำมัน 32.00-32.99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zoomScale="200" zoomScaleNormal="200" workbookViewId="0">
      <selection activeCell="B14" sqref="B14:C14"/>
    </sheetView>
  </sheetViews>
  <sheetFormatPr defaultRowHeight="15.75" customHeight="1" x14ac:dyDescent="0.5"/>
  <cols>
    <col min="1" max="1" width="7.28515625" style="2" customWidth="1"/>
    <col min="2" max="2" width="11.7109375" style="2" customWidth="1"/>
    <col min="3" max="3" width="18.140625" style="2" customWidth="1"/>
    <col min="4" max="4" width="6.7109375" style="2" customWidth="1"/>
    <col min="5" max="5" width="8.85546875" style="7" customWidth="1"/>
    <col min="6" max="6" width="12.140625" style="7" customWidth="1"/>
    <col min="7" max="7" width="11.42578125" style="7" customWidth="1"/>
    <col min="8" max="8" width="9.28515625" style="7" customWidth="1"/>
    <col min="9" max="10" width="12.140625" style="2" customWidth="1"/>
    <col min="11" max="16384" width="9.140625" style="2"/>
  </cols>
  <sheetData>
    <row r="1" spans="1:12" ht="19.5" customHeight="1" x14ac:dyDescent="0.5">
      <c r="A1" s="158" t="s">
        <v>240</v>
      </c>
      <c r="B1" s="158"/>
      <c r="C1" s="158"/>
      <c r="D1" s="158"/>
      <c r="E1" s="158"/>
      <c r="F1" s="158"/>
      <c r="G1" s="158"/>
      <c r="H1" s="158"/>
      <c r="I1" s="158"/>
      <c r="J1" s="1" t="s">
        <v>196</v>
      </c>
    </row>
    <row r="2" spans="1:12" ht="15" customHeight="1" x14ac:dyDescent="0.5">
      <c r="A2" s="3" t="s">
        <v>232</v>
      </c>
      <c r="C2" s="4" t="s">
        <v>305</v>
      </c>
      <c r="D2" s="5"/>
      <c r="E2" s="5"/>
      <c r="F2" s="5"/>
      <c r="G2" s="5"/>
      <c r="H2" s="5"/>
      <c r="I2" s="4"/>
      <c r="K2" s="5"/>
      <c r="L2" s="6"/>
    </row>
    <row r="3" spans="1:12" ht="15" customHeight="1" x14ac:dyDescent="0.5">
      <c r="A3" s="3"/>
      <c r="C3" s="4" t="s">
        <v>306</v>
      </c>
      <c r="D3" s="5"/>
      <c r="E3" s="5"/>
      <c r="F3" s="5"/>
      <c r="G3" s="5"/>
      <c r="H3" s="5"/>
      <c r="I3" s="4"/>
      <c r="K3" s="5"/>
      <c r="L3" s="6"/>
    </row>
    <row r="4" spans="1:12" ht="15" customHeight="1" x14ac:dyDescent="0.5">
      <c r="A4" s="3" t="s">
        <v>173</v>
      </c>
      <c r="C4" s="4" t="s">
        <v>277</v>
      </c>
      <c r="D4" s="5"/>
      <c r="E4" s="5"/>
      <c r="F4" s="5"/>
      <c r="G4" s="5"/>
      <c r="H4" s="5"/>
      <c r="I4" s="4"/>
      <c r="K4" s="5"/>
      <c r="L4" s="6"/>
    </row>
    <row r="5" spans="1:12" ht="15" customHeight="1" x14ac:dyDescent="0.5">
      <c r="A5" s="3" t="s">
        <v>184</v>
      </c>
      <c r="C5" s="4" t="s">
        <v>307</v>
      </c>
      <c r="D5" s="5"/>
      <c r="E5" s="5"/>
      <c r="F5" s="5"/>
      <c r="G5" s="5"/>
      <c r="H5" s="5"/>
      <c r="I5" s="4"/>
      <c r="K5" s="5"/>
      <c r="L5" s="6"/>
    </row>
    <row r="6" spans="1:12" ht="15" customHeight="1" x14ac:dyDescent="0.5">
      <c r="A6" s="7"/>
      <c r="C6" s="4" t="s">
        <v>302</v>
      </c>
      <c r="D6" s="5"/>
      <c r="E6" s="5"/>
      <c r="F6" s="5"/>
      <c r="G6" s="5"/>
      <c r="H6" s="5"/>
      <c r="I6" s="4"/>
      <c r="K6" s="5"/>
      <c r="L6" s="6"/>
    </row>
    <row r="7" spans="1:12" ht="15" customHeight="1" x14ac:dyDescent="0.5">
      <c r="A7" s="8" t="s">
        <v>233</v>
      </c>
      <c r="B7" s="9"/>
      <c r="C7" s="165" t="s">
        <v>279</v>
      </c>
      <c r="D7" s="165"/>
      <c r="E7" s="165"/>
      <c r="F7" s="165"/>
      <c r="G7" s="165"/>
      <c r="H7" s="165"/>
      <c r="I7" s="165"/>
      <c r="J7" s="165"/>
      <c r="K7" s="165"/>
    </row>
    <row r="8" spans="1:12" ht="15" customHeight="1" x14ac:dyDescent="0.5">
      <c r="A8" s="3" t="s">
        <v>29</v>
      </c>
      <c r="C8" s="7" t="s">
        <v>278</v>
      </c>
      <c r="G8" s="4"/>
    </row>
    <row r="9" spans="1:12" ht="15" customHeight="1" x14ac:dyDescent="0.5">
      <c r="A9" s="3" t="s">
        <v>241</v>
      </c>
      <c r="C9" s="7"/>
      <c r="G9" s="4"/>
    </row>
    <row r="10" spans="1:12" ht="15" customHeight="1" x14ac:dyDescent="0.5">
      <c r="A10" s="10" t="s">
        <v>4</v>
      </c>
      <c r="B10" s="154" t="s">
        <v>43</v>
      </c>
      <c r="C10" s="156"/>
      <c r="D10" s="10" t="s">
        <v>1</v>
      </c>
      <c r="E10" s="11" t="s">
        <v>184</v>
      </c>
      <c r="F10" s="11" t="s">
        <v>5</v>
      </c>
      <c r="G10" s="12" t="s">
        <v>238</v>
      </c>
      <c r="H10" s="11" t="s">
        <v>178</v>
      </c>
      <c r="I10" s="13" t="s">
        <v>239</v>
      </c>
      <c r="J10" s="10" t="s">
        <v>237</v>
      </c>
    </row>
    <row r="11" spans="1:12" ht="15" customHeight="1" x14ac:dyDescent="0.5">
      <c r="A11" s="14"/>
      <c r="B11" s="15" t="s">
        <v>180</v>
      </c>
      <c r="C11" s="16"/>
      <c r="D11" s="14"/>
      <c r="E11" s="17"/>
      <c r="F11" s="17"/>
      <c r="G11" s="18"/>
      <c r="H11" s="17"/>
      <c r="I11" s="19"/>
      <c r="J11" s="14"/>
    </row>
    <row r="12" spans="1:12" ht="15" customHeight="1" x14ac:dyDescent="0.5">
      <c r="A12" s="20">
        <v>1</v>
      </c>
      <c r="B12" s="159" t="s">
        <v>153</v>
      </c>
      <c r="C12" s="160"/>
      <c r="D12" s="21"/>
      <c r="E12" s="22"/>
      <c r="F12" s="22"/>
      <c r="G12" s="22"/>
      <c r="H12" s="22"/>
      <c r="I12" s="21"/>
      <c r="J12" s="21"/>
    </row>
    <row r="13" spans="1:12" ht="15" customHeight="1" x14ac:dyDescent="0.5">
      <c r="A13" s="20"/>
      <c r="B13" s="161" t="s">
        <v>262</v>
      </c>
      <c r="C13" s="162"/>
      <c r="D13" s="20" t="s">
        <v>3</v>
      </c>
      <c r="E13" s="22">
        <f>4*320</f>
        <v>1280</v>
      </c>
      <c r="F13" s="22">
        <f>+ค่างานต้นทุนต่อหน่วย!J133</f>
        <v>326</v>
      </c>
      <c r="G13" s="22">
        <f>+F13*E13</f>
        <v>417280</v>
      </c>
      <c r="H13" s="23">
        <v>1.3642000000000001</v>
      </c>
      <c r="I13" s="24">
        <f>+H13*F13</f>
        <v>444.72920000000005</v>
      </c>
      <c r="J13" s="24">
        <f>+G13*H13</f>
        <v>569253.37600000005</v>
      </c>
    </row>
    <row r="14" spans="1:12" ht="15" customHeight="1" x14ac:dyDescent="0.5">
      <c r="A14" s="20">
        <v>2</v>
      </c>
      <c r="B14" s="159" t="s">
        <v>154</v>
      </c>
      <c r="C14" s="160"/>
      <c r="D14" s="21"/>
      <c r="E14" s="22"/>
      <c r="F14" s="22"/>
      <c r="G14" s="22">
        <f t="shared" ref="G14:G16" si="0">+F14*E14</f>
        <v>0</v>
      </c>
      <c r="H14" s="23">
        <v>0</v>
      </c>
      <c r="I14" s="24">
        <f t="shared" ref="I14:I16" si="1">+H14*F14</f>
        <v>0</v>
      </c>
      <c r="J14" s="24">
        <f t="shared" ref="J14:J16" si="2">+G14*H14</f>
        <v>0</v>
      </c>
    </row>
    <row r="15" spans="1:12" ht="15" customHeight="1" x14ac:dyDescent="0.5">
      <c r="A15" s="20"/>
      <c r="B15" s="161" t="s">
        <v>269</v>
      </c>
      <c r="C15" s="162"/>
      <c r="D15" s="20" t="s">
        <v>3</v>
      </c>
      <c r="E15" s="22">
        <f>+(4+0.4)*321</f>
        <v>1412.4</v>
      </c>
      <c r="F15" s="22">
        <f>+ค่างานต้นทุนต่อหน่วย!I107</f>
        <v>18</v>
      </c>
      <c r="G15" s="22">
        <f t="shared" si="0"/>
        <v>25423.200000000001</v>
      </c>
      <c r="H15" s="23">
        <v>1.3642000000000001</v>
      </c>
      <c r="I15" s="24">
        <f t="shared" si="1"/>
        <v>24.555600000000002</v>
      </c>
      <c r="J15" s="24">
        <f>+G15*H15</f>
        <v>34682.329440000001</v>
      </c>
    </row>
    <row r="16" spans="1:12" ht="15" customHeight="1" x14ac:dyDescent="0.5">
      <c r="A16" s="20">
        <v>3</v>
      </c>
      <c r="B16" s="159" t="s">
        <v>112</v>
      </c>
      <c r="C16" s="160"/>
      <c r="D16" s="21"/>
      <c r="E16" s="22"/>
      <c r="F16" s="22"/>
      <c r="G16" s="22">
        <f t="shared" si="0"/>
        <v>0</v>
      </c>
      <c r="H16" s="23">
        <v>0</v>
      </c>
      <c r="I16" s="24">
        <f t="shared" si="1"/>
        <v>0</v>
      </c>
      <c r="J16" s="24">
        <f t="shared" si="2"/>
        <v>0</v>
      </c>
    </row>
    <row r="17" spans="1:10" ht="15" customHeight="1" x14ac:dyDescent="0.5">
      <c r="A17" s="20"/>
      <c r="B17" s="161" t="s">
        <v>155</v>
      </c>
      <c r="C17" s="162"/>
      <c r="D17" s="20" t="s">
        <v>3</v>
      </c>
      <c r="E17" s="22">
        <f>320*0.1*3</f>
        <v>96</v>
      </c>
      <c r="F17" s="22">
        <f>+ค่างานต้นทุนต่อหน่วย!H142</f>
        <v>280</v>
      </c>
      <c r="G17" s="22">
        <f t="shared" ref="G17" si="3">+F17*E17</f>
        <v>26880</v>
      </c>
      <c r="H17" s="23">
        <v>1.3642000000000001</v>
      </c>
      <c r="I17" s="24">
        <f t="shared" ref="I17" si="4">+H17*F17</f>
        <v>381.976</v>
      </c>
      <c r="J17" s="24">
        <f>+G17*H17</f>
        <v>36669.696000000004</v>
      </c>
    </row>
    <row r="18" spans="1:10" ht="15" customHeight="1" x14ac:dyDescent="0.5">
      <c r="A18" s="25"/>
      <c r="B18" s="163" t="s">
        <v>243</v>
      </c>
      <c r="C18" s="164"/>
      <c r="D18" s="25"/>
      <c r="E18" s="26"/>
      <c r="F18" s="26"/>
      <c r="G18" s="26">
        <f>SUM(G13:G17)</f>
        <v>469583.2</v>
      </c>
      <c r="H18" s="27"/>
      <c r="I18" s="28"/>
      <c r="J18" s="28">
        <f>SUM(J13:J17)</f>
        <v>640605.40144000005</v>
      </c>
    </row>
    <row r="19" spans="1:10" ht="15" customHeight="1" thickBot="1" x14ac:dyDescent="0.55000000000000004">
      <c r="B19" s="2" t="s">
        <v>304</v>
      </c>
      <c r="G19" s="29"/>
      <c r="I19" s="30" t="s">
        <v>244</v>
      </c>
      <c r="J19" s="31">
        <f>+ROUNDDOWN(J18,-3)</f>
        <v>640000</v>
      </c>
    </row>
    <row r="20" spans="1:10" ht="15" customHeight="1" thickTop="1" x14ac:dyDescent="0.5">
      <c r="G20" s="29"/>
      <c r="J20" s="32"/>
    </row>
    <row r="21" spans="1:10" ht="15" customHeight="1" x14ac:dyDescent="0.5">
      <c r="B21" s="33" t="s">
        <v>156</v>
      </c>
      <c r="F21" s="3">
        <f>+ROUNDDOWN(J19,-3)</f>
        <v>640000</v>
      </c>
      <c r="G21" s="7" t="s">
        <v>15</v>
      </c>
      <c r="H21" s="33" t="str">
        <f>+BAHTTEXT(F21)</f>
        <v>หกแสนสี่หมื่นบาทถ้วน</v>
      </c>
    </row>
    <row r="22" spans="1:10" ht="15" customHeight="1" x14ac:dyDescent="0.5">
      <c r="B22" s="33" t="s">
        <v>157</v>
      </c>
      <c r="F22" s="3">
        <v>60</v>
      </c>
      <c r="G22" s="7" t="s">
        <v>49</v>
      </c>
    </row>
    <row r="23" spans="1:10" ht="15" customHeight="1" x14ac:dyDescent="0.5">
      <c r="B23" s="33" t="s">
        <v>158</v>
      </c>
      <c r="F23" s="3">
        <f>+F21/E13</f>
        <v>500</v>
      </c>
      <c r="G23" s="7" t="s">
        <v>159</v>
      </c>
    </row>
    <row r="24" spans="1:10" ht="15" customHeight="1" x14ac:dyDescent="0.5">
      <c r="B24" s="2" t="s">
        <v>182</v>
      </c>
      <c r="G24" s="2" t="s">
        <v>181</v>
      </c>
    </row>
    <row r="25" spans="1:10" ht="15" customHeight="1" x14ac:dyDescent="0.5">
      <c r="B25" s="2" t="s">
        <v>183</v>
      </c>
      <c r="G25" s="157" t="s">
        <v>160</v>
      </c>
      <c r="H25" s="157"/>
      <c r="I25" s="157"/>
      <c r="J25" s="157"/>
    </row>
    <row r="26" spans="1:10" ht="15" customHeight="1" x14ac:dyDescent="0.5">
      <c r="A26" s="34">
        <v>1</v>
      </c>
      <c r="B26" s="2" t="s">
        <v>242</v>
      </c>
      <c r="H26" s="35" t="s">
        <v>91</v>
      </c>
      <c r="I26" s="36">
        <f>+G19</f>
        <v>0</v>
      </c>
    </row>
    <row r="27" spans="1:10" ht="15" customHeight="1" x14ac:dyDescent="0.5">
      <c r="A27" s="34">
        <v>2</v>
      </c>
      <c r="B27" s="2" t="s">
        <v>161</v>
      </c>
      <c r="H27" s="35" t="s">
        <v>91</v>
      </c>
      <c r="I27" s="36">
        <v>0</v>
      </c>
    </row>
    <row r="28" spans="1:10" ht="15" customHeight="1" x14ac:dyDescent="0.5">
      <c r="A28" s="34">
        <v>3</v>
      </c>
      <c r="B28" s="2" t="s">
        <v>37</v>
      </c>
      <c r="H28" s="35" t="s">
        <v>91</v>
      </c>
      <c r="I28" s="36">
        <v>0</v>
      </c>
    </row>
    <row r="29" spans="1:10" ht="15" customHeight="1" x14ac:dyDescent="0.5">
      <c r="A29" s="34">
        <v>4</v>
      </c>
      <c r="B29" s="2" t="s">
        <v>162</v>
      </c>
      <c r="H29" s="35" t="s">
        <v>91</v>
      </c>
      <c r="I29" s="37">
        <v>1.3642000000000001</v>
      </c>
    </row>
    <row r="30" spans="1:10" ht="15" customHeight="1" x14ac:dyDescent="0.5">
      <c r="A30" s="34">
        <v>5</v>
      </c>
      <c r="B30" s="2" t="s">
        <v>163</v>
      </c>
      <c r="H30" s="35" t="s">
        <v>91</v>
      </c>
      <c r="I30" s="36">
        <v>0</v>
      </c>
    </row>
    <row r="31" spans="1:10" ht="15" customHeight="1" x14ac:dyDescent="0.5">
      <c r="A31" s="34">
        <v>6</v>
      </c>
      <c r="B31" s="2" t="s">
        <v>164</v>
      </c>
      <c r="E31" s="7" t="s">
        <v>165</v>
      </c>
      <c r="H31" s="35" t="s">
        <v>91</v>
      </c>
      <c r="I31" s="36">
        <v>0</v>
      </c>
    </row>
    <row r="32" spans="1:10" ht="15" customHeight="1" x14ac:dyDescent="0.5">
      <c r="A32" s="34">
        <v>7</v>
      </c>
      <c r="B32" s="2" t="s">
        <v>166</v>
      </c>
      <c r="H32" s="35" t="s">
        <v>91</v>
      </c>
      <c r="I32" s="36">
        <v>0</v>
      </c>
    </row>
    <row r="33" spans="1:12" ht="15" customHeight="1" x14ac:dyDescent="0.5">
      <c r="A33" s="34">
        <v>8</v>
      </c>
      <c r="B33" s="2" t="s">
        <v>167</v>
      </c>
      <c r="H33" s="35" t="s">
        <v>91</v>
      </c>
      <c r="I33" s="38">
        <v>0</v>
      </c>
    </row>
    <row r="34" spans="1:12" ht="15" customHeight="1" x14ac:dyDescent="0.5">
      <c r="A34" s="154" t="s">
        <v>245</v>
      </c>
      <c r="B34" s="155"/>
      <c r="C34" s="156"/>
      <c r="D34" s="154" t="str">
        <f>+BAHTTEXT(J34)</f>
        <v>หกแสนสี่หมื่นบาทถ้วน</v>
      </c>
      <c r="E34" s="155"/>
      <c r="F34" s="155"/>
      <c r="G34" s="155"/>
      <c r="H34" s="155"/>
      <c r="I34" s="156"/>
      <c r="J34" s="39">
        <f>+F21</f>
        <v>640000</v>
      </c>
    </row>
    <row r="35" spans="1:12" ht="15" customHeight="1" x14ac:dyDescent="0.5">
      <c r="A35" s="40"/>
      <c r="B35" s="33" t="s">
        <v>246</v>
      </c>
      <c r="C35" s="41">
        <f>+E13</f>
        <v>1280</v>
      </c>
      <c r="D35" s="2" t="s">
        <v>3</v>
      </c>
    </row>
    <row r="36" spans="1:12" ht="15" customHeight="1" x14ac:dyDescent="0.5">
      <c r="B36" s="33" t="s">
        <v>247</v>
      </c>
      <c r="C36" s="41">
        <f>+J34/C35</f>
        <v>500</v>
      </c>
      <c r="D36" s="2" t="s">
        <v>16</v>
      </c>
    </row>
    <row r="37" spans="1:12" ht="15" customHeight="1" x14ac:dyDescent="0.5">
      <c r="A37" s="42"/>
      <c r="B37" s="43"/>
      <c r="C37" s="42"/>
      <c r="D37" s="42"/>
      <c r="E37" s="42"/>
      <c r="F37" s="42"/>
      <c r="G37" s="44"/>
      <c r="H37" s="44"/>
      <c r="I37" s="42"/>
      <c r="J37" s="42"/>
      <c r="K37" s="42"/>
      <c r="L37" s="42"/>
    </row>
    <row r="38" spans="1:12" ht="15" customHeight="1" x14ac:dyDescent="0.5">
      <c r="A38" s="42"/>
      <c r="B38" s="43"/>
      <c r="C38" s="42"/>
      <c r="D38" s="42" t="s">
        <v>168</v>
      </c>
      <c r="E38" s="42"/>
      <c r="F38" s="42"/>
      <c r="G38" s="42" t="s">
        <v>280</v>
      </c>
      <c r="H38" s="42"/>
      <c r="J38" s="42"/>
      <c r="K38" s="42"/>
      <c r="L38" s="42"/>
    </row>
    <row r="39" spans="1:12" ht="15" customHeight="1" x14ac:dyDescent="0.5">
      <c r="A39" s="42"/>
      <c r="B39" s="43"/>
      <c r="C39" s="42"/>
      <c r="D39" s="42" t="s">
        <v>281</v>
      </c>
      <c r="E39" s="42"/>
      <c r="F39" s="42"/>
      <c r="G39" s="42"/>
      <c r="H39" s="42"/>
      <c r="J39" s="42"/>
      <c r="K39" s="42"/>
      <c r="L39" s="42"/>
    </row>
    <row r="40" spans="1:12" ht="15" customHeight="1" x14ac:dyDescent="0.5">
      <c r="A40" s="42"/>
      <c r="B40" s="43"/>
      <c r="C40" s="42"/>
      <c r="D40" s="42" t="s">
        <v>282</v>
      </c>
      <c r="E40" s="42"/>
      <c r="F40" s="42"/>
      <c r="G40" s="42"/>
      <c r="H40" s="42"/>
      <c r="J40" s="42"/>
      <c r="K40" s="42"/>
      <c r="L40" s="42"/>
    </row>
    <row r="41" spans="1:12" ht="15" customHeight="1" x14ac:dyDescent="0.5">
      <c r="A41" s="42"/>
      <c r="B41" s="43"/>
      <c r="C41" s="42"/>
      <c r="D41" s="42"/>
      <c r="E41" s="42"/>
      <c r="F41" s="42"/>
      <c r="G41" s="42"/>
      <c r="H41" s="42"/>
      <c r="J41" s="42"/>
      <c r="K41" s="42"/>
      <c r="L41" s="42"/>
    </row>
    <row r="42" spans="1:12" ht="15" customHeight="1" x14ac:dyDescent="0.5">
      <c r="A42" s="42"/>
      <c r="B42" s="43"/>
      <c r="C42" s="42"/>
      <c r="D42" s="42" t="s">
        <v>168</v>
      </c>
      <c r="E42" s="42"/>
      <c r="F42" s="42"/>
      <c r="G42" s="42" t="s">
        <v>283</v>
      </c>
      <c r="H42" s="42"/>
      <c r="J42" s="42"/>
      <c r="K42" s="42"/>
      <c r="L42" s="42"/>
    </row>
    <row r="43" spans="1:12" ht="15" customHeight="1" x14ac:dyDescent="0.5">
      <c r="A43" s="42"/>
      <c r="B43" s="43"/>
      <c r="C43" s="42"/>
      <c r="D43" s="42" t="s">
        <v>288</v>
      </c>
      <c r="E43" s="42"/>
      <c r="F43" s="42"/>
      <c r="G43" s="42"/>
      <c r="H43" s="42"/>
      <c r="J43" s="42"/>
      <c r="K43" s="42"/>
      <c r="L43" s="42"/>
    </row>
    <row r="44" spans="1:12" ht="15" customHeight="1" x14ac:dyDescent="0.5">
      <c r="A44" s="42"/>
      <c r="B44" s="43"/>
      <c r="C44" s="42"/>
      <c r="D44" s="42" t="s">
        <v>289</v>
      </c>
      <c r="E44" s="42"/>
      <c r="F44" s="42"/>
      <c r="G44" s="42"/>
      <c r="H44" s="42"/>
      <c r="J44" s="42"/>
      <c r="K44" s="42"/>
      <c r="L44" s="42"/>
    </row>
    <row r="45" spans="1:12" ht="15" customHeight="1" x14ac:dyDescent="0.5">
      <c r="A45" s="42"/>
      <c r="B45" s="43"/>
      <c r="C45" s="42"/>
      <c r="D45" s="42"/>
      <c r="E45" s="42"/>
      <c r="F45" s="42"/>
      <c r="G45" s="42"/>
      <c r="H45" s="42"/>
      <c r="J45" s="42"/>
      <c r="K45" s="42"/>
      <c r="L45" s="42"/>
    </row>
    <row r="46" spans="1:12" ht="15" customHeight="1" x14ac:dyDescent="0.5">
      <c r="A46" s="42"/>
      <c r="B46" s="43"/>
      <c r="C46" s="42"/>
      <c r="D46" s="42" t="s">
        <v>168</v>
      </c>
      <c r="E46" s="42"/>
      <c r="F46" s="42"/>
      <c r="G46" s="42" t="s">
        <v>284</v>
      </c>
      <c r="H46" s="42"/>
      <c r="J46" s="42"/>
      <c r="K46" s="42"/>
      <c r="L46" s="42"/>
    </row>
    <row r="47" spans="1:12" ht="15" customHeight="1" x14ac:dyDescent="0.5">
      <c r="A47" s="42"/>
      <c r="B47" s="43"/>
      <c r="C47" s="42"/>
      <c r="D47" s="42" t="s">
        <v>290</v>
      </c>
      <c r="E47" s="42"/>
      <c r="F47" s="42"/>
      <c r="G47" s="42"/>
      <c r="H47" s="42"/>
      <c r="J47" s="42"/>
      <c r="K47" s="42"/>
      <c r="L47" s="42"/>
    </row>
    <row r="48" spans="1:12" ht="15" customHeight="1" x14ac:dyDescent="0.5">
      <c r="A48" s="42"/>
      <c r="B48" s="43"/>
      <c r="C48" s="42"/>
      <c r="D48" s="42" t="s">
        <v>291</v>
      </c>
      <c r="E48" s="42"/>
      <c r="F48" s="42"/>
      <c r="G48" s="42"/>
      <c r="H48" s="42"/>
      <c r="J48" s="42"/>
      <c r="K48" s="42"/>
      <c r="L48" s="42"/>
    </row>
    <row r="49" spans="1:12" ht="15" customHeight="1" x14ac:dyDescent="0.5">
      <c r="A49" s="42"/>
      <c r="B49" s="43"/>
      <c r="C49" s="42"/>
      <c r="D49" s="42" t="s">
        <v>195</v>
      </c>
      <c r="E49" s="42"/>
      <c r="F49" s="42"/>
      <c r="G49" s="42"/>
      <c r="H49" s="42"/>
      <c r="J49" s="42"/>
      <c r="K49" s="42"/>
      <c r="L49" s="42"/>
    </row>
    <row r="50" spans="1:12" ht="15" customHeight="1" x14ac:dyDescent="0.5">
      <c r="A50" s="42"/>
      <c r="B50" s="43"/>
      <c r="C50" s="42"/>
      <c r="D50" s="42"/>
      <c r="E50" s="42"/>
      <c r="F50" s="42"/>
      <c r="G50" s="42"/>
      <c r="H50" s="42"/>
      <c r="J50" s="42"/>
      <c r="K50" s="42"/>
      <c r="L50" s="42"/>
    </row>
    <row r="51" spans="1:12" ht="15" customHeight="1" x14ac:dyDescent="0.5">
      <c r="A51" s="42"/>
      <c r="B51" s="43"/>
      <c r="C51" s="42"/>
      <c r="D51" s="42" t="s">
        <v>168</v>
      </c>
      <c r="E51" s="42"/>
      <c r="F51" s="42"/>
      <c r="G51" s="42" t="s">
        <v>285</v>
      </c>
      <c r="H51" s="42"/>
      <c r="J51" s="42"/>
      <c r="K51" s="42"/>
      <c r="L51" s="42"/>
    </row>
    <row r="52" spans="1:12" ht="15" customHeight="1" x14ac:dyDescent="0.5">
      <c r="A52" s="42"/>
      <c r="B52" s="43"/>
      <c r="C52" s="42"/>
      <c r="D52" s="42" t="s">
        <v>290</v>
      </c>
      <c r="E52" s="42"/>
      <c r="F52" s="42"/>
      <c r="G52" s="42"/>
      <c r="H52" s="42"/>
      <c r="J52" s="42"/>
      <c r="K52" s="42"/>
      <c r="L52" s="42"/>
    </row>
    <row r="53" spans="1:12" ht="15" customHeight="1" x14ac:dyDescent="0.5">
      <c r="A53" s="42"/>
      <c r="B53" s="43"/>
      <c r="C53" s="42"/>
      <c r="D53" s="42" t="s">
        <v>292</v>
      </c>
      <c r="E53" s="42"/>
      <c r="F53" s="42"/>
      <c r="G53" s="42"/>
      <c r="H53" s="42"/>
      <c r="J53" s="42"/>
      <c r="K53" s="42"/>
      <c r="L53" s="42"/>
    </row>
    <row r="54" spans="1:12" ht="15" customHeight="1" x14ac:dyDescent="0.5">
      <c r="A54" s="42"/>
      <c r="B54" s="43"/>
      <c r="C54" s="42"/>
      <c r="D54" s="42"/>
      <c r="E54" s="42"/>
      <c r="F54" s="42"/>
      <c r="G54" s="42"/>
      <c r="H54" s="42"/>
      <c r="J54" s="42"/>
      <c r="K54" s="42"/>
      <c r="L54" s="42"/>
    </row>
    <row r="55" spans="1:12" ht="15" customHeight="1" x14ac:dyDescent="0.5">
      <c r="A55" s="42"/>
      <c r="B55" s="43"/>
      <c r="C55" s="42"/>
      <c r="D55" s="42" t="s">
        <v>168</v>
      </c>
      <c r="E55" s="42"/>
      <c r="F55" s="42"/>
      <c r="G55" s="42" t="s">
        <v>303</v>
      </c>
      <c r="H55" s="42"/>
      <c r="J55" s="42"/>
      <c r="K55" s="42"/>
      <c r="L55" s="42"/>
    </row>
    <row r="56" spans="1:12" ht="15" customHeight="1" x14ac:dyDescent="0.5">
      <c r="A56" s="42"/>
      <c r="B56" s="43"/>
      <c r="C56" s="42"/>
      <c r="D56" s="42" t="s">
        <v>293</v>
      </c>
      <c r="E56" s="42"/>
      <c r="F56" s="42"/>
      <c r="G56" s="42"/>
      <c r="H56" s="42"/>
      <c r="J56" s="42"/>
      <c r="K56" s="42"/>
      <c r="L56" s="42"/>
    </row>
    <row r="57" spans="1:12" ht="15" customHeight="1" x14ac:dyDescent="0.5">
      <c r="A57" s="42"/>
      <c r="B57" s="43"/>
      <c r="C57" s="42"/>
      <c r="D57" s="42" t="s">
        <v>294</v>
      </c>
      <c r="E57" s="42"/>
      <c r="F57" s="42"/>
      <c r="G57" s="42"/>
      <c r="H57" s="42"/>
      <c r="J57" s="42"/>
      <c r="K57" s="42"/>
      <c r="L57" s="42"/>
    </row>
    <row r="58" spans="1:12" ht="15" customHeight="1" x14ac:dyDescent="0.5"/>
    <row r="59" spans="1:12" ht="15" customHeight="1" x14ac:dyDescent="0.5"/>
    <row r="60" spans="1:12" ht="15" customHeight="1" x14ac:dyDescent="0.5"/>
  </sheetData>
  <mergeCells count="13">
    <mergeCell ref="A34:C34"/>
    <mergeCell ref="D34:I34"/>
    <mergeCell ref="G25:J25"/>
    <mergeCell ref="A1:I1"/>
    <mergeCell ref="B10:C10"/>
    <mergeCell ref="B12:C12"/>
    <mergeCell ref="B13:C13"/>
    <mergeCell ref="B14:C14"/>
    <mergeCell ref="B15:C15"/>
    <mergeCell ref="B16:C16"/>
    <mergeCell ref="B17:C17"/>
    <mergeCell ref="B18:C18"/>
    <mergeCell ref="C7:K7"/>
  </mergeCells>
  <phoneticPr fontId="8" type="noConversion"/>
  <pageMargins left="0.19685039370078741" right="3.937007874015748E-2" top="0.15748031496062992" bottom="7.874015748031496E-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5"/>
  <sheetViews>
    <sheetView topLeftCell="A4" zoomScale="150" zoomScaleNormal="150" workbookViewId="0">
      <selection activeCell="D48" sqref="D48"/>
    </sheetView>
  </sheetViews>
  <sheetFormatPr defaultRowHeight="19.5" customHeight="1" x14ac:dyDescent="0.5"/>
  <cols>
    <col min="1" max="1" width="7" style="45" customWidth="1"/>
    <col min="2" max="5" width="4.85546875" style="45" customWidth="1"/>
    <col min="6" max="6" width="7.42578125" style="45" customWidth="1"/>
    <col min="7" max="7" width="4" style="45" customWidth="1"/>
    <col min="8" max="8" width="2.7109375" style="45" customWidth="1"/>
    <col min="9" max="12" width="3.5703125" style="45" customWidth="1"/>
    <col min="13" max="15" width="3" style="45" customWidth="1"/>
    <col min="16" max="18" width="5.7109375" style="45" customWidth="1"/>
    <col min="19" max="19" width="6" style="45" customWidth="1"/>
    <col min="20" max="20" width="4.7109375" style="45" customWidth="1"/>
    <col min="21" max="21" width="8.5703125" style="45" customWidth="1"/>
    <col min="22" max="22" width="5.7109375" style="45" customWidth="1"/>
    <col min="23" max="16384" width="9.140625" style="45"/>
  </cols>
  <sheetData>
    <row r="1" spans="1:24" ht="19.5" customHeight="1" x14ac:dyDescent="0.5">
      <c r="R1" s="169"/>
      <c r="S1" s="169"/>
      <c r="T1" s="169"/>
      <c r="U1" s="169" t="s">
        <v>191</v>
      </c>
      <c r="V1" s="169"/>
    </row>
    <row r="2" spans="1:24" ht="19.5" customHeight="1" x14ac:dyDescent="0.5">
      <c r="A2" s="168" t="s">
        <v>248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</row>
    <row r="3" spans="1:24" ht="19.5" customHeight="1" x14ac:dyDescent="0.5">
      <c r="A3" s="182" t="s">
        <v>232</v>
      </c>
      <c r="B3" s="182"/>
      <c r="C3" s="182"/>
      <c r="D3" s="182"/>
      <c r="E3" s="4" t="s">
        <v>305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4" ht="19.5" customHeight="1" x14ac:dyDescent="0.5">
      <c r="A4" s="46"/>
      <c r="B4" s="46"/>
      <c r="C4" s="46"/>
      <c r="D4" s="46"/>
      <c r="E4" s="4" t="s">
        <v>306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9.5" customHeight="1" x14ac:dyDescent="0.5">
      <c r="A5" s="46" t="s">
        <v>173</v>
      </c>
      <c r="B5" s="46"/>
      <c r="C5" s="46"/>
      <c r="D5" s="46"/>
      <c r="E5" s="4" t="s">
        <v>277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4" ht="19.5" customHeight="1" x14ac:dyDescent="0.5">
      <c r="A6" s="46" t="s">
        <v>184</v>
      </c>
      <c r="B6" s="46"/>
      <c r="C6" s="46"/>
      <c r="D6" s="46"/>
      <c r="E6" s="4" t="s">
        <v>307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4" ht="19.5" customHeight="1" x14ac:dyDescent="0.5">
      <c r="A7" s="46"/>
      <c r="B7" s="46"/>
      <c r="C7" s="46"/>
      <c r="D7" s="46"/>
      <c r="E7" s="4" t="s">
        <v>302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4" ht="19.5" customHeight="1" x14ac:dyDescent="0.5">
      <c r="A8" s="48" t="s">
        <v>233</v>
      </c>
      <c r="B8" s="48"/>
      <c r="C8" s="48"/>
      <c r="D8" s="48"/>
      <c r="E8" s="49" t="s">
        <v>279</v>
      </c>
      <c r="F8" s="49"/>
      <c r="G8" s="49"/>
      <c r="H8" s="49"/>
      <c r="I8" s="49"/>
      <c r="J8" s="49"/>
      <c r="K8" s="49"/>
      <c r="L8" s="49"/>
      <c r="M8" s="49"/>
      <c r="N8" s="50"/>
      <c r="O8" s="50"/>
      <c r="P8" s="50"/>
      <c r="Q8" s="50"/>
      <c r="R8" s="50"/>
      <c r="S8" s="50"/>
      <c r="T8" s="50"/>
    </row>
    <row r="9" spans="1:24" ht="19.5" customHeight="1" x14ac:dyDescent="0.5">
      <c r="A9" s="51" t="s">
        <v>29</v>
      </c>
      <c r="E9" s="29" t="s">
        <v>278</v>
      </c>
      <c r="J9" s="52"/>
      <c r="K9" s="53"/>
      <c r="L9" s="50"/>
      <c r="M9" s="50"/>
      <c r="N9" s="183" t="s">
        <v>249</v>
      </c>
      <c r="O9" s="183"/>
      <c r="P9" s="183"/>
      <c r="Q9" s="183"/>
      <c r="R9" s="183"/>
      <c r="S9" s="48"/>
      <c r="T9" s="50"/>
      <c r="U9" s="48" t="s">
        <v>174</v>
      </c>
      <c r="V9" s="55"/>
      <c r="X9" s="48"/>
    </row>
    <row r="10" spans="1:24" ht="19.5" customHeight="1" x14ac:dyDescent="0.5">
      <c r="A10" s="48" t="s">
        <v>250</v>
      </c>
      <c r="B10" s="48"/>
      <c r="C10" s="48"/>
      <c r="D10" s="48"/>
      <c r="E10" s="48"/>
      <c r="F10" s="56"/>
      <c r="G10" s="55"/>
      <c r="H10" s="183" t="s">
        <v>50</v>
      </c>
      <c r="I10" s="183"/>
      <c r="J10" s="50"/>
      <c r="K10" s="50"/>
      <c r="L10" s="50"/>
      <c r="M10" s="183" t="s">
        <v>175</v>
      </c>
      <c r="N10" s="183"/>
      <c r="O10" s="183"/>
      <c r="P10" s="167"/>
      <c r="Q10" s="167"/>
      <c r="R10" s="167"/>
      <c r="S10" s="50"/>
      <c r="T10" s="50"/>
    </row>
    <row r="11" spans="1:24" ht="19.5" customHeight="1" x14ac:dyDescent="0.5">
      <c r="A11" s="53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184" t="s">
        <v>176</v>
      </c>
      <c r="T11" s="184"/>
    </row>
    <row r="12" spans="1:24" ht="23.25" customHeight="1" x14ac:dyDescent="0.5">
      <c r="A12" s="57" t="s">
        <v>177</v>
      </c>
      <c r="B12" s="185" t="s">
        <v>43</v>
      </c>
      <c r="C12" s="185"/>
      <c r="D12" s="185"/>
      <c r="E12" s="185"/>
      <c r="F12" s="185"/>
      <c r="G12" s="185"/>
      <c r="H12" s="185"/>
      <c r="I12" s="186" t="s">
        <v>258</v>
      </c>
      <c r="J12" s="185"/>
      <c r="K12" s="185"/>
      <c r="L12" s="185"/>
      <c r="M12" s="185" t="s">
        <v>178</v>
      </c>
      <c r="N12" s="185"/>
      <c r="O12" s="185"/>
      <c r="P12" s="186" t="s">
        <v>261</v>
      </c>
      <c r="Q12" s="185"/>
      <c r="R12" s="185"/>
      <c r="S12" s="187" t="s">
        <v>179</v>
      </c>
      <c r="T12" s="188"/>
      <c r="U12" s="188"/>
      <c r="V12" s="189"/>
    </row>
    <row r="13" spans="1:24" ht="19.5" customHeight="1" x14ac:dyDescent="0.5">
      <c r="A13" s="59">
        <v>1</v>
      </c>
      <c r="B13" s="190" t="s">
        <v>255</v>
      </c>
      <c r="C13" s="191"/>
      <c r="D13" s="191"/>
      <c r="E13" s="191"/>
      <c r="F13" s="191"/>
      <c r="G13" s="191"/>
      <c r="H13" s="191"/>
      <c r="I13" s="192">
        <f>+แบบสรุป!G18</f>
        <v>469583.2</v>
      </c>
      <c r="J13" s="193"/>
      <c r="K13" s="193"/>
      <c r="L13" s="194"/>
      <c r="M13" s="195">
        <v>1.3642000000000001</v>
      </c>
      <c r="N13" s="196"/>
      <c r="O13" s="196"/>
      <c r="P13" s="197">
        <f>ROUNDDOWN(I13*M13,2)</f>
        <v>640605.4</v>
      </c>
      <c r="Q13" s="198"/>
      <c r="R13" s="199"/>
      <c r="S13" s="200" t="s">
        <v>178</v>
      </c>
      <c r="T13" s="201"/>
      <c r="U13" s="201"/>
      <c r="V13" s="60"/>
    </row>
    <row r="14" spans="1:24" ht="19.5" customHeight="1" x14ac:dyDescent="0.5">
      <c r="A14" s="61">
        <v>2</v>
      </c>
      <c r="B14" s="211" t="s">
        <v>256</v>
      </c>
      <c r="C14" s="211"/>
      <c r="D14" s="211"/>
      <c r="E14" s="211"/>
      <c r="F14" s="211"/>
      <c r="G14" s="211"/>
      <c r="H14" s="211"/>
      <c r="I14" s="212"/>
      <c r="J14" s="213"/>
      <c r="K14" s="213"/>
      <c r="L14" s="214"/>
      <c r="M14" s="215"/>
      <c r="N14" s="216"/>
      <c r="O14" s="216"/>
      <c r="P14" s="217"/>
      <c r="Q14" s="218"/>
      <c r="R14" s="219"/>
      <c r="S14" s="202" t="s">
        <v>251</v>
      </c>
      <c r="T14" s="203"/>
      <c r="U14" s="203"/>
      <c r="V14" s="62">
        <v>0</v>
      </c>
    </row>
    <row r="15" spans="1:24" ht="19.5" customHeight="1" x14ac:dyDescent="0.5">
      <c r="A15" s="63"/>
      <c r="B15" s="204"/>
      <c r="C15" s="205"/>
      <c r="D15" s="205"/>
      <c r="E15" s="205"/>
      <c r="F15" s="205"/>
      <c r="G15" s="205"/>
      <c r="H15" s="205"/>
      <c r="I15" s="206"/>
      <c r="J15" s="206"/>
      <c r="K15" s="206"/>
      <c r="L15" s="206"/>
      <c r="M15" s="207"/>
      <c r="N15" s="207"/>
      <c r="O15" s="207"/>
      <c r="P15" s="208"/>
      <c r="Q15" s="209"/>
      <c r="R15" s="210"/>
      <c r="S15" s="202" t="s">
        <v>252</v>
      </c>
      <c r="T15" s="203"/>
      <c r="U15" s="203"/>
      <c r="V15" s="62">
        <v>7.0000000000000007E-2</v>
      </c>
    </row>
    <row r="16" spans="1:24" ht="19.5" customHeight="1" x14ac:dyDescent="0.5">
      <c r="A16" s="63"/>
      <c r="B16" s="225"/>
      <c r="C16" s="226"/>
      <c r="D16" s="226"/>
      <c r="E16" s="226"/>
      <c r="F16" s="226"/>
      <c r="G16" s="226"/>
      <c r="H16" s="226"/>
      <c r="I16" s="206"/>
      <c r="J16" s="206"/>
      <c r="K16" s="206"/>
      <c r="L16" s="206"/>
      <c r="M16" s="207"/>
      <c r="N16" s="207"/>
      <c r="O16" s="207"/>
      <c r="P16" s="208"/>
      <c r="Q16" s="209"/>
      <c r="R16" s="210"/>
      <c r="S16" s="202" t="s">
        <v>253</v>
      </c>
      <c r="T16" s="203"/>
      <c r="U16" s="203"/>
      <c r="V16" s="62">
        <v>0</v>
      </c>
    </row>
    <row r="17" spans="1:22" ht="19.5" customHeight="1" x14ac:dyDescent="0.5">
      <c r="A17" s="64"/>
      <c r="B17" s="225"/>
      <c r="C17" s="226"/>
      <c r="D17" s="226"/>
      <c r="E17" s="226"/>
      <c r="F17" s="226"/>
      <c r="G17" s="226"/>
      <c r="H17" s="226"/>
      <c r="I17" s="206"/>
      <c r="J17" s="206"/>
      <c r="K17" s="206"/>
      <c r="L17" s="206"/>
      <c r="M17" s="207"/>
      <c r="N17" s="207"/>
      <c r="O17" s="207"/>
      <c r="P17" s="208"/>
      <c r="Q17" s="209"/>
      <c r="R17" s="210"/>
      <c r="S17" s="202" t="s">
        <v>254</v>
      </c>
      <c r="T17" s="203"/>
      <c r="U17" s="203"/>
      <c r="V17" s="62">
        <v>7.0000000000000007E-2</v>
      </c>
    </row>
    <row r="18" spans="1:22" ht="19.5" customHeight="1" x14ac:dyDescent="0.5">
      <c r="A18" s="65"/>
      <c r="B18" s="228"/>
      <c r="C18" s="229"/>
      <c r="D18" s="229"/>
      <c r="E18" s="229"/>
      <c r="F18" s="229"/>
      <c r="G18" s="229"/>
      <c r="H18" s="229"/>
      <c r="I18" s="230"/>
      <c r="J18" s="230"/>
      <c r="K18" s="230"/>
      <c r="L18" s="230"/>
      <c r="M18" s="231"/>
      <c r="N18" s="231"/>
      <c r="O18" s="231"/>
      <c r="P18" s="222"/>
      <c r="Q18" s="223"/>
      <c r="R18" s="224"/>
      <c r="S18" s="221"/>
      <c r="T18" s="167"/>
      <c r="U18" s="167"/>
      <c r="V18" s="66"/>
    </row>
    <row r="19" spans="1:22" ht="19.5" customHeight="1" x14ac:dyDescent="0.5">
      <c r="A19" s="67"/>
      <c r="B19" s="68" t="s">
        <v>257</v>
      </c>
      <c r="C19" s="58"/>
      <c r="D19" s="58"/>
      <c r="E19" s="58"/>
      <c r="F19" s="58"/>
      <c r="G19" s="58"/>
      <c r="H19" s="58"/>
      <c r="I19" s="170"/>
      <c r="J19" s="171"/>
      <c r="K19" s="171"/>
      <c r="L19" s="172"/>
      <c r="M19" s="173"/>
      <c r="N19" s="174"/>
      <c r="O19" s="175"/>
      <c r="P19" s="176">
        <f>+P13</f>
        <v>640605.4</v>
      </c>
      <c r="Q19" s="177"/>
      <c r="R19" s="178"/>
      <c r="S19" s="75"/>
      <c r="T19" s="76"/>
      <c r="U19" s="76"/>
      <c r="V19" s="77"/>
    </row>
    <row r="20" spans="1:22" ht="19.5" customHeight="1" x14ac:dyDescent="0.5">
      <c r="A20" s="67"/>
      <c r="B20" s="68" t="s">
        <v>308</v>
      </c>
      <c r="C20" s="58"/>
      <c r="D20" s="58"/>
      <c r="E20" s="58"/>
      <c r="F20" s="58"/>
      <c r="G20" s="58"/>
      <c r="H20" s="58"/>
      <c r="I20" s="69"/>
      <c r="J20" s="70"/>
      <c r="K20" s="70"/>
      <c r="L20" s="71"/>
      <c r="M20" s="72"/>
      <c r="N20" s="73"/>
      <c r="O20" s="74"/>
      <c r="P20" s="176">
        <f>+ROUNDDOWN(P19,-3)</f>
        <v>640000</v>
      </c>
      <c r="Q20" s="177"/>
      <c r="R20" s="178"/>
      <c r="S20" s="75"/>
      <c r="T20" s="76"/>
      <c r="U20" s="76"/>
      <c r="V20" s="77"/>
    </row>
    <row r="21" spans="1:22" ht="19.5" customHeight="1" x14ac:dyDescent="0.5">
      <c r="A21" s="67"/>
      <c r="B21" s="179" t="str">
        <f>+BAHTTEXT(P20)</f>
        <v>หกแสนสี่หมื่นบาทถ้วน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1"/>
    </row>
    <row r="22" spans="1:22" ht="19.5" customHeight="1" x14ac:dyDescent="0.5">
      <c r="A22" s="50"/>
      <c r="B22" s="50" t="s">
        <v>259</v>
      </c>
      <c r="C22" s="50"/>
      <c r="D22" s="50"/>
      <c r="E22" s="50"/>
      <c r="F22" s="227">
        <v>1280</v>
      </c>
      <c r="G22" s="227"/>
      <c r="H22" s="50" t="s">
        <v>3</v>
      </c>
      <c r="I22" s="50"/>
      <c r="J22" s="50"/>
      <c r="K22" s="50"/>
      <c r="L22" s="183"/>
      <c r="M22" s="183"/>
      <c r="N22" s="183"/>
      <c r="O22" s="183"/>
      <c r="P22" s="220"/>
      <c r="Q22" s="220"/>
      <c r="R22" s="220"/>
      <c r="S22" s="203"/>
      <c r="T22" s="203"/>
    </row>
    <row r="23" spans="1:22" ht="19.5" customHeight="1" x14ac:dyDescent="0.5">
      <c r="A23" s="50"/>
      <c r="B23" s="50" t="s">
        <v>260</v>
      </c>
      <c r="C23" s="50"/>
      <c r="D23" s="50"/>
      <c r="E23" s="50"/>
      <c r="F23" s="166">
        <f>+P20/F22</f>
        <v>500</v>
      </c>
      <c r="G23" s="167"/>
      <c r="H23" s="50"/>
      <c r="I23" s="50"/>
      <c r="J23" s="46"/>
      <c r="K23" s="50"/>
      <c r="M23" s="54"/>
      <c r="N23" s="54"/>
      <c r="O23" s="54"/>
      <c r="P23" s="220"/>
      <c r="Q23" s="220"/>
      <c r="R23" s="220"/>
      <c r="S23" s="55"/>
      <c r="T23" s="55"/>
    </row>
    <row r="24" spans="1:22" ht="19.5" customHeight="1" x14ac:dyDescent="0.5">
      <c r="A24" s="78"/>
      <c r="B24" s="48"/>
      <c r="C24" s="48"/>
      <c r="D24" s="48"/>
      <c r="E24" s="48"/>
      <c r="F24" s="48"/>
      <c r="G24" s="48"/>
      <c r="H24" s="79"/>
      <c r="I24" s="79"/>
      <c r="J24" s="79"/>
      <c r="K24" s="79"/>
      <c r="L24" s="48"/>
      <c r="M24" s="48"/>
      <c r="N24" s="48"/>
      <c r="O24" s="80"/>
      <c r="P24" s="80"/>
      <c r="Q24" s="80"/>
      <c r="R24" s="80"/>
      <c r="S24" s="48"/>
      <c r="T24" s="48"/>
    </row>
    <row r="25" spans="1:22" s="2" customFormat="1" ht="15.75" customHeight="1" x14ac:dyDescent="0.5">
      <c r="A25" s="81"/>
      <c r="B25" s="82"/>
      <c r="C25" s="81"/>
      <c r="F25" s="81" t="s">
        <v>168</v>
      </c>
      <c r="G25" s="81"/>
      <c r="H25" s="81"/>
      <c r="J25" s="81"/>
      <c r="L25" s="81" t="s">
        <v>280</v>
      </c>
    </row>
    <row r="26" spans="1:22" s="2" customFormat="1" ht="15.75" customHeight="1" x14ac:dyDescent="0.5">
      <c r="A26" s="81"/>
      <c r="B26" s="82"/>
      <c r="C26" s="81"/>
      <c r="F26" s="81" t="s">
        <v>281</v>
      </c>
      <c r="G26" s="81"/>
      <c r="H26" s="81"/>
      <c r="I26" s="81"/>
      <c r="J26" s="81"/>
      <c r="L26" s="81"/>
    </row>
    <row r="27" spans="1:22" s="2" customFormat="1" ht="15.75" customHeight="1" x14ac:dyDescent="0.5">
      <c r="A27" s="81"/>
      <c r="B27" s="82"/>
      <c r="C27" s="81"/>
      <c r="F27" s="81" t="s">
        <v>295</v>
      </c>
      <c r="G27" s="81"/>
      <c r="H27" s="81"/>
      <c r="I27" s="81"/>
      <c r="J27" s="81"/>
      <c r="L27" s="81"/>
    </row>
    <row r="28" spans="1:22" s="2" customFormat="1" ht="15.75" customHeight="1" x14ac:dyDescent="0.5">
      <c r="A28" s="81"/>
      <c r="B28" s="82"/>
      <c r="C28" s="81"/>
      <c r="F28" s="81"/>
      <c r="G28" s="81"/>
      <c r="H28" s="81"/>
      <c r="I28" s="81"/>
      <c r="J28" s="81"/>
      <c r="L28" s="81"/>
    </row>
    <row r="29" spans="1:22" s="2" customFormat="1" ht="15.75" customHeight="1" x14ac:dyDescent="0.5">
      <c r="A29" s="81"/>
      <c r="B29" s="82"/>
      <c r="C29" s="81"/>
      <c r="F29" s="81" t="s">
        <v>168</v>
      </c>
      <c r="G29" s="81"/>
      <c r="H29" s="81"/>
      <c r="J29" s="81"/>
      <c r="L29" s="81" t="s">
        <v>283</v>
      </c>
    </row>
    <row r="30" spans="1:22" s="2" customFormat="1" ht="15.75" customHeight="1" x14ac:dyDescent="0.5">
      <c r="A30" s="81"/>
      <c r="B30" s="82"/>
      <c r="C30" s="81"/>
      <c r="F30" s="81" t="s">
        <v>296</v>
      </c>
      <c r="G30" s="81"/>
      <c r="H30" s="81"/>
      <c r="I30" s="81"/>
      <c r="J30" s="81"/>
      <c r="L30" s="81"/>
    </row>
    <row r="31" spans="1:22" s="2" customFormat="1" ht="15.75" customHeight="1" x14ac:dyDescent="0.5">
      <c r="A31" s="81"/>
      <c r="B31" s="82"/>
      <c r="C31" s="81"/>
      <c r="F31" s="81" t="s">
        <v>297</v>
      </c>
      <c r="G31" s="81"/>
      <c r="H31" s="81"/>
      <c r="I31" s="81"/>
      <c r="J31" s="81"/>
      <c r="L31" s="81"/>
    </row>
    <row r="32" spans="1:22" s="2" customFormat="1" ht="15.75" customHeight="1" x14ac:dyDescent="0.5">
      <c r="A32" s="81"/>
      <c r="B32" s="82"/>
      <c r="C32" s="81"/>
      <c r="F32" s="81"/>
      <c r="G32" s="81"/>
      <c r="H32" s="81"/>
      <c r="I32" s="81"/>
      <c r="J32" s="81"/>
      <c r="L32" s="81"/>
    </row>
    <row r="33" spans="1:12" s="2" customFormat="1" ht="15.75" customHeight="1" x14ac:dyDescent="0.5">
      <c r="A33" s="81"/>
      <c r="B33" s="82"/>
      <c r="C33" s="81"/>
      <c r="F33" s="81" t="s">
        <v>168</v>
      </c>
      <c r="G33" s="81"/>
      <c r="H33" s="81"/>
      <c r="J33" s="81"/>
      <c r="L33" s="81" t="s">
        <v>284</v>
      </c>
    </row>
    <row r="34" spans="1:12" s="2" customFormat="1" ht="15.75" customHeight="1" x14ac:dyDescent="0.5">
      <c r="A34" s="81"/>
      <c r="B34" s="82"/>
      <c r="C34" s="81"/>
      <c r="F34" s="81" t="s">
        <v>286</v>
      </c>
      <c r="G34" s="81"/>
      <c r="H34" s="81"/>
      <c r="I34" s="81"/>
      <c r="J34" s="81"/>
      <c r="L34" s="81"/>
    </row>
    <row r="35" spans="1:12" s="2" customFormat="1" ht="15.75" customHeight="1" x14ac:dyDescent="0.5">
      <c r="A35" s="81"/>
      <c r="B35" s="82"/>
      <c r="C35" s="81"/>
      <c r="F35" s="81" t="s">
        <v>298</v>
      </c>
      <c r="G35" s="81"/>
      <c r="H35" s="81"/>
      <c r="I35" s="81"/>
      <c r="J35" s="81"/>
      <c r="L35" s="81"/>
    </row>
    <row r="36" spans="1:12" s="2" customFormat="1" ht="15.75" customHeight="1" x14ac:dyDescent="0.5">
      <c r="A36" s="81"/>
      <c r="B36" s="82"/>
      <c r="C36" s="81"/>
      <c r="F36" s="81" t="s">
        <v>299</v>
      </c>
      <c r="G36" s="81"/>
      <c r="H36" s="81"/>
      <c r="I36" s="81"/>
      <c r="J36" s="81"/>
      <c r="L36" s="81"/>
    </row>
    <row r="37" spans="1:12" s="2" customFormat="1" ht="15.75" customHeight="1" x14ac:dyDescent="0.5">
      <c r="A37" s="81"/>
      <c r="B37" s="82"/>
      <c r="C37" s="81"/>
      <c r="F37" s="81"/>
      <c r="G37" s="81"/>
      <c r="H37" s="81"/>
      <c r="I37" s="81"/>
      <c r="J37" s="81"/>
      <c r="L37" s="81"/>
    </row>
    <row r="38" spans="1:12" s="2" customFormat="1" ht="15.75" customHeight="1" x14ac:dyDescent="0.5">
      <c r="A38" s="81"/>
      <c r="B38" s="82"/>
      <c r="C38" s="81"/>
      <c r="F38" s="81" t="s">
        <v>168</v>
      </c>
      <c r="G38" s="81"/>
      <c r="H38" s="81"/>
      <c r="J38" s="81"/>
      <c r="L38" s="81" t="s">
        <v>285</v>
      </c>
    </row>
    <row r="39" spans="1:12" s="2" customFormat="1" ht="15.75" customHeight="1" x14ac:dyDescent="0.5">
      <c r="A39" s="81"/>
      <c r="B39" s="82"/>
      <c r="C39" s="81"/>
      <c r="F39" s="81" t="s">
        <v>300</v>
      </c>
      <c r="G39" s="81"/>
      <c r="H39" s="81"/>
      <c r="I39" s="81"/>
      <c r="J39" s="81"/>
      <c r="L39" s="81"/>
    </row>
    <row r="40" spans="1:12" s="2" customFormat="1" ht="15.75" customHeight="1" x14ac:dyDescent="0.5">
      <c r="A40" s="81"/>
      <c r="B40" s="82"/>
      <c r="C40" s="81"/>
      <c r="F40" s="81" t="s">
        <v>292</v>
      </c>
      <c r="G40" s="81"/>
      <c r="H40" s="81"/>
      <c r="I40" s="81"/>
      <c r="J40" s="81"/>
      <c r="L40" s="81"/>
    </row>
    <row r="41" spans="1:12" s="2" customFormat="1" ht="15.75" customHeight="1" x14ac:dyDescent="0.5">
      <c r="A41" s="81"/>
      <c r="B41" s="82"/>
      <c r="C41" s="81"/>
      <c r="F41" s="81"/>
      <c r="G41" s="81"/>
      <c r="H41" s="81"/>
      <c r="I41" s="81"/>
      <c r="J41" s="81"/>
      <c r="L41" s="81"/>
    </row>
    <row r="42" spans="1:12" s="2" customFormat="1" ht="15.75" customHeight="1" x14ac:dyDescent="0.5">
      <c r="A42" s="81"/>
      <c r="B42" s="82"/>
      <c r="C42" s="81"/>
      <c r="F42" s="81" t="s">
        <v>168</v>
      </c>
      <c r="G42" s="81"/>
      <c r="H42" s="81"/>
      <c r="J42" s="81"/>
      <c r="L42" s="81" t="s">
        <v>303</v>
      </c>
    </row>
    <row r="43" spans="1:12" s="2" customFormat="1" ht="15.75" customHeight="1" x14ac:dyDescent="0.5">
      <c r="A43" s="81"/>
      <c r="B43" s="82"/>
      <c r="C43" s="81"/>
      <c r="F43" s="81" t="s">
        <v>287</v>
      </c>
      <c r="G43" s="81"/>
      <c r="H43" s="81"/>
      <c r="I43" s="81"/>
      <c r="J43" s="81"/>
      <c r="L43" s="81"/>
    </row>
    <row r="44" spans="1:12" s="2" customFormat="1" ht="15.75" customHeight="1" x14ac:dyDescent="0.5">
      <c r="A44" s="81"/>
      <c r="B44" s="82"/>
      <c r="C44" s="81"/>
      <c r="F44" s="81" t="s">
        <v>301</v>
      </c>
      <c r="G44" s="81"/>
      <c r="H44" s="81"/>
      <c r="I44" s="81"/>
      <c r="J44" s="81"/>
      <c r="L44" s="81"/>
    </row>
    <row r="45" spans="1:12" s="2" customFormat="1" ht="15" customHeight="1" x14ac:dyDescent="0.5">
      <c r="E45" s="7"/>
      <c r="F45" s="7"/>
      <c r="G45" s="7"/>
      <c r="H45" s="7"/>
    </row>
  </sheetData>
  <mergeCells count="55">
    <mergeCell ref="I17:L17"/>
    <mergeCell ref="M17:O17"/>
    <mergeCell ref="B17:H17"/>
    <mergeCell ref="F22:G22"/>
    <mergeCell ref="B16:H16"/>
    <mergeCell ref="B18:H18"/>
    <mergeCell ref="I16:L16"/>
    <mergeCell ref="M16:O16"/>
    <mergeCell ref="L22:O22"/>
    <mergeCell ref="I18:L18"/>
    <mergeCell ref="M18:O18"/>
    <mergeCell ref="S22:T22"/>
    <mergeCell ref="P23:R23"/>
    <mergeCell ref="S16:U16"/>
    <mergeCell ref="S17:U17"/>
    <mergeCell ref="S18:U18"/>
    <mergeCell ref="P18:R18"/>
    <mergeCell ref="P16:R16"/>
    <mergeCell ref="P17:R17"/>
    <mergeCell ref="P22:R22"/>
    <mergeCell ref="S14:U14"/>
    <mergeCell ref="B15:H15"/>
    <mergeCell ref="I15:L15"/>
    <mergeCell ref="M15:O15"/>
    <mergeCell ref="P15:R15"/>
    <mergeCell ref="S15:U15"/>
    <mergeCell ref="B14:H14"/>
    <mergeCell ref="I14:L14"/>
    <mergeCell ref="M14:O14"/>
    <mergeCell ref="P14:R14"/>
    <mergeCell ref="I12:L12"/>
    <mergeCell ref="M12:O12"/>
    <mergeCell ref="P12:R12"/>
    <mergeCell ref="S12:V12"/>
    <mergeCell ref="B13:H13"/>
    <mergeCell ref="I13:L13"/>
    <mergeCell ref="M13:O13"/>
    <mergeCell ref="P13:R13"/>
    <mergeCell ref="S13:U13"/>
    <mergeCell ref="F23:G23"/>
    <mergeCell ref="A2:V2"/>
    <mergeCell ref="U1:V1"/>
    <mergeCell ref="I19:L19"/>
    <mergeCell ref="M19:O19"/>
    <mergeCell ref="P19:R19"/>
    <mergeCell ref="P20:R20"/>
    <mergeCell ref="B21:V21"/>
    <mergeCell ref="R1:T1"/>
    <mergeCell ref="A3:D3"/>
    <mergeCell ref="N9:R9"/>
    <mergeCell ref="H10:I10"/>
    <mergeCell ref="M10:O10"/>
    <mergeCell ref="P10:R10"/>
    <mergeCell ref="S11:T11"/>
    <mergeCell ref="B12:H12"/>
  </mergeCells>
  <pageMargins left="0.39370078740157483" right="0.19685039370078741" top="0.59055118110236227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T163"/>
  <sheetViews>
    <sheetView tabSelected="1" topLeftCell="A16" zoomScale="200" zoomScaleNormal="200" workbookViewId="0">
      <selection activeCell="B112" sqref="B112:K112"/>
    </sheetView>
  </sheetViews>
  <sheetFormatPr defaultRowHeight="15.75" customHeight="1" x14ac:dyDescent="0.5"/>
  <cols>
    <col min="1" max="1" width="9.140625" style="85" customWidth="1"/>
    <col min="2" max="2" width="7.85546875" style="85" customWidth="1"/>
    <col min="3" max="3" width="6.5703125" style="96" customWidth="1"/>
    <col min="4" max="4" width="12" style="85" customWidth="1"/>
    <col min="5" max="5" width="5" style="85" customWidth="1"/>
    <col min="6" max="6" width="9.28515625" style="85" customWidth="1"/>
    <col min="7" max="7" width="4.42578125" style="85" customWidth="1"/>
    <col min="8" max="8" width="12.5703125" style="85" customWidth="1"/>
    <col min="9" max="9" width="11.140625" style="96" customWidth="1"/>
    <col min="10" max="10" width="11.7109375" style="85" customWidth="1"/>
    <col min="11" max="11" width="15.140625" style="85" customWidth="1"/>
    <col min="12" max="12" width="6.7109375" style="85" customWidth="1"/>
    <col min="13" max="13" width="9.140625" style="85"/>
    <col min="14" max="14" width="10.85546875" style="85" customWidth="1"/>
    <col min="15" max="17" width="12" style="85" customWidth="1"/>
    <col min="18" max="18" width="11.5703125" style="85" customWidth="1"/>
    <col min="19" max="16384" width="9.140625" style="85"/>
  </cols>
  <sheetData>
    <row r="1" spans="1:12" ht="15.75" customHeight="1" x14ac:dyDescent="0.5">
      <c r="A1" s="243" t="s">
        <v>188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84"/>
    </row>
    <row r="2" spans="1:12" ht="15.75" customHeight="1" x14ac:dyDescent="0.5">
      <c r="A2" s="86" t="s">
        <v>2</v>
      </c>
      <c r="B2" s="4" t="s">
        <v>305</v>
      </c>
      <c r="C2" s="85"/>
      <c r="D2" s="88"/>
      <c r="E2" s="88"/>
      <c r="F2" s="88"/>
      <c r="G2" s="88"/>
      <c r="H2" s="88"/>
      <c r="I2" s="87"/>
      <c r="J2" s="88"/>
      <c r="K2" s="152" t="s">
        <v>309</v>
      </c>
      <c r="L2" s="83"/>
    </row>
    <row r="3" spans="1:12" ht="15.75" customHeight="1" x14ac:dyDescent="0.5">
      <c r="A3" s="86"/>
      <c r="B3" s="4" t="s">
        <v>306</v>
      </c>
      <c r="C3" s="85"/>
      <c r="D3" s="88"/>
      <c r="E3" s="88"/>
      <c r="F3" s="88"/>
      <c r="G3" s="88"/>
      <c r="H3" s="88"/>
      <c r="I3" s="87"/>
      <c r="J3" s="88"/>
      <c r="K3" s="88"/>
      <c r="L3" s="83"/>
    </row>
    <row r="4" spans="1:12" ht="15.75" customHeight="1" x14ac:dyDescent="0.5">
      <c r="A4" s="86" t="s">
        <v>184</v>
      </c>
      <c r="B4" s="4" t="s">
        <v>307</v>
      </c>
      <c r="C4" s="85"/>
      <c r="D4" s="88"/>
      <c r="E4" s="88"/>
      <c r="F4" s="88"/>
      <c r="G4" s="88"/>
      <c r="H4" s="88"/>
      <c r="I4" s="87"/>
      <c r="J4" s="88"/>
      <c r="K4" s="88"/>
      <c r="L4" s="83"/>
    </row>
    <row r="5" spans="1:12" ht="15.75" customHeight="1" x14ac:dyDescent="0.5">
      <c r="A5" s="86"/>
      <c r="B5" s="4" t="s">
        <v>302</v>
      </c>
      <c r="C5" s="85"/>
      <c r="D5" s="88"/>
      <c r="E5" s="88"/>
      <c r="F5" s="88"/>
      <c r="G5" s="88"/>
      <c r="H5" s="88"/>
      <c r="I5" s="87"/>
      <c r="J5" s="88"/>
      <c r="K5" s="88"/>
      <c r="L5" s="83"/>
    </row>
    <row r="6" spans="1:12" ht="15.75" customHeight="1" x14ac:dyDescent="0.5">
      <c r="A6" s="86" t="s">
        <v>171</v>
      </c>
      <c r="B6" s="4" t="s">
        <v>277</v>
      </c>
      <c r="C6" s="85"/>
      <c r="D6" s="88"/>
      <c r="E6" s="88"/>
      <c r="F6" s="88"/>
      <c r="G6" s="88"/>
      <c r="H6" s="88"/>
      <c r="I6" s="87"/>
      <c r="J6" s="88"/>
      <c r="K6" s="88"/>
      <c r="L6" s="83"/>
    </row>
    <row r="7" spans="1:12" ht="15.75" customHeight="1" x14ac:dyDescent="0.5">
      <c r="A7" s="86" t="s">
        <v>169</v>
      </c>
      <c r="B7" s="89"/>
      <c r="C7" s="90" t="s">
        <v>170</v>
      </c>
      <c r="D7" s="90"/>
      <c r="E7" s="90"/>
      <c r="F7" s="90" t="s">
        <v>29</v>
      </c>
      <c r="G7" s="90"/>
      <c r="H7" s="91" t="s">
        <v>278</v>
      </c>
      <c r="I7" s="90"/>
      <c r="J7" s="90"/>
      <c r="K7" s="90"/>
      <c r="L7" s="90"/>
    </row>
    <row r="8" spans="1:12" ht="15.75" customHeight="1" x14ac:dyDescent="0.5">
      <c r="A8" s="86" t="s">
        <v>0</v>
      </c>
      <c r="B8" s="89"/>
      <c r="C8" s="240" t="s">
        <v>277</v>
      </c>
      <c r="D8" s="240"/>
      <c r="E8" s="240"/>
      <c r="F8" s="240"/>
      <c r="G8" s="240"/>
      <c r="H8" s="240"/>
      <c r="I8" s="240"/>
      <c r="J8" s="240"/>
      <c r="K8" s="240"/>
    </row>
    <row r="9" spans="1:12" ht="15.75" customHeight="1" x14ac:dyDescent="0.5">
      <c r="A9" s="86" t="s">
        <v>7</v>
      </c>
      <c r="B9" s="89"/>
      <c r="C9" s="241" t="s">
        <v>279</v>
      </c>
      <c r="D9" s="241"/>
      <c r="E9" s="241"/>
      <c r="F9" s="241"/>
      <c r="G9" s="241"/>
      <c r="H9" s="241"/>
      <c r="I9" s="241"/>
      <c r="J9" s="241"/>
      <c r="K9" s="241"/>
    </row>
    <row r="10" spans="1:12" ht="15.75" customHeight="1" x14ac:dyDescent="0.5">
      <c r="A10" s="86" t="s">
        <v>197</v>
      </c>
      <c r="B10" s="89"/>
      <c r="C10" s="244"/>
      <c r="D10" s="244"/>
      <c r="E10" s="92"/>
      <c r="F10" s="92"/>
      <c r="G10" s="92"/>
      <c r="H10" s="92" t="s">
        <v>185</v>
      </c>
      <c r="I10" s="92"/>
      <c r="J10" s="93">
        <v>33.64</v>
      </c>
      <c r="K10" s="88" t="s">
        <v>186</v>
      </c>
    </row>
    <row r="11" spans="1:12" ht="15.75" customHeight="1" x14ac:dyDescent="0.5">
      <c r="A11" s="88" t="s">
        <v>45</v>
      </c>
      <c r="B11" s="89"/>
      <c r="C11" s="94"/>
      <c r="D11" s="95"/>
      <c r="E11" s="95"/>
      <c r="F11" s="95"/>
      <c r="G11" s="95"/>
      <c r="H11" s="95"/>
      <c r="I11" s="94">
        <v>4</v>
      </c>
      <c r="J11" s="95" t="s">
        <v>44</v>
      </c>
      <c r="K11" s="88"/>
    </row>
    <row r="12" spans="1:12" ht="15.75" customHeight="1" x14ac:dyDescent="0.5">
      <c r="A12" s="88" t="s">
        <v>46</v>
      </c>
      <c r="B12" s="89"/>
      <c r="C12" s="94"/>
      <c r="D12" s="95"/>
      <c r="E12" s="95"/>
      <c r="F12" s="95"/>
      <c r="G12" s="95"/>
      <c r="H12" s="95"/>
      <c r="I12" s="94">
        <v>320</v>
      </c>
      <c r="J12" s="95" t="s">
        <v>44</v>
      </c>
      <c r="K12" s="88"/>
    </row>
    <row r="13" spans="1:12" ht="15.75" customHeight="1" x14ac:dyDescent="0.5">
      <c r="A13" s="88" t="s">
        <v>47</v>
      </c>
      <c r="B13" s="89"/>
      <c r="C13" s="94"/>
      <c r="D13" s="95"/>
      <c r="E13" s="95"/>
      <c r="F13" s="95"/>
      <c r="G13" s="95"/>
      <c r="H13" s="95"/>
      <c r="I13" s="94">
        <v>0.05</v>
      </c>
      <c r="J13" s="95" t="s">
        <v>44</v>
      </c>
      <c r="K13" s="88"/>
    </row>
    <row r="14" spans="1:12" ht="15.75" customHeight="1" x14ac:dyDescent="0.5">
      <c r="A14" s="88" t="s">
        <v>48</v>
      </c>
      <c r="B14" s="89"/>
      <c r="C14" s="94"/>
      <c r="D14" s="95"/>
      <c r="E14" s="95"/>
      <c r="F14" s="95"/>
      <c r="G14" s="95"/>
      <c r="H14" s="95"/>
      <c r="I14" s="94">
        <f>+I11*I12</f>
        <v>1280</v>
      </c>
      <c r="J14" s="95" t="s">
        <v>3</v>
      </c>
      <c r="K14" s="88"/>
    </row>
    <row r="15" spans="1:12" ht="15.75" customHeight="1" x14ac:dyDescent="0.5">
      <c r="A15" s="88" t="s">
        <v>189</v>
      </c>
      <c r="B15" s="89"/>
      <c r="D15" s="94"/>
      <c r="E15" s="95" t="s">
        <v>15</v>
      </c>
      <c r="F15" s="95"/>
      <c r="G15" s="95" t="s">
        <v>187</v>
      </c>
      <c r="H15" s="95"/>
      <c r="I15" s="94"/>
      <c r="J15" s="97">
        <v>60</v>
      </c>
      <c r="K15" s="88" t="s">
        <v>49</v>
      </c>
    </row>
    <row r="16" spans="1:12" ht="15.75" customHeight="1" x14ac:dyDescent="0.5">
      <c r="A16" s="88" t="s">
        <v>190</v>
      </c>
      <c r="B16" s="89"/>
      <c r="C16" s="96" t="s">
        <v>50</v>
      </c>
      <c r="D16" s="94" t="s">
        <v>235</v>
      </c>
      <c r="E16" s="95"/>
      <c r="F16" s="88">
        <v>2567</v>
      </c>
      <c r="G16" s="95"/>
      <c r="H16" s="95"/>
      <c r="I16" s="94"/>
      <c r="J16" s="97"/>
      <c r="K16" s="88"/>
    </row>
    <row r="17" spans="1:20" ht="15.75" customHeight="1" x14ac:dyDescent="0.5">
      <c r="A17" s="88" t="s">
        <v>51</v>
      </c>
      <c r="B17" s="89"/>
      <c r="D17" s="94"/>
      <c r="E17" s="95"/>
      <c r="F17" s="95"/>
      <c r="G17" s="95"/>
      <c r="H17" s="95"/>
      <c r="I17" s="85" t="s">
        <v>36</v>
      </c>
      <c r="J17" s="96"/>
      <c r="K17" s="98">
        <v>33.64</v>
      </c>
      <c r="L17" s="99"/>
    </row>
    <row r="18" spans="1:20" ht="15.75" customHeight="1" x14ac:dyDescent="0.5">
      <c r="A18" s="88"/>
      <c r="B18" s="88" t="s">
        <v>52</v>
      </c>
      <c r="D18" s="94"/>
      <c r="E18" s="95"/>
      <c r="F18" s="95"/>
      <c r="G18" s="95"/>
      <c r="H18" s="95"/>
      <c r="I18" s="94"/>
      <c r="J18" s="97"/>
      <c r="K18" s="88"/>
      <c r="O18" s="85" t="s">
        <v>214</v>
      </c>
      <c r="P18" s="85" t="s">
        <v>210</v>
      </c>
      <c r="Q18" s="85" t="s">
        <v>215</v>
      </c>
      <c r="R18" s="85" t="s">
        <v>209</v>
      </c>
      <c r="S18" s="85" t="s">
        <v>216</v>
      </c>
    </row>
    <row r="19" spans="1:20" ht="15.75" customHeight="1" x14ac:dyDescent="0.5">
      <c r="A19" s="88"/>
      <c r="B19" s="88" t="s">
        <v>53</v>
      </c>
      <c r="D19" s="94"/>
      <c r="E19" s="95"/>
      <c r="F19" s="95"/>
      <c r="G19" s="95"/>
      <c r="H19" s="95"/>
      <c r="I19" s="94">
        <v>36000</v>
      </c>
      <c r="J19" s="97" t="s">
        <v>19</v>
      </c>
      <c r="K19" s="88"/>
    </row>
    <row r="20" spans="1:20" ht="15.75" customHeight="1" x14ac:dyDescent="0.5">
      <c r="A20" s="88"/>
      <c r="B20" s="88" t="s">
        <v>54</v>
      </c>
      <c r="D20" s="94"/>
      <c r="E20" s="95"/>
      <c r="F20" s="95"/>
      <c r="G20" s="95"/>
      <c r="H20" s="95"/>
      <c r="I20" s="94">
        <v>33100</v>
      </c>
      <c r="J20" s="97" t="s">
        <v>19</v>
      </c>
      <c r="K20" s="88"/>
      <c r="N20" s="85" t="s">
        <v>198</v>
      </c>
      <c r="O20" s="85">
        <v>36000</v>
      </c>
      <c r="P20" s="85">
        <v>38400</v>
      </c>
      <c r="Q20" s="85">
        <v>34500</v>
      </c>
      <c r="R20" s="85">
        <v>36600</v>
      </c>
      <c r="S20" s="85">
        <v>36000</v>
      </c>
      <c r="T20" s="85">
        <f>(SUM(O20:S20))/5</f>
        <v>36300</v>
      </c>
    </row>
    <row r="21" spans="1:20" ht="15.75" customHeight="1" x14ac:dyDescent="0.5">
      <c r="A21" s="88"/>
      <c r="B21" s="88" t="s">
        <v>55</v>
      </c>
      <c r="D21" s="94"/>
      <c r="E21" s="95"/>
      <c r="F21" s="95"/>
      <c r="G21" s="95"/>
      <c r="H21" s="95"/>
      <c r="I21" s="94">
        <v>33300</v>
      </c>
      <c r="J21" s="97" t="s">
        <v>19</v>
      </c>
      <c r="K21" s="88"/>
      <c r="N21" s="85" t="s">
        <v>199</v>
      </c>
      <c r="O21" s="85">
        <v>39500</v>
      </c>
      <c r="P21" s="85">
        <v>41200</v>
      </c>
      <c r="Q21" s="85">
        <v>38500</v>
      </c>
      <c r="R21" s="85">
        <v>40100</v>
      </c>
      <c r="S21" s="85">
        <v>39500</v>
      </c>
      <c r="T21" s="85">
        <f>(SUM(O21:S21))/5</f>
        <v>39760</v>
      </c>
    </row>
    <row r="22" spans="1:20" ht="15.75" customHeight="1" x14ac:dyDescent="0.5">
      <c r="A22" s="88"/>
      <c r="B22" s="88" t="s">
        <v>56</v>
      </c>
      <c r="D22" s="94"/>
      <c r="E22" s="95"/>
      <c r="F22" s="95"/>
      <c r="G22" s="95"/>
      <c r="H22" s="95"/>
      <c r="I22" s="94">
        <v>32900</v>
      </c>
      <c r="J22" s="97" t="s">
        <v>19</v>
      </c>
      <c r="K22" s="88"/>
      <c r="N22" s="85" t="s">
        <v>200</v>
      </c>
      <c r="O22" s="85">
        <v>44000</v>
      </c>
      <c r="P22" s="85">
        <v>42500</v>
      </c>
      <c r="Q22" s="100">
        <v>33000</v>
      </c>
      <c r="R22" s="85">
        <v>44100</v>
      </c>
      <c r="S22" s="85">
        <v>44000</v>
      </c>
      <c r="T22" s="85">
        <f>(SUM(+O22+P22+R22+S22))/4</f>
        <v>43650</v>
      </c>
    </row>
    <row r="23" spans="1:20" ht="15.75" customHeight="1" x14ac:dyDescent="0.5">
      <c r="A23" s="88"/>
      <c r="B23" s="88" t="s">
        <v>57</v>
      </c>
      <c r="D23" s="94"/>
      <c r="E23" s="95"/>
      <c r="F23" s="95"/>
      <c r="G23" s="95"/>
      <c r="H23" s="95"/>
      <c r="I23" s="94">
        <v>33300</v>
      </c>
      <c r="J23" s="97" t="s">
        <v>19</v>
      </c>
      <c r="K23" s="88"/>
      <c r="N23" s="85" t="s">
        <v>201</v>
      </c>
      <c r="O23" s="85">
        <v>55000</v>
      </c>
      <c r="P23" s="85">
        <v>41200</v>
      </c>
      <c r="Q23" s="85">
        <v>45000</v>
      </c>
      <c r="R23" s="85">
        <v>55600</v>
      </c>
      <c r="S23" s="85">
        <v>55500</v>
      </c>
      <c r="T23" s="85">
        <f t="shared" ref="T23:T30" si="0">(SUM(O23:S23))/5</f>
        <v>50460</v>
      </c>
    </row>
    <row r="24" spans="1:20" ht="15.75" customHeight="1" x14ac:dyDescent="0.5">
      <c r="A24" s="88"/>
      <c r="B24" s="88" t="s">
        <v>58</v>
      </c>
      <c r="D24" s="94"/>
      <c r="E24" s="95"/>
      <c r="F24" s="95"/>
      <c r="G24" s="95"/>
      <c r="H24" s="95"/>
      <c r="I24" s="94">
        <v>55500</v>
      </c>
      <c r="J24" s="97" t="s">
        <v>19</v>
      </c>
      <c r="K24" s="88"/>
      <c r="N24" s="85" t="s">
        <v>202</v>
      </c>
      <c r="O24" s="85">
        <v>49000</v>
      </c>
      <c r="P24" s="85">
        <v>47000</v>
      </c>
      <c r="Q24" s="100">
        <v>32500</v>
      </c>
      <c r="R24" s="85">
        <v>49100</v>
      </c>
      <c r="S24" s="85">
        <v>49000</v>
      </c>
      <c r="T24" s="85">
        <f>(SUM(+O24+P24+R24+S24))/4</f>
        <v>48525</v>
      </c>
    </row>
    <row r="25" spans="1:20" ht="15.75" customHeight="1" x14ac:dyDescent="0.5">
      <c r="A25" s="88" t="s">
        <v>59</v>
      </c>
      <c r="B25" s="88"/>
      <c r="D25" s="94"/>
      <c r="E25" s="95"/>
      <c r="F25" s="95"/>
      <c r="G25" s="95" t="s">
        <v>60</v>
      </c>
      <c r="H25" s="95" t="s">
        <v>234</v>
      </c>
      <c r="I25" s="101" t="s">
        <v>217</v>
      </c>
      <c r="J25" s="97"/>
      <c r="K25" s="88"/>
      <c r="N25" s="85" t="s">
        <v>203</v>
      </c>
      <c r="O25" s="85">
        <v>32700</v>
      </c>
      <c r="P25" s="85">
        <v>30400</v>
      </c>
      <c r="Q25" s="85">
        <v>31500</v>
      </c>
      <c r="R25" s="85">
        <v>33700</v>
      </c>
      <c r="S25" s="85">
        <v>33100</v>
      </c>
      <c r="T25" s="85">
        <f t="shared" si="0"/>
        <v>32280</v>
      </c>
    </row>
    <row r="26" spans="1:20" ht="15.75" customHeight="1" x14ac:dyDescent="0.5">
      <c r="A26" s="88"/>
      <c r="B26" s="88" t="s">
        <v>61</v>
      </c>
      <c r="D26" s="94"/>
      <c r="E26" s="95"/>
      <c r="F26" s="95"/>
      <c r="G26" s="95"/>
      <c r="H26" s="95"/>
      <c r="I26" s="94">
        <v>280.37</v>
      </c>
      <c r="J26" s="97" t="s">
        <v>12</v>
      </c>
      <c r="K26" s="88" t="s">
        <v>66</v>
      </c>
      <c r="N26" s="85" t="s">
        <v>204</v>
      </c>
      <c r="O26" s="85">
        <v>32500</v>
      </c>
      <c r="P26" s="85">
        <v>30400</v>
      </c>
      <c r="Q26" s="85">
        <v>30500</v>
      </c>
      <c r="R26" s="85">
        <v>33500</v>
      </c>
      <c r="S26" s="85">
        <v>32900</v>
      </c>
      <c r="T26" s="85">
        <f t="shared" si="0"/>
        <v>31960</v>
      </c>
    </row>
    <row r="27" spans="1:20" ht="15.75" customHeight="1" x14ac:dyDescent="0.5">
      <c r="A27" s="88"/>
      <c r="B27" s="88" t="s">
        <v>62</v>
      </c>
      <c r="D27" s="94"/>
      <c r="E27" s="95"/>
      <c r="F27" s="95"/>
      <c r="G27" s="95"/>
      <c r="H27" s="95"/>
      <c r="I27" s="94">
        <v>327.10000000000002</v>
      </c>
      <c r="J27" s="97" t="s">
        <v>12</v>
      </c>
      <c r="K27" s="88" t="s">
        <v>66</v>
      </c>
      <c r="N27" s="85" t="s">
        <v>205</v>
      </c>
      <c r="O27" s="85">
        <v>32900</v>
      </c>
      <c r="P27" s="85">
        <v>31700</v>
      </c>
      <c r="Q27" s="85">
        <v>31500</v>
      </c>
      <c r="R27" s="85">
        <v>33900</v>
      </c>
      <c r="S27" s="85">
        <v>33300</v>
      </c>
      <c r="T27" s="85">
        <f t="shared" si="0"/>
        <v>32660</v>
      </c>
    </row>
    <row r="28" spans="1:20" ht="15.75" customHeight="1" x14ac:dyDescent="0.5">
      <c r="A28" s="88"/>
      <c r="B28" s="88" t="s">
        <v>63</v>
      </c>
      <c r="D28" s="94"/>
      <c r="E28" s="95"/>
      <c r="F28" s="95"/>
      <c r="G28" s="95"/>
      <c r="H28" s="95"/>
      <c r="I28" s="94">
        <v>327.10000000000002</v>
      </c>
      <c r="J28" s="97" t="s">
        <v>12</v>
      </c>
      <c r="K28" s="88" t="s">
        <v>66</v>
      </c>
      <c r="N28" s="85" t="s">
        <v>206</v>
      </c>
      <c r="O28" s="85">
        <v>32900</v>
      </c>
      <c r="P28" s="85">
        <v>30400</v>
      </c>
      <c r="Q28" s="85">
        <v>32000</v>
      </c>
      <c r="R28" s="85">
        <v>33900</v>
      </c>
      <c r="S28" s="85">
        <v>33300</v>
      </c>
      <c r="T28" s="85">
        <f t="shared" si="0"/>
        <v>32500</v>
      </c>
    </row>
    <row r="29" spans="1:20" ht="15.75" customHeight="1" x14ac:dyDescent="0.5">
      <c r="A29" s="88"/>
      <c r="B29" s="88" t="s">
        <v>64</v>
      </c>
      <c r="D29" s="94"/>
      <c r="E29" s="95"/>
      <c r="F29" s="95"/>
      <c r="G29" s="95"/>
      <c r="H29" s="95"/>
      <c r="I29" s="94">
        <v>373.83</v>
      </c>
      <c r="J29" s="97" t="s">
        <v>12</v>
      </c>
      <c r="K29" s="88" t="s">
        <v>66</v>
      </c>
      <c r="N29" s="85" t="s">
        <v>207</v>
      </c>
      <c r="O29" s="85">
        <v>42400</v>
      </c>
      <c r="P29" s="85">
        <v>34300</v>
      </c>
      <c r="Q29" s="85">
        <v>37000</v>
      </c>
      <c r="R29" s="85">
        <v>43400</v>
      </c>
      <c r="S29" s="85">
        <v>42800</v>
      </c>
      <c r="T29" s="85">
        <f t="shared" si="0"/>
        <v>39980</v>
      </c>
    </row>
    <row r="30" spans="1:20" ht="15.75" customHeight="1" x14ac:dyDescent="0.5">
      <c r="A30" s="88"/>
      <c r="B30" s="88" t="s">
        <v>65</v>
      </c>
      <c r="D30" s="94"/>
      <c r="E30" s="95"/>
      <c r="F30" s="95"/>
      <c r="G30" s="95"/>
      <c r="H30" s="95"/>
      <c r="I30" s="94">
        <v>280</v>
      </c>
      <c r="J30" s="97" t="s">
        <v>16</v>
      </c>
      <c r="K30" s="88" t="s">
        <v>67</v>
      </c>
      <c r="N30" s="85" t="s">
        <v>208</v>
      </c>
      <c r="O30" s="85">
        <v>37900</v>
      </c>
      <c r="P30" s="85">
        <v>34000</v>
      </c>
      <c r="Q30" s="85">
        <v>32500</v>
      </c>
      <c r="R30" s="85">
        <v>38900</v>
      </c>
      <c r="S30" s="85">
        <v>38300</v>
      </c>
      <c r="T30" s="85">
        <f t="shared" si="0"/>
        <v>36320</v>
      </c>
    </row>
    <row r="31" spans="1:20" ht="15.75" customHeight="1" x14ac:dyDescent="0.5">
      <c r="A31" s="88" t="s">
        <v>75</v>
      </c>
      <c r="B31" s="89"/>
      <c r="D31" s="94"/>
      <c r="E31" s="95"/>
      <c r="F31" s="95"/>
      <c r="G31" s="95"/>
      <c r="H31" s="95"/>
      <c r="I31" s="94"/>
      <c r="J31" s="97"/>
      <c r="K31" s="88"/>
      <c r="P31" s="102"/>
    </row>
    <row r="32" spans="1:20" ht="15.75" customHeight="1" x14ac:dyDescent="0.5">
      <c r="A32" s="88"/>
      <c r="B32" s="88" t="s">
        <v>68</v>
      </c>
      <c r="C32" s="94"/>
      <c r="D32" s="95"/>
      <c r="E32" s="95"/>
      <c r="F32" s="95"/>
      <c r="G32" s="95"/>
      <c r="H32" s="95"/>
      <c r="I32" s="94">
        <v>7.67</v>
      </c>
      <c r="J32" s="95" t="s">
        <v>16</v>
      </c>
      <c r="K32" s="88"/>
      <c r="P32" s="102"/>
    </row>
    <row r="33" spans="1:16" ht="15.75" customHeight="1" x14ac:dyDescent="0.5">
      <c r="B33" s="83" t="s">
        <v>69</v>
      </c>
      <c r="I33" s="96">
        <v>7.41</v>
      </c>
      <c r="J33" s="83" t="s">
        <v>16</v>
      </c>
      <c r="P33" s="102"/>
    </row>
    <row r="34" spans="1:16" ht="15.75" customHeight="1" x14ac:dyDescent="0.5">
      <c r="A34" s="103"/>
      <c r="B34" s="104" t="s">
        <v>70</v>
      </c>
      <c r="D34" s="105"/>
      <c r="E34" s="105"/>
      <c r="F34" s="105"/>
      <c r="G34" s="105"/>
      <c r="J34" s="83"/>
    </row>
    <row r="35" spans="1:16" ht="15.75" customHeight="1" x14ac:dyDescent="0.5">
      <c r="A35" s="105"/>
      <c r="B35" s="106"/>
      <c r="C35" s="93" t="s">
        <v>71</v>
      </c>
      <c r="D35" s="105"/>
      <c r="F35" s="107"/>
      <c r="G35" s="105"/>
      <c r="H35" s="108"/>
      <c r="I35" s="93">
        <v>415.56</v>
      </c>
      <c r="J35" s="104" t="s">
        <v>19</v>
      </c>
      <c r="K35" s="105"/>
    </row>
    <row r="36" spans="1:16" ht="15.75" customHeight="1" x14ac:dyDescent="0.5">
      <c r="A36" s="105"/>
      <c r="B36" s="106"/>
      <c r="C36" s="93" t="s">
        <v>264</v>
      </c>
      <c r="D36" s="105"/>
      <c r="E36" s="105"/>
      <c r="H36" s="108"/>
      <c r="I36" s="93"/>
      <c r="J36" s="104"/>
      <c r="K36" s="105"/>
    </row>
    <row r="37" spans="1:16" ht="15.75" customHeight="1" x14ac:dyDescent="0.5">
      <c r="A37" s="105"/>
      <c r="B37" s="109"/>
      <c r="C37" s="93" t="s">
        <v>72</v>
      </c>
      <c r="D37" s="110"/>
      <c r="H37" s="108"/>
      <c r="I37" s="93">
        <v>250000</v>
      </c>
      <c r="J37" s="104" t="s">
        <v>76</v>
      </c>
      <c r="K37" s="105"/>
    </row>
    <row r="38" spans="1:16" ht="15.75" customHeight="1" x14ac:dyDescent="0.5">
      <c r="A38" s="105"/>
      <c r="B38" s="105"/>
      <c r="C38" s="96" t="s">
        <v>265</v>
      </c>
      <c r="D38" s="104"/>
      <c r="F38" s="108"/>
      <c r="H38" s="108"/>
      <c r="I38" s="85"/>
    </row>
    <row r="39" spans="1:16" ht="15.75" customHeight="1" x14ac:dyDescent="0.5">
      <c r="A39" s="105"/>
      <c r="B39" s="105"/>
      <c r="D39" s="104" t="s">
        <v>73</v>
      </c>
      <c r="F39" s="108"/>
      <c r="H39" s="108"/>
      <c r="I39" s="93">
        <v>15.52</v>
      </c>
      <c r="J39" s="104" t="s">
        <v>16</v>
      </c>
    </row>
    <row r="40" spans="1:16" ht="15.75" customHeight="1" x14ac:dyDescent="0.5">
      <c r="D40" s="85" t="s">
        <v>74</v>
      </c>
      <c r="I40" s="93">
        <v>12.07</v>
      </c>
      <c r="J40" s="104" t="s">
        <v>16</v>
      </c>
    </row>
    <row r="41" spans="1:16" ht="15.75" customHeight="1" x14ac:dyDescent="0.5">
      <c r="A41" s="85" t="s">
        <v>77</v>
      </c>
      <c r="I41" s="93"/>
      <c r="J41" s="104"/>
      <c r="L41" s="111"/>
    </row>
    <row r="42" spans="1:16" ht="15.75" customHeight="1" x14ac:dyDescent="0.5">
      <c r="B42" s="85" t="s">
        <v>78</v>
      </c>
      <c r="I42" s="85"/>
      <c r="J42" s="104"/>
    </row>
    <row r="43" spans="1:16" ht="15.75" customHeight="1" x14ac:dyDescent="0.5">
      <c r="B43" s="85" t="s">
        <v>270</v>
      </c>
      <c r="I43" s="93">
        <v>319</v>
      </c>
      <c r="J43" s="104" t="s">
        <v>11</v>
      </c>
    </row>
    <row r="44" spans="1:16" ht="15.75" customHeight="1" x14ac:dyDescent="0.5">
      <c r="B44" s="85" t="s">
        <v>79</v>
      </c>
      <c r="I44" s="93">
        <v>40</v>
      </c>
      <c r="J44" s="104" t="s">
        <v>11</v>
      </c>
    </row>
    <row r="45" spans="1:16" ht="15.75" customHeight="1" x14ac:dyDescent="0.5">
      <c r="B45" s="85" t="s">
        <v>192</v>
      </c>
      <c r="I45" s="93">
        <v>60</v>
      </c>
      <c r="J45" s="104" t="s">
        <v>11</v>
      </c>
    </row>
    <row r="46" spans="1:16" ht="15.75" customHeight="1" x14ac:dyDescent="0.5">
      <c r="B46" s="85" t="s">
        <v>80</v>
      </c>
      <c r="I46" s="93">
        <v>12</v>
      </c>
      <c r="J46" s="104" t="s">
        <v>11</v>
      </c>
    </row>
    <row r="47" spans="1:16" ht="15.75" customHeight="1" x14ac:dyDescent="0.5">
      <c r="B47" s="85" t="s">
        <v>81</v>
      </c>
      <c r="I47" s="96">
        <f>+I43+I44+I45+I46</f>
        <v>431</v>
      </c>
      <c r="J47" s="104" t="s">
        <v>11</v>
      </c>
    </row>
    <row r="48" spans="1:16" ht="15.75" customHeight="1" x14ac:dyDescent="0.5">
      <c r="B48" s="85" t="s">
        <v>82</v>
      </c>
      <c r="G48" s="85" t="s">
        <v>271</v>
      </c>
      <c r="I48" s="96">
        <v>163.87</v>
      </c>
      <c r="J48" s="104" t="s">
        <v>19</v>
      </c>
    </row>
    <row r="49" spans="1:14" ht="15.75" customHeight="1" x14ac:dyDescent="0.5">
      <c r="B49" s="85" t="s">
        <v>83</v>
      </c>
      <c r="I49" s="96">
        <v>1.64</v>
      </c>
      <c r="J49" s="104" t="s">
        <v>19</v>
      </c>
    </row>
    <row r="50" spans="1:14" ht="15.75" customHeight="1" x14ac:dyDescent="0.5">
      <c r="B50" s="85" t="s">
        <v>84</v>
      </c>
      <c r="J50" s="104"/>
    </row>
    <row r="51" spans="1:14" ht="15.75" customHeight="1" x14ac:dyDescent="0.5">
      <c r="B51" s="85" t="s">
        <v>85</v>
      </c>
      <c r="E51" s="85">
        <v>5</v>
      </c>
      <c r="F51" s="85" t="s">
        <v>11</v>
      </c>
      <c r="G51" s="85" t="s">
        <v>86</v>
      </c>
      <c r="J51" s="104"/>
    </row>
    <row r="52" spans="1:14" ht="15.75" customHeight="1" x14ac:dyDescent="0.5">
      <c r="C52" s="96" t="s">
        <v>87</v>
      </c>
      <c r="I52" s="96">
        <v>12.25</v>
      </c>
      <c r="J52" s="104" t="s">
        <v>19</v>
      </c>
    </row>
    <row r="53" spans="1:14" ht="15.75" customHeight="1" x14ac:dyDescent="0.5">
      <c r="C53" s="96" t="s">
        <v>88</v>
      </c>
      <c r="I53" s="96">
        <v>17.149999999999999</v>
      </c>
      <c r="J53" s="85" t="s">
        <v>12</v>
      </c>
    </row>
    <row r="54" spans="1:14" ht="15.75" customHeight="1" x14ac:dyDescent="0.5">
      <c r="B54" s="85" t="s">
        <v>89</v>
      </c>
      <c r="C54" s="112"/>
      <c r="E54" s="85">
        <v>1</v>
      </c>
      <c r="F54" s="85" t="s">
        <v>11</v>
      </c>
      <c r="I54" s="112">
        <v>2.1</v>
      </c>
      <c r="J54" s="85" t="s">
        <v>19</v>
      </c>
    </row>
    <row r="55" spans="1:14" ht="15.75" customHeight="1" x14ac:dyDescent="0.5">
      <c r="C55" s="112"/>
      <c r="I55" s="112"/>
    </row>
    <row r="56" spans="1:14" ht="15.75" customHeight="1" x14ac:dyDescent="0.5">
      <c r="A56" s="85" t="s">
        <v>172</v>
      </c>
      <c r="K56" s="153" t="s">
        <v>310</v>
      </c>
      <c r="N56" s="113">
        <f>+F65-G66</f>
        <v>230</v>
      </c>
    </row>
    <row r="57" spans="1:14" ht="15.75" customHeight="1" x14ac:dyDescent="0.5">
      <c r="A57" s="85">
        <v>1</v>
      </c>
      <c r="B57" s="85" t="s">
        <v>90</v>
      </c>
      <c r="I57" s="114" t="s">
        <v>91</v>
      </c>
      <c r="J57" s="96">
        <v>100</v>
      </c>
      <c r="K57" s="85" t="s">
        <v>11</v>
      </c>
    </row>
    <row r="58" spans="1:14" ht="15.75" customHeight="1" x14ac:dyDescent="0.5">
      <c r="A58" s="85">
        <v>2</v>
      </c>
      <c r="B58" s="85" t="s">
        <v>92</v>
      </c>
      <c r="I58" s="114"/>
      <c r="J58" s="96"/>
    </row>
    <row r="59" spans="1:14" ht="15.75" customHeight="1" x14ac:dyDescent="0.5">
      <c r="C59" s="96" t="s">
        <v>193</v>
      </c>
      <c r="E59" s="85" t="s">
        <v>272</v>
      </c>
      <c r="I59" s="114" t="s">
        <v>91</v>
      </c>
      <c r="J59" s="96">
        <v>100</v>
      </c>
      <c r="K59" s="85" t="s">
        <v>11</v>
      </c>
    </row>
    <row r="60" spans="1:14" ht="15.75" customHeight="1" x14ac:dyDescent="0.5">
      <c r="E60" s="85" t="s">
        <v>93</v>
      </c>
      <c r="I60" s="115" t="s">
        <v>91</v>
      </c>
      <c r="J60" s="96">
        <v>100</v>
      </c>
      <c r="K60" s="85" t="s">
        <v>11</v>
      </c>
    </row>
    <row r="61" spans="1:14" ht="15.75" customHeight="1" x14ac:dyDescent="0.5">
      <c r="A61" s="85">
        <v>3</v>
      </c>
      <c r="B61" s="85" t="s">
        <v>94</v>
      </c>
      <c r="J61" s="96"/>
    </row>
    <row r="62" spans="1:14" ht="15.75" customHeight="1" x14ac:dyDescent="0.5">
      <c r="B62" s="85" t="s">
        <v>95</v>
      </c>
      <c r="I62" s="115" t="s">
        <v>91</v>
      </c>
      <c r="J62" s="96">
        <f>+I48</f>
        <v>163.87</v>
      </c>
      <c r="K62" s="85" t="s">
        <v>19</v>
      </c>
    </row>
    <row r="63" spans="1:14" ht="15.75" customHeight="1" x14ac:dyDescent="0.5">
      <c r="B63" s="85" t="s">
        <v>96</v>
      </c>
      <c r="I63" s="115"/>
      <c r="J63" s="96"/>
    </row>
    <row r="64" spans="1:14" ht="15.75" customHeight="1" x14ac:dyDescent="0.5">
      <c r="B64" s="85" t="s">
        <v>97</v>
      </c>
      <c r="I64" s="115" t="s">
        <v>91</v>
      </c>
      <c r="J64" s="96">
        <f>+I47</f>
        <v>431</v>
      </c>
      <c r="K64" s="85" t="s">
        <v>11</v>
      </c>
    </row>
    <row r="65" spans="1:14" ht="15.75" customHeight="1" x14ac:dyDescent="0.5">
      <c r="B65" s="85" t="s">
        <v>98</v>
      </c>
      <c r="F65" s="96">
        <f>+J64</f>
        <v>431</v>
      </c>
      <c r="G65" s="85" t="s">
        <v>11</v>
      </c>
      <c r="J65" s="96"/>
    </row>
    <row r="66" spans="1:14" ht="15.75" customHeight="1" x14ac:dyDescent="0.5">
      <c r="C66" s="116" t="s">
        <v>150</v>
      </c>
      <c r="F66" s="96"/>
      <c r="G66" s="85">
        <v>201</v>
      </c>
      <c r="H66" s="85" t="s">
        <v>11</v>
      </c>
      <c r="I66" s="115" t="s">
        <v>91</v>
      </c>
      <c r="J66" s="96">
        <f>+J64-G66</f>
        <v>230</v>
      </c>
      <c r="K66" s="85" t="s">
        <v>11</v>
      </c>
    </row>
    <row r="67" spans="1:14" ht="15.75" customHeight="1" x14ac:dyDescent="0.5">
      <c r="C67" s="96" t="s">
        <v>99</v>
      </c>
      <c r="F67" s="96" t="s">
        <v>91</v>
      </c>
      <c r="H67" s="113">
        <v>1.64</v>
      </c>
      <c r="I67" s="115" t="s">
        <v>91</v>
      </c>
      <c r="J67" s="96">
        <f>+J66*H67</f>
        <v>377.2</v>
      </c>
      <c r="K67" s="85" t="s">
        <v>19</v>
      </c>
    </row>
    <row r="68" spans="1:14" ht="15.75" customHeight="1" x14ac:dyDescent="0.5">
      <c r="C68" s="96" t="s">
        <v>100</v>
      </c>
      <c r="F68" s="96"/>
      <c r="I68" s="115" t="s">
        <v>91</v>
      </c>
      <c r="J68" s="96">
        <f>+J62+J67</f>
        <v>541.06999999999994</v>
      </c>
      <c r="K68" s="85" t="s">
        <v>19</v>
      </c>
      <c r="L68" s="111"/>
    </row>
    <row r="69" spans="1:14" ht="15.75" customHeight="1" x14ac:dyDescent="0.5">
      <c r="B69" s="85" t="s">
        <v>85</v>
      </c>
      <c r="F69" s="96"/>
      <c r="J69" s="96"/>
    </row>
    <row r="70" spans="1:14" ht="15.75" customHeight="1" x14ac:dyDescent="0.5">
      <c r="C70" s="96" t="s">
        <v>101</v>
      </c>
      <c r="F70" s="96"/>
      <c r="G70" s="114" t="s">
        <v>91</v>
      </c>
      <c r="H70" s="96">
        <v>100</v>
      </c>
      <c r="I70" s="87" t="s">
        <v>11</v>
      </c>
      <c r="J70" s="96" t="s">
        <v>211</v>
      </c>
    </row>
    <row r="71" spans="1:14" ht="15.75" customHeight="1" x14ac:dyDescent="0.5">
      <c r="C71" s="96" t="s">
        <v>102</v>
      </c>
      <c r="F71" s="96"/>
      <c r="G71" s="114" t="s">
        <v>91</v>
      </c>
      <c r="H71" s="113">
        <f>+J64</f>
        <v>431</v>
      </c>
      <c r="I71" s="96" t="s">
        <v>11</v>
      </c>
      <c r="J71" s="96"/>
    </row>
    <row r="72" spans="1:14" ht="15.75" customHeight="1" x14ac:dyDescent="0.5">
      <c r="C72" s="96" t="s">
        <v>103</v>
      </c>
      <c r="F72" s="96"/>
      <c r="G72" s="114" t="s">
        <v>91</v>
      </c>
      <c r="H72" s="96">
        <v>12</v>
      </c>
      <c r="I72" s="96" t="s">
        <v>11</v>
      </c>
      <c r="J72" s="96"/>
    </row>
    <row r="73" spans="1:14" ht="15.75" customHeight="1" x14ac:dyDescent="0.5">
      <c r="C73" s="96" t="s">
        <v>104</v>
      </c>
      <c r="F73" s="96"/>
      <c r="G73" s="114" t="s">
        <v>91</v>
      </c>
      <c r="H73" s="85">
        <f>((((+I12/1000)/4)))</f>
        <v>0.08</v>
      </c>
      <c r="I73" s="96" t="s">
        <v>11</v>
      </c>
      <c r="J73" s="96" t="s">
        <v>105</v>
      </c>
    </row>
    <row r="74" spans="1:14" ht="15.75" customHeight="1" x14ac:dyDescent="0.5">
      <c r="B74" s="85" t="s">
        <v>106</v>
      </c>
      <c r="F74" s="96"/>
      <c r="G74" s="114"/>
      <c r="J74" s="96"/>
    </row>
    <row r="75" spans="1:14" ht="15.75" customHeight="1" x14ac:dyDescent="0.5">
      <c r="C75" s="96" t="s">
        <v>273</v>
      </c>
      <c r="F75" s="96"/>
      <c r="G75" s="114" t="s">
        <v>91</v>
      </c>
      <c r="H75" s="113">
        <f>+J62</f>
        <v>163.87</v>
      </c>
      <c r="I75" s="96" t="s">
        <v>19</v>
      </c>
      <c r="J75" s="96"/>
    </row>
    <row r="76" spans="1:14" ht="15.75" customHeight="1" x14ac:dyDescent="0.5">
      <c r="C76" s="96" t="s">
        <v>274</v>
      </c>
      <c r="F76" s="96"/>
      <c r="G76" s="114" t="s">
        <v>91</v>
      </c>
      <c r="H76" s="113">
        <f>+J68</f>
        <v>541.06999999999994</v>
      </c>
      <c r="I76" s="96" t="s">
        <v>19</v>
      </c>
      <c r="J76" s="96"/>
    </row>
    <row r="77" spans="1:14" ht="15.75" customHeight="1" x14ac:dyDescent="0.5">
      <c r="C77" s="96" t="s">
        <v>107</v>
      </c>
      <c r="F77" s="96"/>
      <c r="G77" s="114" t="s">
        <v>91</v>
      </c>
      <c r="H77" s="113">
        <f>+I53</f>
        <v>17.149999999999999</v>
      </c>
      <c r="I77" s="96" t="s">
        <v>12</v>
      </c>
      <c r="J77" s="96"/>
    </row>
    <row r="78" spans="1:14" ht="15.75" customHeight="1" x14ac:dyDescent="0.5">
      <c r="C78" s="96" t="s">
        <v>108</v>
      </c>
      <c r="F78" s="96"/>
      <c r="G78" s="114" t="s">
        <v>91</v>
      </c>
      <c r="J78" s="96"/>
      <c r="M78" s="85" t="s">
        <v>212</v>
      </c>
    </row>
    <row r="79" spans="1:14" ht="15.75" customHeight="1" x14ac:dyDescent="0.5">
      <c r="B79" s="85" t="s">
        <v>109</v>
      </c>
      <c r="G79" s="108"/>
      <c r="J79" s="96"/>
    </row>
    <row r="80" spans="1:14" ht="15.75" customHeight="1" x14ac:dyDescent="0.5">
      <c r="A80" s="103"/>
      <c r="B80" s="105"/>
      <c r="C80" s="93" t="s">
        <v>276</v>
      </c>
      <c r="D80" s="105"/>
      <c r="E80" s="105"/>
      <c r="F80" s="105"/>
      <c r="G80" s="114" t="s">
        <v>91</v>
      </c>
      <c r="H80" s="85" t="s">
        <v>110</v>
      </c>
      <c r="I80" s="93" t="s">
        <v>111</v>
      </c>
      <c r="J80" s="93">
        <f>0.416/0.05</f>
        <v>8.3199999999999985</v>
      </c>
      <c r="N80" s="102" t="s">
        <v>151</v>
      </c>
    </row>
    <row r="81" spans="1:14" ht="15.75" customHeight="1" x14ac:dyDescent="0.5">
      <c r="A81" s="103"/>
      <c r="B81" s="105"/>
      <c r="C81" s="93"/>
      <c r="D81" s="105"/>
      <c r="E81" s="105"/>
      <c r="F81" s="105"/>
      <c r="G81" s="114" t="s">
        <v>91</v>
      </c>
      <c r="H81" s="113">
        <f>+I14</f>
        <v>1280</v>
      </c>
      <c r="I81" s="93" t="s">
        <v>111</v>
      </c>
      <c r="J81" s="93">
        <f>0.416/0.05</f>
        <v>8.3199999999999985</v>
      </c>
      <c r="N81" s="102" t="s">
        <v>152</v>
      </c>
    </row>
    <row r="82" spans="1:14" ht="15.75" customHeight="1" x14ac:dyDescent="0.5">
      <c r="A82" s="103"/>
      <c r="B82" s="105"/>
      <c r="C82" s="93"/>
      <c r="D82" s="105"/>
      <c r="E82" s="105"/>
      <c r="F82" s="105"/>
      <c r="G82" s="114" t="s">
        <v>91</v>
      </c>
      <c r="H82" s="113">
        <f>+H81/J81</f>
        <v>153.84615384615387</v>
      </c>
      <c r="I82" s="93" t="s">
        <v>18</v>
      </c>
      <c r="J82" s="93"/>
      <c r="N82" s="102" t="s">
        <v>194</v>
      </c>
    </row>
    <row r="83" spans="1:14" ht="15.75" customHeight="1" x14ac:dyDescent="0.5">
      <c r="A83" s="103"/>
      <c r="B83" s="105" t="s">
        <v>112</v>
      </c>
      <c r="C83" s="93"/>
      <c r="D83" s="105"/>
      <c r="E83" s="105"/>
      <c r="F83" s="105"/>
      <c r="I83" s="93"/>
      <c r="J83" s="93"/>
      <c r="N83" s="102" t="s">
        <v>213</v>
      </c>
    </row>
    <row r="84" spans="1:14" ht="15.75" customHeight="1" x14ac:dyDescent="0.5">
      <c r="A84" s="103"/>
      <c r="B84" s="105" t="s">
        <v>113</v>
      </c>
      <c r="C84" s="93"/>
      <c r="D84" s="105"/>
      <c r="E84" s="105"/>
      <c r="F84" s="105"/>
      <c r="G84" s="114" t="s">
        <v>91</v>
      </c>
      <c r="H84" s="93">
        <v>0.1</v>
      </c>
      <c r="I84" s="85" t="s">
        <v>44</v>
      </c>
      <c r="J84" s="93"/>
    </row>
    <row r="85" spans="1:14" ht="15.75" customHeight="1" x14ac:dyDescent="0.5">
      <c r="A85" s="103"/>
      <c r="B85" s="105" t="s">
        <v>114</v>
      </c>
      <c r="C85" s="93"/>
      <c r="D85" s="105"/>
      <c r="E85" s="105"/>
      <c r="F85" s="105"/>
      <c r="G85" s="114" t="s">
        <v>91</v>
      </c>
      <c r="H85" s="113">
        <f>+I12</f>
        <v>320</v>
      </c>
      <c r="I85" s="85" t="s">
        <v>44</v>
      </c>
      <c r="J85" s="93"/>
    </row>
    <row r="86" spans="1:14" ht="15.75" customHeight="1" x14ac:dyDescent="0.5">
      <c r="A86" s="103"/>
      <c r="B86" s="105" t="s">
        <v>117</v>
      </c>
      <c r="C86" s="93"/>
      <c r="D86" s="105"/>
      <c r="E86" s="105"/>
      <c r="F86" s="105"/>
      <c r="G86" s="114" t="s">
        <v>91</v>
      </c>
      <c r="H86" s="93">
        <v>2</v>
      </c>
      <c r="I86" s="93" t="s">
        <v>115</v>
      </c>
      <c r="J86" s="93"/>
    </row>
    <row r="87" spans="1:14" ht="15.75" customHeight="1" x14ac:dyDescent="0.5">
      <c r="A87" s="103"/>
      <c r="B87" s="105" t="s">
        <v>116</v>
      </c>
      <c r="C87" s="93"/>
      <c r="D87" s="105"/>
      <c r="E87" s="105"/>
      <c r="F87" s="105"/>
      <c r="G87" s="114" t="s">
        <v>91</v>
      </c>
      <c r="H87" s="93">
        <v>1</v>
      </c>
      <c r="I87" s="93" t="s">
        <v>115</v>
      </c>
      <c r="J87" s="93"/>
    </row>
    <row r="88" spans="1:14" ht="15.75" customHeight="1" x14ac:dyDescent="0.5">
      <c r="A88" s="103"/>
      <c r="B88" s="105"/>
      <c r="C88" s="93"/>
      <c r="D88" s="105"/>
      <c r="E88" s="105"/>
      <c r="F88" s="105"/>
      <c r="G88" s="114" t="s">
        <v>91</v>
      </c>
      <c r="H88" s="113">
        <f>+((H87+H86)*H84)*H85</f>
        <v>96.000000000000014</v>
      </c>
      <c r="I88" s="93" t="s">
        <v>118</v>
      </c>
      <c r="J88" s="93"/>
    </row>
    <row r="89" spans="1:14" ht="15.75" customHeight="1" x14ac:dyDescent="0.5">
      <c r="A89" s="117" t="s">
        <v>119</v>
      </c>
      <c r="B89" s="105"/>
      <c r="C89" s="93"/>
      <c r="D89" s="105"/>
      <c r="E89" s="105"/>
      <c r="F89" s="105"/>
      <c r="G89" s="114"/>
      <c r="H89" s="113"/>
      <c r="I89" s="93"/>
      <c r="J89" s="93"/>
    </row>
    <row r="90" spans="1:14" ht="15.75" customHeight="1" x14ac:dyDescent="0.5">
      <c r="A90" s="105" t="s">
        <v>132</v>
      </c>
      <c r="B90" s="105"/>
      <c r="C90" s="93"/>
      <c r="D90" s="105"/>
      <c r="E90" s="105"/>
      <c r="F90" s="105"/>
      <c r="G90" s="114" t="s">
        <v>91</v>
      </c>
      <c r="H90" s="113"/>
      <c r="I90" s="93"/>
      <c r="J90" s="93"/>
    </row>
    <row r="91" spans="1:14" ht="15.75" customHeight="1" x14ac:dyDescent="0.5">
      <c r="A91" s="105" t="s">
        <v>130</v>
      </c>
      <c r="B91" s="105"/>
      <c r="C91" s="93"/>
      <c r="D91" s="105"/>
      <c r="E91" s="105"/>
      <c r="F91" s="105"/>
      <c r="G91" s="114" t="s">
        <v>91</v>
      </c>
      <c r="I91" s="85"/>
      <c r="J91" s="113">
        <f>1*I20/1000</f>
        <v>33.1</v>
      </c>
      <c r="K91" s="93" t="s">
        <v>16</v>
      </c>
    </row>
    <row r="92" spans="1:14" ht="15.75" customHeight="1" x14ac:dyDescent="0.5">
      <c r="A92" s="105" t="s">
        <v>131</v>
      </c>
      <c r="B92" s="105"/>
      <c r="C92" s="93"/>
      <c r="D92" s="105"/>
      <c r="E92" s="105"/>
      <c r="F92" s="105"/>
      <c r="G92" s="114"/>
      <c r="H92" s="113"/>
      <c r="I92" s="114" t="s">
        <v>91</v>
      </c>
      <c r="J92" s="113">
        <f>+I32</f>
        <v>7.67</v>
      </c>
      <c r="K92" s="93" t="s">
        <v>16</v>
      </c>
    </row>
    <row r="93" spans="1:14" ht="15.75" customHeight="1" x14ac:dyDescent="0.5">
      <c r="A93" s="105" t="s">
        <v>120</v>
      </c>
      <c r="B93" s="105"/>
      <c r="C93" s="93"/>
      <c r="D93" s="105"/>
      <c r="E93" s="105"/>
      <c r="F93" s="105"/>
      <c r="G93" s="114" t="s">
        <v>91</v>
      </c>
      <c r="I93" s="85"/>
      <c r="J93" s="113">
        <f>+J91+J92</f>
        <v>40.770000000000003</v>
      </c>
      <c r="K93" s="93" t="s">
        <v>16</v>
      </c>
    </row>
    <row r="94" spans="1:14" ht="15.75" customHeight="1" x14ac:dyDescent="0.5">
      <c r="A94" s="105"/>
      <c r="B94" s="105"/>
      <c r="C94" s="93"/>
      <c r="D94" s="105"/>
      <c r="E94" s="105"/>
      <c r="F94" s="105"/>
      <c r="G94" s="114"/>
      <c r="H94" s="113"/>
      <c r="I94" s="93"/>
      <c r="J94" s="93"/>
    </row>
    <row r="95" spans="1:14" ht="15.75" customHeight="1" x14ac:dyDescent="0.5">
      <c r="A95" s="105"/>
      <c r="B95" s="235" t="s">
        <v>122</v>
      </c>
      <c r="C95" s="235"/>
      <c r="D95" s="235"/>
      <c r="E95" s="235"/>
      <c r="F95" s="235"/>
      <c r="G95" s="235"/>
      <c r="H95" s="235"/>
      <c r="I95" s="235"/>
      <c r="J95" s="235"/>
      <c r="K95" s="235"/>
    </row>
    <row r="96" spans="1:14" ht="15.75" customHeight="1" x14ac:dyDescent="0.5">
      <c r="B96" s="238" t="s">
        <v>121</v>
      </c>
      <c r="C96" s="238"/>
      <c r="D96" s="238"/>
      <c r="E96" s="238" t="s">
        <v>123</v>
      </c>
      <c r="F96" s="238"/>
      <c r="G96" s="238"/>
      <c r="H96" s="238"/>
      <c r="I96" s="242" t="s">
        <v>124</v>
      </c>
      <c r="J96" s="242"/>
      <c r="K96" s="242"/>
    </row>
    <row r="97" spans="1:12" ht="15.75" customHeight="1" x14ac:dyDescent="0.5">
      <c r="A97" s="105"/>
      <c r="B97" s="234" t="s">
        <v>125</v>
      </c>
      <c r="C97" s="234"/>
      <c r="D97" s="234"/>
      <c r="E97" s="238" t="s">
        <v>128</v>
      </c>
      <c r="F97" s="238"/>
      <c r="G97" s="238"/>
      <c r="H97" s="238"/>
      <c r="I97" s="239">
        <v>0.8</v>
      </c>
      <c r="J97" s="239"/>
      <c r="K97" s="239"/>
    </row>
    <row r="98" spans="1:12" ht="15.75" customHeight="1" x14ac:dyDescent="0.5">
      <c r="A98" s="105"/>
      <c r="B98" s="234" t="s">
        <v>126</v>
      </c>
      <c r="C98" s="234"/>
      <c r="D98" s="234"/>
      <c r="E98" s="238" t="s">
        <v>128</v>
      </c>
      <c r="F98" s="238"/>
      <c r="G98" s="238"/>
      <c r="H98" s="238"/>
      <c r="I98" s="239">
        <v>0.8</v>
      </c>
      <c r="J98" s="239"/>
      <c r="K98" s="239"/>
    </row>
    <row r="99" spans="1:12" ht="15.75" customHeight="1" x14ac:dyDescent="0.5">
      <c r="A99" s="105"/>
      <c r="B99" s="234" t="s">
        <v>127</v>
      </c>
      <c r="C99" s="234"/>
      <c r="D99" s="234"/>
      <c r="E99" s="238" t="s">
        <v>129</v>
      </c>
      <c r="F99" s="238"/>
      <c r="G99" s="238"/>
      <c r="H99" s="238"/>
      <c r="I99" s="239">
        <v>1</v>
      </c>
      <c r="J99" s="239"/>
      <c r="K99" s="239"/>
    </row>
    <row r="100" spans="1:12" ht="15.75" customHeight="1" x14ac:dyDescent="0.5">
      <c r="A100" s="85" t="s">
        <v>133</v>
      </c>
      <c r="C100" s="85"/>
      <c r="I100" s="93"/>
      <c r="J100" s="93"/>
    </row>
    <row r="101" spans="1:12" ht="15.75" customHeight="1" x14ac:dyDescent="0.5">
      <c r="C101" s="85"/>
      <c r="D101" s="85" t="s">
        <v>134</v>
      </c>
      <c r="E101" s="114" t="s">
        <v>91</v>
      </c>
      <c r="F101" s="247">
        <f>+I22</f>
        <v>32900</v>
      </c>
      <c r="G101" s="247"/>
      <c r="H101" s="85" t="s">
        <v>19</v>
      </c>
      <c r="I101" s="93"/>
      <c r="J101" s="93"/>
    </row>
    <row r="102" spans="1:12" ht="15.75" customHeight="1" x14ac:dyDescent="0.5">
      <c r="A102" s="105"/>
      <c r="B102" s="105"/>
      <c r="C102" s="93"/>
      <c r="D102" s="105" t="s">
        <v>94</v>
      </c>
      <c r="E102" s="114" t="s">
        <v>91</v>
      </c>
      <c r="F102" s="245">
        <f>+J68</f>
        <v>541.06999999999994</v>
      </c>
      <c r="G102" s="246"/>
      <c r="H102" s="113" t="s">
        <v>19</v>
      </c>
      <c r="I102" s="93"/>
      <c r="J102" s="93"/>
      <c r="K102" s="85">
        <f>+F103/1000*0.3</f>
        <v>10.032320999999998</v>
      </c>
    </row>
    <row r="103" spans="1:12" ht="15.75" customHeight="1" x14ac:dyDescent="0.5">
      <c r="A103" s="105"/>
      <c r="B103" s="105"/>
      <c r="C103" s="93"/>
      <c r="D103" s="105" t="s">
        <v>135</v>
      </c>
      <c r="E103" s="114" t="s">
        <v>91</v>
      </c>
      <c r="F103" s="245">
        <f>+F101+F102</f>
        <v>33441.07</v>
      </c>
      <c r="G103" s="246"/>
      <c r="H103" s="113" t="s">
        <v>19</v>
      </c>
      <c r="I103" s="93"/>
      <c r="J103" s="93"/>
    </row>
    <row r="104" spans="1:12" ht="15.75" customHeight="1" x14ac:dyDescent="0.5">
      <c r="A104" s="105" t="s">
        <v>236</v>
      </c>
      <c r="B104" s="105"/>
      <c r="C104" s="93"/>
      <c r="D104" s="105"/>
      <c r="E104" s="105"/>
      <c r="F104" s="105"/>
      <c r="G104" s="114"/>
      <c r="H104" s="114" t="s">
        <v>91</v>
      </c>
      <c r="I104" s="93">
        <f>+F103*0.3/1000</f>
        <v>10.032321</v>
      </c>
      <c r="J104" s="93" t="s">
        <v>16</v>
      </c>
    </row>
    <row r="105" spans="1:12" ht="15.75" customHeight="1" x14ac:dyDescent="0.5">
      <c r="A105" s="105" t="s">
        <v>136</v>
      </c>
      <c r="B105" s="105"/>
      <c r="C105" s="93"/>
      <c r="D105" s="105"/>
      <c r="E105" s="105"/>
      <c r="F105" s="105"/>
      <c r="G105" s="114"/>
      <c r="H105" s="114" t="s">
        <v>91</v>
      </c>
      <c r="I105" s="93">
        <f>+I33</f>
        <v>7.41</v>
      </c>
      <c r="J105" s="93" t="s">
        <v>16</v>
      </c>
    </row>
    <row r="106" spans="1:12" ht="15.75" customHeight="1" x14ac:dyDescent="0.5">
      <c r="A106" s="105" t="s">
        <v>137</v>
      </c>
      <c r="B106" s="105"/>
      <c r="C106" s="93"/>
      <c r="D106" s="105"/>
      <c r="E106" s="105"/>
      <c r="F106" s="105"/>
      <c r="G106" s="114"/>
      <c r="H106" s="114" t="s">
        <v>91</v>
      </c>
      <c r="I106" s="119">
        <f>+I105+I104</f>
        <v>17.442321</v>
      </c>
      <c r="J106" s="93" t="s">
        <v>16</v>
      </c>
    </row>
    <row r="107" spans="1:12" ht="15.75" customHeight="1" x14ac:dyDescent="0.5">
      <c r="A107" s="105" t="s">
        <v>138</v>
      </c>
      <c r="B107" s="105"/>
      <c r="C107" s="93"/>
      <c r="D107" s="105"/>
      <c r="E107" s="105"/>
      <c r="F107" s="105"/>
      <c r="G107" s="114"/>
      <c r="H107" s="114" t="s">
        <v>91</v>
      </c>
      <c r="I107" s="119">
        <f>+ROUNDUP(I106,0)</f>
        <v>18</v>
      </c>
      <c r="J107" s="93" t="s">
        <v>16</v>
      </c>
    </row>
    <row r="108" spans="1:12" ht="15.75" customHeight="1" x14ac:dyDescent="0.5">
      <c r="A108" s="105"/>
      <c r="B108" s="105"/>
      <c r="C108" s="93"/>
      <c r="D108" s="105"/>
      <c r="E108" s="105"/>
      <c r="F108" s="105"/>
      <c r="G108" s="114"/>
      <c r="H108" s="114"/>
      <c r="I108" s="119"/>
      <c r="J108" s="93"/>
    </row>
    <row r="109" spans="1:12" ht="15.75" customHeight="1" x14ac:dyDescent="0.5">
      <c r="A109" s="105"/>
      <c r="B109" s="105"/>
      <c r="C109" s="93"/>
      <c r="D109" s="105"/>
      <c r="E109" s="105"/>
      <c r="F109" s="105"/>
      <c r="G109" s="114"/>
      <c r="H109" s="114"/>
      <c r="I109" s="119"/>
      <c r="J109" s="93"/>
    </row>
    <row r="110" spans="1:12" ht="15.75" customHeight="1" x14ac:dyDescent="0.5">
      <c r="A110" s="105"/>
      <c r="B110" s="105"/>
      <c r="C110" s="93"/>
      <c r="D110" s="105"/>
      <c r="E110" s="105"/>
      <c r="F110" s="105"/>
      <c r="G110" s="114"/>
      <c r="H110" s="114"/>
      <c r="I110" s="119"/>
      <c r="J110" s="93"/>
    </row>
    <row r="111" spans="1:12" ht="15.75" customHeight="1" x14ac:dyDescent="0.5">
      <c r="A111" s="105"/>
      <c r="B111" s="105"/>
      <c r="C111" s="93"/>
      <c r="D111" s="105"/>
      <c r="E111" s="105"/>
      <c r="F111" s="105"/>
      <c r="G111" s="114"/>
      <c r="H111" s="114"/>
      <c r="I111" s="119"/>
      <c r="J111" s="93"/>
      <c r="K111" s="153" t="s">
        <v>311</v>
      </c>
    </row>
    <row r="112" spans="1:12" ht="15.75" customHeight="1" x14ac:dyDescent="0.5">
      <c r="A112" s="105"/>
      <c r="B112" s="235" t="s">
        <v>139</v>
      </c>
      <c r="C112" s="235"/>
      <c r="D112" s="235"/>
      <c r="E112" s="235"/>
      <c r="F112" s="235"/>
      <c r="G112" s="235"/>
      <c r="H112" s="235"/>
      <c r="I112" s="235"/>
      <c r="J112" s="235"/>
      <c r="K112" s="235"/>
      <c r="L112" s="105"/>
    </row>
    <row r="113" spans="1:12" ht="15.75" customHeight="1" x14ac:dyDescent="0.5">
      <c r="A113" s="105"/>
      <c r="B113" s="248" t="s">
        <v>140</v>
      </c>
      <c r="C113" s="249"/>
      <c r="D113" s="250"/>
      <c r="E113" s="254" t="s">
        <v>144</v>
      </c>
      <c r="F113" s="255"/>
      <c r="G113" s="255"/>
      <c r="H113" s="255"/>
      <c r="I113" s="255"/>
      <c r="J113" s="256"/>
      <c r="K113" s="120" t="s">
        <v>147</v>
      </c>
      <c r="L113" s="108"/>
    </row>
    <row r="114" spans="1:12" ht="15.75" customHeight="1" x14ac:dyDescent="0.5">
      <c r="A114" s="105"/>
      <c r="B114" s="251"/>
      <c r="C114" s="252"/>
      <c r="D114" s="253"/>
      <c r="E114" s="238" t="s">
        <v>145</v>
      </c>
      <c r="F114" s="238"/>
      <c r="G114" s="238"/>
      <c r="H114" s="238"/>
      <c r="I114" s="236" t="s">
        <v>146</v>
      </c>
      <c r="J114" s="237"/>
      <c r="K114" s="121" t="s">
        <v>148</v>
      </c>
      <c r="L114" s="108"/>
    </row>
    <row r="115" spans="1:12" ht="15.75" customHeight="1" x14ac:dyDescent="0.5">
      <c r="A115" s="105"/>
      <c r="B115" s="234" t="s">
        <v>141</v>
      </c>
      <c r="C115" s="234"/>
      <c r="D115" s="234"/>
      <c r="E115" s="238">
        <v>5.0999999999999996</v>
      </c>
      <c r="F115" s="238"/>
      <c r="G115" s="238"/>
      <c r="H115" s="238"/>
      <c r="I115" s="236">
        <v>5.2</v>
      </c>
      <c r="J115" s="237"/>
      <c r="K115" s="118">
        <v>4.5</v>
      </c>
      <c r="L115" s="108"/>
    </row>
    <row r="116" spans="1:12" ht="15.75" customHeight="1" x14ac:dyDescent="0.5">
      <c r="B116" s="234" t="s">
        <v>142</v>
      </c>
      <c r="C116" s="234"/>
      <c r="D116" s="234"/>
      <c r="E116" s="238">
        <v>5.4</v>
      </c>
      <c r="F116" s="238"/>
      <c r="G116" s="238"/>
      <c r="H116" s="238"/>
      <c r="I116" s="236">
        <v>5.5</v>
      </c>
      <c r="J116" s="237"/>
      <c r="K116" s="118"/>
      <c r="L116" s="108"/>
    </row>
    <row r="117" spans="1:12" ht="15.75" customHeight="1" x14ac:dyDescent="0.5">
      <c r="A117" s="105"/>
      <c r="B117" s="234" t="s">
        <v>143</v>
      </c>
      <c r="C117" s="234"/>
      <c r="D117" s="234"/>
      <c r="E117" s="238">
        <v>5.8</v>
      </c>
      <c r="F117" s="238"/>
      <c r="G117" s="238"/>
      <c r="H117" s="238"/>
      <c r="I117" s="236">
        <v>5.9</v>
      </c>
      <c r="J117" s="237"/>
      <c r="K117" s="118"/>
      <c r="L117" s="108"/>
    </row>
    <row r="118" spans="1:12" ht="15.75" customHeight="1" x14ac:dyDescent="0.5">
      <c r="A118" s="105"/>
      <c r="B118" s="104"/>
      <c r="C118" s="104"/>
      <c r="D118" s="104"/>
      <c r="E118" s="108"/>
      <c r="F118" s="108"/>
      <c r="G118" s="108"/>
      <c r="H118" s="108"/>
      <c r="I118" s="122"/>
      <c r="J118" s="122"/>
      <c r="K118" s="122"/>
      <c r="L118" s="108"/>
    </row>
    <row r="119" spans="1:12" ht="15.75" customHeight="1" x14ac:dyDescent="0.5">
      <c r="A119" s="103" t="s">
        <v>149</v>
      </c>
      <c r="B119" s="103"/>
      <c r="C119" s="123"/>
      <c r="D119" s="103"/>
      <c r="E119" s="103"/>
      <c r="F119" s="105"/>
      <c r="G119" s="124"/>
      <c r="H119" s="103"/>
      <c r="I119" s="125" t="s">
        <v>17</v>
      </c>
      <c r="J119" s="126">
        <v>5</v>
      </c>
      <c r="K119" s="117" t="s">
        <v>9</v>
      </c>
      <c r="L119" s="108"/>
    </row>
    <row r="120" spans="1:12" ht="15.75" customHeight="1" x14ac:dyDescent="0.5">
      <c r="A120" s="105" t="s">
        <v>38</v>
      </c>
      <c r="B120" s="105"/>
      <c r="D120" s="105"/>
      <c r="E120" s="105"/>
      <c r="F120" s="105"/>
      <c r="I120" s="115" t="s">
        <v>6</v>
      </c>
      <c r="J120" s="127">
        <f>I14/J80</f>
        <v>153.84615384615387</v>
      </c>
      <c r="K120" s="108" t="s">
        <v>18</v>
      </c>
      <c r="L120" s="104"/>
    </row>
    <row r="121" spans="1:12" ht="15.75" customHeight="1" x14ac:dyDescent="0.5">
      <c r="A121" s="105" t="s">
        <v>275</v>
      </c>
      <c r="B121" s="105"/>
      <c r="C121" s="119"/>
      <c r="D121" s="128"/>
      <c r="E121" s="105"/>
      <c r="F121" s="105"/>
      <c r="H121" s="129">
        <f>+J62</f>
        <v>163.87</v>
      </c>
      <c r="I121" s="115" t="s">
        <v>6</v>
      </c>
      <c r="J121" s="130">
        <f>(H121*80)/J120</f>
        <v>85.212399999999988</v>
      </c>
      <c r="K121" s="108" t="s">
        <v>19</v>
      </c>
    </row>
    <row r="122" spans="1:12" ht="15.75" customHeight="1" x14ac:dyDescent="0.5">
      <c r="A122" s="105" t="s">
        <v>35</v>
      </c>
      <c r="B122" s="105"/>
      <c r="C122" s="115"/>
      <c r="D122" s="128"/>
      <c r="E122" s="108"/>
      <c r="F122" s="108"/>
      <c r="I122" s="115" t="s">
        <v>6</v>
      </c>
      <c r="J122" s="131">
        <f>250000/10000</f>
        <v>25</v>
      </c>
      <c r="K122" s="108" t="s">
        <v>19</v>
      </c>
    </row>
    <row r="123" spans="1:12" ht="15.75" customHeight="1" x14ac:dyDescent="0.5">
      <c r="A123" s="232" t="s">
        <v>39</v>
      </c>
      <c r="B123" s="232"/>
      <c r="C123" s="232"/>
      <c r="D123" s="232"/>
      <c r="E123" s="232"/>
      <c r="F123" s="232"/>
      <c r="G123" s="232"/>
      <c r="H123" s="232"/>
      <c r="I123" s="232"/>
      <c r="J123" s="232"/>
      <c r="K123" s="232"/>
    </row>
    <row r="124" spans="1:12" ht="15.75" customHeight="1" x14ac:dyDescent="0.5">
      <c r="A124" s="233" t="s">
        <v>40</v>
      </c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</row>
    <row r="125" spans="1:12" ht="15.75" customHeight="1" x14ac:dyDescent="0.5">
      <c r="A125" s="105" t="s">
        <v>32</v>
      </c>
      <c r="B125" s="105"/>
      <c r="D125" s="129">
        <f>+I19</f>
        <v>36000</v>
      </c>
      <c r="E125" s="132" t="s">
        <v>21</v>
      </c>
      <c r="F125" s="129">
        <f>+H76</f>
        <v>541.06999999999994</v>
      </c>
      <c r="G125" s="114" t="s">
        <v>10</v>
      </c>
      <c r="H125" s="85">
        <v>5.1999999999999998E-2</v>
      </c>
      <c r="I125" s="115" t="s">
        <v>6</v>
      </c>
      <c r="J125" s="133">
        <f>(D125+F125)*H125</f>
        <v>1900.13564</v>
      </c>
      <c r="K125" s="108" t="s">
        <v>19</v>
      </c>
    </row>
    <row r="126" spans="1:12" ht="15.75" customHeight="1" x14ac:dyDescent="0.5">
      <c r="A126" s="105" t="s">
        <v>33</v>
      </c>
      <c r="B126" s="105"/>
      <c r="D126" s="129">
        <f>+I27</f>
        <v>327.10000000000002</v>
      </c>
      <c r="E126" s="132" t="s">
        <v>21</v>
      </c>
      <c r="F126" s="129">
        <f>+H77</f>
        <v>17.149999999999999</v>
      </c>
      <c r="G126" s="114" t="s">
        <v>10</v>
      </c>
      <c r="H126" s="85">
        <v>0.74</v>
      </c>
      <c r="I126" s="115" t="s">
        <v>6</v>
      </c>
      <c r="J126" s="134">
        <f>(D126+F126)*H126</f>
        <v>254.745</v>
      </c>
      <c r="K126" s="108" t="s">
        <v>19</v>
      </c>
    </row>
    <row r="127" spans="1:12" ht="15.75" customHeight="1" x14ac:dyDescent="0.5">
      <c r="A127" s="85" t="s">
        <v>41</v>
      </c>
      <c r="B127" s="105"/>
      <c r="F127" s="105"/>
      <c r="I127" s="115" t="s">
        <v>6</v>
      </c>
      <c r="J127" s="133">
        <f>+I35</f>
        <v>415.56</v>
      </c>
      <c r="K127" s="108" t="s">
        <v>19</v>
      </c>
    </row>
    <row r="128" spans="1:12" ht="15.75" customHeight="1" x14ac:dyDescent="0.5">
      <c r="A128" s="85" t="s">
        <v>34</v>
      </c>
      <c r="B128" s="105"/>
      <c r="F128" s="108">
        <f>+((I12/1000))/4</f>
        <v>0.08</v>
      </c>
      <c r="G128" s="85" t="s">
        <v>11</v>
      </c>
      <c r="H128" s="85" t="s">
        <v>42</v>
      </c>
      <c r="I128" s="115" t="s">
        <v>6</v>
      </c>
      <c r="J128" s="134">
        <f>+F128</f>
        <v>0.08</v>
      </c>
      <c r="K128" s="108" t="s">
        <v>19</v>
      </c>
    </row>
    <row r="129" spans="1:11" ht="15.75" customHeight="1" x14ac:dyDescent="0.5">
      <c r="A129" s="85" t="s">
        <v>268</v>
      </c>
      <c r="B129" s="105"/>
      <c r="F129" s="105"/>
      <c r="G129" s="109"/>
      <c r="H129" s="105"/>
      <c r="I129" s="115"/>
      <c r="J129" s="135"/>
      <c r="K129" s="114"/>
    </row>
    <row r="130" spans="1:11" ht="15.75" customHeight="1" x14ac:dyDescent="0.5">
      <c r="B130" s="105"/>
      <c r="D130" s="129">
        <f>+I107</f>
        <v>18</v>
      </c>
      <c r="E130" s="114" t="s">
        <v>10</v>
      </c>
      <c r="F130" s="136">
        <v>1</v>
      </c>
      <c r="G130" s="109" t="s">
        <v>10</v>
      </c>
      <c r="H130" s="129">
        <f>+J80</f>
        <v>8.3199999999999985</v>
      </c>
      <c r="I130" s="115" t="s">
        <v>6</v>
      </c>
      <c r="J130" s="133">
        <f>D130*F130*H130</f>
        <v>149.75999999999996</v>
      </c>
      <c r="K130" s="108" t="s">
        <v>19</v>
      </c>
    </row>
    <row r="131" spans="1:11" ht="15.75" customHeight="1" thickBot="1" x14ac:dyDescent="0.55000000000000004">
      <c r="A131" s="85" t="s">
        <v>14</v>
      </c>
      <c r="B131" s="105"/>
      <c r="F131" s="108"/>
      <c r="I131" s="115" t="s">
        <v>6</v>
      </c>
      <c r="J131" s="137">
        <f>J121+J122+J125+J126+J127+J128</f>
        <v>2680.7330399999996</v>
      </c>
      <c r="K131" s="108" t="s">
        <v>19</v>
      </c>
    </row>
    <row r="132" spans="1:11" ht="15.75" customHeight="1" thickTop="1" thickBot="1" x14ac:dyDescent="0.55000000000000004">
      <c r="A132" s="85" t="s">
        <v>20</v>
      </c>
      <c r="B132" s="105"/>
      <c r="F132" s="105"/>
      <c r="I132" s="115" t="s">
        <v>6</v>
      </c>
      <c r="J132" s="138">
        <f>+J131/J81</f>
        <v>322.20349038461541</v>
      </c>
      <c r="K132" s="114" t="s">
        <v>31</v>
      </c>
    </row>
    <row r="133" spans="1:11" ht="15.75" customHeight="1" thickTop="1" x14ac:dyDescent="0.5">
      <c r="A133" s="85" t="s">
        <v>20</v>
      </c>
      <c r="B133" s="105"/>
      <c r="F133" s="105"/>
      <c r="I133" s="115" t="s">
        <v>6</v>
      </c>
      <c r="J133" s="139">
        <v>326</v>
      </c>
      <c r="K133" s="114" t="s">
        <v>31</v>
      </c>
    </row>
    <row r="134" spans="1:11" ht="15.75" customHeight="1" x14ac:dyDescent="0.5">
      <c r="A134" s="103" t="s">
        <v>22</v>
      </c>
      <c r="B134" s="103"/>
      <c r="C134" s="140"/>
      <c r="D134" s="141"/>
      <c r="E134" s="103"/>
      <c r="F134" s="103"/>
      <c r="G134" s="108"/>
      <c r="H134" s="127"/>
      <c r="I134" s="142"/>
      <c r="K134" s="105"/>
    </row>
    <row r="135" spans="1:11" ht="15.75" customHeight="1" x14ac:dyDescent="0.5">
      <c r="A135" s="103" t="s">
        <v>23</v>
      </c>
      <c r="B135" s="103"/>
      <c r="C135" s="143"/>
      <c r="D135" s="103"/>
      <c r="E135" s="103"/>
      <c r="F135" s="103"/>
      <c r="G135" s="108"/>
      <c r="H135" s="144"/>
      <c r="I135" s="142"/>
      <c r="K135" s="105"/>
    </row>
    <row r="136" spans="1:11" ht="15.75" customHeight="1" x14ac:dyDescent="0.5">
      <c r="A136" s="105" t="s">
        <v>24</v>
      </c>
      <c r="B136" s="105"/>
      <c r="C136" s="145">
        <v>6</v>
      </c>
      <c r="D136" s="105" t="s">
        <v>25</v>
      </c>
      <c r="E136" s="85" t="s">
        <v>13</v>
      </c>
      <c r="F136" s="145">
        <v>39</v>
      </c>
      <c r="G136" s="108" t="s">
        <v>6</v>
      </c>
      <c r="H136" s="130">
        <f>C136*F136</f>
        <v>234</v>
      </c>
      <c r="I136" s="142" t="s">
        <v>8</v>
      </c>
    </row>
    <row r="137" spans="1:11" ht="15.75" customHeight="1" x14ac:dyDescent="0.5">
      <c r="A137" s="105" t="s">
        <v>26</v>
      </c>
      <c r="B137" s="105"/>
      <c r="C137" s="146">
        <v>0.41699999999999998</v>
      </c>
      <c r="D137" s="105" t="s">
        <v>25</v>
      </c>
      <c r="E137" s="85" t="s">
        <v>13</v>
      </c>
      <c r="F137" s="146">
        <v>60</v>
      </c>
      <c r="G137" s="108" t="s">
        <v>6</v>
      </c>
      <c r="H137" s="131">
        <f>C137*F137</f>
        <v>25.02</v>
      </c>
      <c r="I137" s="142" t="s">
        <v>8</v>
      </c>
    </row>
    <row r="138" spans="1:11" ht="15.75" customHeight="1" x14ac:dyDescent="0.5">
      <c r="A138" s="105" t="s">
        <v>27</v>
      </c>
      <c r="B138" s="105"/>
      <c r="C138" s="145">
        <v>1</v>
      </c>
      <c r="D138" s="105" t="s">
        <v>3</v>
      </c>
      <c r="E138" s="85" t="s">
        <v>13</v>
      </c>
      <c r="F138" s="146">
        <v>11.43</v>
      </c>
      <c r="G138" s="108" t="s">
        <v>6</v>
      </c>
      <c r="H138" s="131">
        <f>C138*F138</f>
        <v>11.43</v>
      </c>
      <c r="I138" s="142" t="s">
        <v>8</v>
      </c>
    </row>
    <row r="139" spans="1:11" ht="15.75" customHeight="1" x14ac:dyDescent="0.5">
      <c r="A139" s="85" t="s">
        <v>30</v>
      </c>
      <c r="C139" s="93"/>
      <c r="F139" s="146">
        <v>10</v>
      </c>
      <c r="G139" s="108" t="s">
        <v>6</v>
      </c>
      <c r="H139" s="131">
        <f>F139</f>
        <v>10</v>
      </c>
      <c r="I139" s="142" t="s">
        <v>8</v>
      </c>
    </row>
    <row r="140" spans="1:11" ht="15.75" customHeight="1" x14ac:dyDescent="0.5">
      <c r="A140" s="105" t="s">
        <v>28</v>
      </c>
      <c r="B140" s="105"/>
      <c r="D140" s="105"/>
      <c r="E140" s="105"/>
      <c r="F140" s="105"/>
      <c r="G140" s="108" t="s">
        <v>6</v>
      </c>
      <c r="H140" s="131">
        <v>0</v>
      </c>
      <c r="I140" s="142" t="s">
        <v>8</v>
      </c>
    </row>
    <row r="141" spans="1:11" ht="15.75" customHeight="1" thickBot="1" x14ac:dyDescent="0.55000000000000004">
      <c r="A141" s="104" t="s">
        <v>14</v>
      </c>
      <c r="B141" s="105"/>
      <c r="E141" s="105"/>
      <c r="F141" s="105"/>
      <c r="G141" s="108" t="s">
        <v>6</v>
      </c>
      <c r="H141" s="147">
        <f>+H136+H137+H138+H139+H140</f>
        <v>280.45</v>
      </c>
      <c r="I141" s="142" t="s">
        <v>8</v>
      </c>
      <c r="J141" s="108"/>
      <c r="K141" s="128"/>
    </row>
    <row r="142" spans="1:11" ht="15.75" customHeight="1" thickTop="1" thickBot="1" x14ac:dyDescent="0.55000000000000004">
      <c r="A142" s="104" t="s">
        <v>20</v>
      </c>
      <c r="B142" s="105"/>
      <c r="D142" s="104"/>
      <c r="E142" s="105"/>
      <c r="F142" s="105"/>
      <c r="G142" s="108" t="s">
        <v>6</v>
      </c>
      <c r="H142" s="147">
        <v>280</v>
      </c>
      <c r="I142" s="142" t="s">
        <v>8</v>
      </c>
      <c r="J142" s="108"/>
      <c r="K142" s="128"/>
    </row>
    <row r="143" spans="1:11" ht="15.75" customHeight="1" thickTop="1" x14ac:dyDescent="0.5">
      <c r="A143" s="84" t="s">
        <v>218</v>
      </c>
    </row>
    <row r="144" spans="1:11" ht="15.75" customHeight="1" x14ac:dyDescent="0.5">
      <c r="A144" s="102" t="s">
        <v>219</v>
      </c>
      <c r="J144" s="85">
        <v>8.2799999999999994</v>
      </c>
      <c r="K144" s="108" t="s">
        <v>12</v>
      </c>
    </row>
    <row r="145" spans="1:11" ht="15.75" customHeight="1" x14ac:dyDescent="0.5">
      <c r="A145" s="102" t="s">
        <v>220</v>
      </c>
      <c r="B145" s="96">
        <v>3</v>
      </c>
      <c r="C145" s="96" t="s">
        <v>11</v>
      </c>
      <c r="J145" s="85">
        <v>17.18</v>
      </c>
      <c r="K145" s="108" t="s">
        <v>12</v>
      </c>
    </row>
    <row r="146" spans="1:11" ht="15.75" customHeight="1" x14ac:dyDescent="0.5">
      <c r="A146" s="102" t="s">
        <v>221</v>
      </c>
      <c r="J146" s="85">
        <f>+J144+J145</f>
        <v>25.46</v>
      </c>
      <c r="K146" s="108" t="s">
        <v>12</v>
      </c>
    </row>
    <row r="147" spans="1:11" ht="15.75" customHeight="1" x14ac:dyDescent="0.5">
      <c r="A147" s="102" t="s">
        <v>222</v>
      </c>
      <c r="B147" s="85">
        <f>+J146</f>
        <v>25.46</v>
      </c>
      <c r="C147" s="96" t="s">
        <v>10</v>
      </c>
      <c r="D147" s="85">
        <v>1.25</v>
      </c>
      <c r="J147" s="85">
        <f>+B147*D147</f>
        <v>31.825000000000003</v>
      </c>
      <c r="K147" s="108" t="s">
        <v>12</v>
      </c>
    </row>
    <row r="148" spans="1:11" ht="15.75" customHeight="1" x14ac:dyDescent="0.5">
      <c r="A148" s="102" t="s">
        <v>223</v>
      </c>
      <c r="J148" s="85">
        <v>21.47</v>
      </c>
      <c r="K148" s="108" t="s">
        <v>12</v>
      </c>
    </row>
    <row r="149" spans="1:11" ht="15.75" customHeight="1" x14ac:dyDescent="0.5">
      <c r="A149" s="102" t="s">
        <v>20</v>
      </c>
      <c r="J149" s="85">
        <f>+J147+J148</f>
        <v>53.295000000000002</v>
      </c>
      <c r="K149" s="108" t="s">
        <v>12</v>
      </c>
    </row>
    <row r="150" spans="1:11" ht="15.75" customHeight="1" x14ac:dyDescent="0.5">
      <c r="A150" s="102" t="s">
        <v>20</v>
      </c>
      <c r="J150" s="96">
        <f>+ROUNDDOWN(J149,0)</f>
        <v>53</v>
      </c>
      <c r="K150" s="108" t="s">
        <v>12</v>
      </c>
    </row>
    <row r="151" spans="1:11" ht="15.75" customHeight="1" x14ac:dyDescent="0.5">
      <c r="A151" s="148" t="s">
        <v>179</v>
      </c>
    </row>
    <row r="152" spans="1:11" ht="15.75" customHeight="1" x14ac:dyDescent="0.5">
      <c r="A152" s="102" t="s">
        <v>224</v>
      </c>
      <c r="E152" s="85" t="s">
        <v>91</v>
      </c>
      <c r="F152" s="85">
        <v>1.1499999999999999</v>
      </c>
    </row>
    <row r="153" spans="1:11" ht="15.75" customHeight="1" x14ac:dyDescent="0.5">
      <c r="A153" s="102" t="s">
        <v>225</v>
      </c>
      <c r="B153" s="108"/>
      <c r="C153" s="93"/>
      <c r="E153" s="85" t="s">
        <v>91</v>
      </c>
      <c r="F153" s="85">
        <v>1.25</v>
      </c>
    </row>
    <row r="154" spans="1:11" ht="15.75" customHeight="1" x14ac:dyDescent="0.5">
      <c r="A154" s="84" t="s">
        <v>226</v>
      </c>
      <c r="C154" s="85" t="s">
        <v>267</v>
      </c>
      <c r="H154" s="96"/>
      <c r="I154" s="85"/>
      <c r="J154" s="149"/>
      <c r="K154" s="99"/>
    </row>
    <row r="155" spans="1:11" ht="15.75" customHeight="1" x14ac:dyDescent="0.5">
      <c r="A155" s="85" t="s">
        <v>263</v>
      </c>
      <c r="C155" s="85"/>
      <c r="I155" s="96" t="s">
        <v>91</v>
      </c>
      <c r="J155" s="96" t="e">
        <f>+#REF!</f>
        <v>#REF!</v>
      </c>
      <c r="K155" s="149" t="s">
        <v>12</v>
      </c>
    </row>
    <row r="156" spans="1:11" ht="15.75" customHeight="1" x14ac:dyDescent="0.5">
      <c r="A156" s="85" t="s">
        <v>266</v>
      </c>
      <c r="C156" s="85"/>
      <c r="I156" s="96" t="s">
        <v>91</v>
      </c>
      <c r="J156" s="96">
        <v>22.72</v>
      </c>
      <c r="K156" s="149" t="s">
        <v>12</v>
      </c>
    </row>
    <row r="157" spans="1:11" ht="15.75" customHeight="1" x14ac:dyDescent="0.5">
      <c r="A157" s="85" t="s">
        <v>221</v>
      </c>
      <c r="C157" s="85"/>
      <c r="I157" s="96" t="s">
        <v>91</v>
      </c>
      <c r="J157" s="96" t="e">
        <f>+J155+J156</f>
        <v>#REF!</v>
      </c>
      <c r="K157" s="149" t="s">
        <v>12</v>
      </c>
    </row>
    <row r="158" spans="1:11" ht="15.75" customHeight="1" x14ac:dyDescent="0.5">
      <c r="A158" s="85" t="s">
        <v>227</v>
      </c>
      <c r="B158" s="150" t="e">
        <f>+J157</f>
        <v>#REF!</v>
      </c>
      <c r="C158" s="85" t="s">
        <v>228</v>
      </c>
      <c r="I158" s="96" t="s">
        <v>91</v>
      </c>
      <c r="J158" s="96" t="e">
        <f>+B158*1.5</f>
        <v>#REF!</v>
      </c>
      <c r="K158" s="149" t="s">
        <v>12</v>
      </c>
    </row>
    <row r="159" spans="1:11" ht="15.75" customHeight="1" x14ac:dyDescent="0.5">
      <c r="A159" s="85" t="s">
        <v>229</v>
      </c>
      <c r="C159" s="85"/>
      <c r="I159" s="96" t="s">
        <v>91</v>
      </c>
      <c r="J159" s="96">
        <v>0</v>
      </c>
      <c r="K159" s="149" t="s">
        <v>12</v>
      </c>
    </row>
    <row r="160" spans="1:11" ht="15.75" customHeight="1" x14ac:dyDescent="0.5">
      <c r="A160" s="85" t="s">
        <v>230</v>
      </c>
      <c r="C160" s="85"/>
      <c r="I160" s="96" t="s">
        <v>91</v>
      </c>
      <c r="J160" s="96">
        <v>0</v>
      </c>
      <c r="K160" s="149" t="s">
        <v>12</v>
      </c>
    </row>
    <row r="161" spans="1:11" ht="15.75" customHeight="1" x14ac:dyDescent="0.5">
      <c r="A161" s="85" t="s">
        <v>231</v>
      </c>
      <c r="C161" s="85"/>
      <c r="I161" s="96" t="s">
        <v>91</v>
      </c>
      <c r="J161" s="96" t="e">
        <f>+J158+J160</f>
        <v>#REF!</v>
      </c>
      <c r="K161" s="149" t="s">
        <v>12</v>
      </c>
    </row>
    <row r="162" spans="1:11" ht="15.75" customHeight="1" x14ac:dyDescent="0.5">
      <c r="A162" s="85" t="s">
        <v>20</v>
      </c>
      <c r="C162" s="85"/>
      <c r="I162" s="96" t="s">
        <v>91</v>
      </c>
      <c r="J162" s="96" t="e">
        <f>+ROUNDDOWN(J161,0)</f>
        <v>#REF!</v>
      </c>
      <c r="K162" s="149" t="s">
        <v>12</v>
      </c>
    </row>
    <row r="163" spans="1:11" ht="15.75" customHeight="1" x14ac:dyDescent="0.5">
      <c r="C163" s="85"/>
      <c r="H163" s="96"/>
      <c r="I163" s="85"/>
      <c r="J163" s="149"/>
      <c r="K163" s="151"/>
    </row>
  </sheetData>
  <mergeCells count="36">
    <mergeCell ref="A1:K1"/>
    <mergeCell ref="C10:D10"/>
    <mergeCell ref="E117:H117"/>
    <mergeCell ref="F103:G103"/>
    <mergeCell ref="B95:K95"/>
    <mergeCell ref="F101:G101"/>
    <mergeCell ref="F102:G102"/>
    <mergeCell ref="B98:D98"/>
    <mergeCell ref="E98:H98"/>
    <mergeCell ref="I98:K98"/>
    <mergeCell ref="B99:D99"/>
    <mergeCell ref="E99:H99"/>
    <mergeCell ref="I99:K99"/>
    <mergeCell ref="I116:J116"/>
    <mergeCell ref="B113:D114"/>
    <mergeCell ref="E113:J113"/>
    <mergeCell ref="C8:K8"/>
    <mergeCell ref="C9:K9"/>
    <mergeCell ref="I96:K96"/>
    <mergeCell ref="B96:D96"/>
    <mergeCell ref="E96:H96"/>
    <mergeCell ref="A123:K123"/>
    <mergeCell ref="A124:K124"/>
    <mergeCell ref="B97:D97"/>
    <mergeCell ref="B112:K112"/>
    <mergeCell ref="I114:J114"/>
    <mergeCell ref="I115:J115"/>
    <mergeCell ref="E97:H97"/>
    <mergeCell ref="I97:K97"/>
    <mergeCell ref="I117:J117"/>
    <mergeCell ref="B116:D116"/>
    <mergeCell ref="E116:H116"/>
    <mergeCell ref="E114:H114"/>
    <mergeCell ref="B115:D115"/>
    <mergeCell ref="E115:H115"/>
    <mergeCell ref="B117:D117"/>
  </mergeCells>
  <conditionalFormatting sqref="G119:H119">
    <cfRule type="cellIs" dxfId="0" priority="3" stopIfTrue="1" operator="equal">
      <formula>0</formula>
    </cfRule>
  </conditionalFormatting>
  <dataValidations disablePrompts="1" count="2">
    <dataValidation allowBlank="1" showInputMessage="1" showErrorMessage="1" prompt="ปริมาณงานน้อยกว่า10000ตัน ให้คิด 10000 ตัน" sqref="J122" xr:uid="{00000000-0002-0000-0600-000000000000}"/>
    <dataValidation allowBlank="1" showInputMessage="1" showErrorMessage="1" prompt="จากราคาค่าดำเนินการค่าเสื่อมราคา" sqref="J127" xr:uid="{00000000-0002-0000-0600-000001000000}"/>
  </dataValidations>
  <pageMargins left="0.39370078740157483" right="0.19685039370078741" top="0.15748031496062992" bottom="0.15748031496062992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แบบสรุป</vt:lpstr>
      <vt:lpstr>ปร.5</vt:lpstr>
      <vt:lpstr>ค่างานต้นทุนต่อหน่วย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HP</cp:lastModifiedBy>
  <cp:lastPrinted>2025-01-14T06:18:06Z</cp:lastPrinted>
  <dcterms:created xsi:type="dcterms:W3CDTF">2005-03-05T09:54:06Z</dcterms:created>
  <dcterms:modified xsi:type="dcterms:W3CDTF">2025-02-06T06:31:06Z</dcterms:modified>
</cp:coreProperties>
</file>