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D8FB373-EBFC-4924-8985-144A745592D2}" xr6:coauthVersionLast="47" xr6:coauthVersionMax="47" xr10:uidLastSave="{00000000-0000-0000-0000-000000000000}"/>
  <bookViews>
    <workbookView xWindow="-120" yWindow="-120" windowWidth="19440" windowHeight="11160" firstSheet="2" activeTab="4" xr2:uid="{00000000-000D-0000-FFFF-FFFF00000000}"/>
  </bookViews>
  <sheets>
    <sheet name="S2" sheetId="15" r:id="rId1"/>
    <sheet name="S3" sheetId="14" r:id="rId2"/>
    <sheet name="ข้อมูล" sheetId="11" r:id="rId3"/>
    <sheet name="ปร.4" sheetId="12" r:id="rId4"/>
    <sheet name="ปร.5" sheetId="32" r:id="rId5"/>
    <sheet name="0+000-1+200" sheetId="33" r:id="rId6"/>
    <sheet name="ย้ายเสาไฟกิ่ง" sheetId="53" r:id="rId7"/>
    <sheet name="ค่ารื้อย้ายยกประตูน้ำ" sheetId="55" r:id="rId8"/>
    <sheet name="รื้อย้ายป้ายเดิม" sheetId="54" r:id="rId9"/>
    <sheet name="รื้อคันหินเดิม" sheetId="43" r:id="rId10"/>
    <sheet name="ทาสีคันหิน" sheetId="52" r:id="rId11"/>
    <sheet name="บ่อพักใหม่" sheetId="51" r:id="rId12"/>
    <sheet name="รื้อทางเท้าเดิม 10 ซม." sheetId="44" r:id="rId13"/>
    <sheet name="รื้อคอนกรีตบ่อพัก+ฝาเดิม" sheetId="41" r:id="rId14"/>
    <sheet name="คันหินปิดหลังทางเท้า" sheetId="50" r:id="rId15"/>
    <sheet name="ก่อสร้างคันหินเตี้ย" sheetId="49" r:id="rId16"/>
    <sheet name="ก่อสร้างคันหิน คสล." sheetId="46" r:id="rId17"/>
    <sheet name="ฝาตะแกรงบ่อพัก" sheetId="45" r:id="rId18"/>
    <sheet name="ดิน,ทราย,คสล." sheetId="39" r:id="rId19"/>
    <sheet name="ไม้แบบ" sheetId="38" r:id="rId20"/>
    <sheet name="ราคาวัสดุ" sheetId="47" r:id="rId21"/>
    <sheet name="รายละเอียดพิกัด" sheetId="40" r:id="rId22"/>
    <sheet name="ต่อขอบบ่อพัก" sheetId="35" r:id="rId23"/>
    <sheet name="ฝาตะแกรงเหล็ก" sheetId="36" r:id="rId24"/>
    <sheet name="เต็มพื้นที่" sheetId="34" r:id="rId25"/>
    <sheet name="ซ้ายทาง" sheetId="56" r:id="rId26"/>
    <sheet name="ขวาทาง " sheetId="57" r:id="rId27"/>
    <sheet name="ข้อมูลราคาวัสดุ" sheetId="37" r:id="rId28"/>
    <sheet name="ชี้แจงเบร็คดาว" sheetId="42" r:id="rId29"/>
  </sheets>
  <externalReferences>
    <externalReference r:id="rId30"/>
    <externalReference r:id="rId31"/>
    <externalReference r:id="rId32"/>
    <externalReference r:id="rId33"/>
  </externalReferences>
  <definedNames>
    <definedName name="_xlnm.Print_Area" localSheetId="7">ค่ารื้อย้ายยกประตูน้ำ!$A$1:$E$26</definedName>
    <definedName name="_xlnm.Print_Area" localSheetId="18">'ดิน,ทราย,คสล.'!$A$1:$L$146</definedName>
    <definedName name="_xlnm.Print_Area" localSheetId="3">ปร.4!$A$1:$M$128</definedName>
    <definedName name="_xlnm.Print_Area" localSheetId="6">ย้ายเสาไฟกิ่ง!$A$1:$E$26</definedName>
    <definedName name="_xlnm.Print_Area" localSheetId="20">ราคาวัสดุ!$A$1:$O$34</definedName>
    <definedName name="_xlnm.Print_Area" localSheetId="12">'รื้อทางเท้าเดิม 10 ซม.'!$A$1:$E$19</definedName>
    <definedName name="_xlnm.Print_Area" localSheetId="8">รื้อย้ายป้ายเดิม!$A$1:$E$26</definedName>
    <definedName name="_xlnm.Print_Titles" localSheetId="25">ซ้ายทาง!$A:$I,ซ้ายทาง!$1:$3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32" l="1"/>
  <c r="A93" i="12"/>
  <c r="A45" i="12"/>
  <c r="F19" i="38"/>
  <c r="F18" i="38"/>
  <c r="F17" i="38"/>
  <c r="F16" i="38"/>
  <c r="F7" i="38"/>
  <c r="F6" i="38"/>
  <c r="F5" i="38"/>
  <c r="F4" i="38"/>
  <c r="H16" i="39"/>
  <c r="H15" i="39"/>
  <c r="F12" i="39"/>
  <c r="D12" i="39"/>
  <c r="H11" i="39"/>
  <c r="C5" i="39"/>
  <c r="D18" i="41"/>
  <c r="C18" i="41"/>
  <c r="B6" i="41"/>
  <c r="B6" i="50" s="1"/>
  <c r="B6" i="49" s="1"/>
  <c r="B6" i="46" s="1"/>
  <c r="B6" i="45" s="1"/>
  <c r="A6" i="41"/>
  <c r="A6" i="50" s="1"/>
  <c r="A6" i="49" s="1"/>
  <c r="A6" i="46" s="1"/>
  <c r="A6" i="45" s="1"/>
  <c r="C6" i="44"/>
  <c r="A6" i="44"/>
  <c r="A6" i="43"/>
  <c r="A6" i="54"/>
  <c r="A6" i="51"/>
  <c r="C6" i="51"/>
  <c r="C6" i="43"/>
  <c r="C6" i="54"/>
  <c r="A6" i="55"/>
  <c r="C6" i="55"/>
  <c r="C6" i="53"/>
  <c r="CG14" i="15"/>
  <c r="CG15" i="15"/>
  <c r="CG16" i="15"/>
  <c r="CG17" i="15"/>
  <c r="CG18" i="15"/>
  <c r="CG19" i="15"/>
  <c r="CG20" i="15"/>
  <c r="CG11" i="15"/>
  <c r="CG12" i="15"/>
  <c r="Q13" i="11"/>
  <c r="D9" i="47"/>
  <c r="G22" i="47"/>
  <c r="G21" i="47"/>
  <c r="H32" i="56" l="1"/>
  <c r="F32" i="56"/>
  <c r="F4" i="56"/>
  <c r="H62" i="57" l="1"/>
  <c r="H36" i="57"/>
  <c r="H37" i="57"/>
  <c r="H38" i="57"/>
  <c r="H39" i="57"/>
  <c r="H40" i="57"/>
  <c r="H41" i="57"/>
  <c r="H42" i="57"/>
  <c r="H43" i="57"/>
  <c r="H44" i="57"/>
  <c r="H45" i="57"/>
  <c r="H46" i="57"/>
  <c r="H47" i="57"/>
  <c r="H48" i="57"/>
  <c r="H49" i="57"/>
  <c r="H50" i="57"/>
  <c r="H51" i="57"/>
  <c r="H52" i="57"/>
  <c r="H53" i="57"/>
  <c r="H54" i="57"/>
  <c r="H55" i="57"/>
  <c r="H56" i="57"/>
  <c r="H57" i="57"/>
  <c r="H58" i="57"/>
  <c r="H59" i="57"/>
  <c r="H60" i="57"/>
  <c r="H61" i="57"/>
  <c r="H26" i="57"/>
  <c r="H27" i="57"/>
  <c r="H28" i="57"/>
  <c r="H29" i="57"/>
  <c r="H30" i="57"/>
  <c r="H31" i="57"/>
  <c r="H32" i="57"/>
  <c r="H33" i="57"/>
  <c r="H34" i="57"/>
  <c r="H35" i="57"/>
  <c r="H5" i="57"/>
  <c r="H6" i="57"/>
  <c r="H7" i="57"/>
  <c r="H8" i="57"/>
  <c r="H9" i="57"/>
  <c r="H10" i="57"/>
  <c r="H11" i="57"/>
  <c r="H12" i="57"/>
  <c r="H13" i="57"/>
  <c r="H14" i="57"/>
  <c r="H15" i="57"/>
  <c r="H16" i="57"/>
  <c r="H17" i="57"/>
  <c r="H18" i="57"/>
  <c r="H19" i="57"/>
  <c r="H20" i="57"/>
  <c r="H21" i="57"/>
  <c r="H22" i="57"/>
  <c r="H23" i="57"/>
  <c r="H24" i="57"/>
  <c r="H25" i="57"/>
  <c r="H4" i="57"/>
  <c r="H64" i="56"/>
  <c r="F64" i="56"/>
  <c r="G64" i="56" s="1"/>
  <c r="F58" i="56"/>
  <c r="G58" i="56" s="1"/>
  <c r="H19" i="56" l="1"/>
  <c r="H20" i="56"/>
  <c r="H21" i="56"/>
  <c r="H22" i="56"/>
  <c r="H23" i="56"/>
  <c r="H24" i="56"/>
  <c r="H25" i="56"/>
  <c r="H26" i="56"/>
  <c r="H27" i="56"/>
  <c r="H28" i="56"/>
  <c r="H29" i="56"/>
  <c r="H30" i="56"/>
  <c r="H31" i="56"/>
  <c r="H33" i="56"/>
  <c r="H34" i="56"/>
  <c r="H35" i="56"/>
  <c r="H36" i="56"/>
  <c r="H37" i="56"/>
  <c r="H38" i="56"/>
  <c r="H39" i="56"/>
  <c r="H40" i="56"/>
  <c r="H41" i="56"/>
  <c r="H42" i="56"/>
  <c r="H43" i="56"/>
  <c r="H44" i="56"/>
  <c r="H45" i="56"/>
  <c r="H46" i="56"/>
  <c r="H47" i="56"/>
  <c r="H48" i="56"/>
  <c r="H49" i="56"/>
  <c r="H50" i="56"/>
  <c r="H51" i="56"/>
  <c r="H52" i="56"/>
  <c r="H53" i="56"/>
  <c r="H54" i="56"/>
  <c r="H55" i="56"/>
  <c r="H56" i="56"/>
  <c r="H57" i="56"/>
  <c r="H58" i="56"/>
  <c r="H59" i="56"/>
  <c r="H60" i="56"/>
  <c r="H61" i="56"/>
  <c r="H62" i="56"/>
  <c r="H63" i="56"/>
  <c r="H5" i="56"/>
  <c r="H6" i="56"/>
  <c r="H7" i="56"/>
  <c r="H8" i="56"/>
  <c r="H9" i="56"/>
  <c r="H10" i="56"/>
  <c r="H11" i="56"/>
  <c r="H12" i="56"/>
  <c r="H13" i="56"/>
  <c r="H14" i="56"/>
  <c r="H15" i="56"/>
  <c r="H16" i="56"/>
  <c r="H17" i="56"/>
  <c r="H18" i="56"/>
  <c r="H4" i="56"/>
  <c r="H58" i="33"/>
  <c r="F38" i="57"/>
  <c r="F39" i="57"/>
  <c r="F40" i="57"/>
  <c r="F41" i="57"/>
  <c r="F42" i="57"/>
  <c r="F43" i="57"/>
  <c r="F44" i="57"/>
  <c r="F45" i="57"/>
  <c r="F46" i="57"/>
  <c r="F47" i="57"/>
  <c r="F48" i="57"/>
  <c r="F49" i="57"/>
  <c r="F50" i="57"/>
  <c r="F51" i="57"/>
  <c r="F52" i="57"/>
  <c r="F53" i="57"/>
  <c r="F54" i="57"/>
  <c r="F55" i="57"/>
  <c r="F56" i="57"/>
  <c r="F57" i="57"/>
  <c r="F58" i="57"/>
  <c r="F59" i="57"/>
  <c r="F60" i="57"/>
  <c r="F61" i="57"/>
  <c r="F62" i="57"/>
  <c r="F18" i="57"/>
  <c r="F19" i="57"/>
  <c r="F20" i="57"/>
  <c r="F21" i="57"/>
  <c r="F22" i="57"/>
  <c r="F23" i="57"/>
  <c r="F24" i="57"/>
  <c r="F25" i="57"/>
  <c r="F26" i="57"/>
  <c r="F27" i="57"/>
  <c r="F28" i="57"/>
  <c r="F29" i="57"/>
  <c r="F30" i="57"/>
  <c r="F31" i="57"/>
  <c r="F32" i="57"/>
  <c r="F33" i="57"/>
  <c r="F34" i="57"/>
  <c r="F35" i="57"/>
  <c r="F36" i="57"/>
  <c r="F37" i="57"/>
  <c r="F5" i="57"/>
  <c r="F6" i="57"/>
  <c r="F7" i="57"/>
  <c r="F8" i="57"/>
  <c r="F9" i="57"/>
  <c r="F10" i="57"/>
  <c r="F11" i="57"/>
  <c r="F12" i="57"/>
  <c r="F13" i="57"/>
  <c r="F14" i="57"/>
  <c r="F15" i="57"/>
  <c r="F16" i="57"/>
  <c r="F17" i="57"/>
  <c r="F4" i="57"/>
  <c r="F48" i="56" l="1"/>
  <c r="G48" i="56" s="1"/>
  <c r="F49" i="56"/>
  <c r="G49" i="56" s="1"/>
  <c r="F50" i="56"/>
  <c r="F51" i="56"/>
  <c r="F52" i="56"/>
  <c r="F53" i="56"/>
  <c r="G53" i="56" s="1"/>
  <c r="F54" i="56"/>
  <c r="G54" i="56" s="1"/>
  <c r="F55" i="56"/>
  <c r="G55" i="56" s="1"/>
  <c r="F56" i="56"/>
  <c r="G56" i="56" s="1"/>
  <c r="F57" i="56"/>
  <c r="G57" i="56" s="1"/>
  <c r="F59" i="56"/>
  <c r="G59" i="56" s="1"/>
  <c r="F60" i="56"/>
  <c r="G60" i="56" s="1"/>
  <c r="F61" i="56"/>
  <c r="G61" i="56" s="1"/>
  <c r="F62" i="56"/>
  <c r="G62" i="56" s="1"/>
  <c r="F63" i="56"/>
  <c r="G63" i="56" s="1"/>
  <c r="F35" i="56"/>
  <c r="F36" i="56"/>
  <c r="F37" i="56"/>
  <c r="F38" i="56"/>
  <c r="F39" i="56"/>
  <c r="F40" i="56"/>
  <c r="F41" i="56"/>
  <c r="F42" i="56"/>
  <c r="F43" i="56"/>
  <c r="F44" i="56"/>
  <c r="F45" i="56"/>
  <c r="F46" i="56"/>
  <c r="F47" i="56"/>
  <c r="F17" i="56"/>
  <c r="F18" i="56"/>
  <c r="F19" i="56"/>
  <c r="F20" i="56"/>
  <c r="F21" i="56"/>
  <c r="F22" i="56"/>
  <c r="F23" i="56"/>
  <c r="F24" i="56"/>
  <c r="F25" i="56"/>
  <c r="F26" i="56"/>
  <c r="F27" i="56"/>
  <c r="F28" i="56"/>
  <c r="F29" i="56"/>
  <c r="F30" i="56"/>
  <c r="F31" i="56"/>
  <c r="F33" i="56"/>
  <c r="F34" i="56"/>
  <c r="F5" i="56"/>
  <c r="F6" i="56"/>
  <c r="F7" i="56"/>
  <c r="F8" i="56"/>
  <c r="F9" i="56"/>
  <c r="F10" i="56"/>
  <c r="F11" i="56"/>
  <c r="F12" i="56"/>
  <c r="F13" i="56"/>
  <c r="F14" i="56"/>
  <c r="F15" i="56"/>
  <c r="F16" i="56"/>
  <c r="C15" i="55" l="1"/>
  <c r="C17" i="55" s="1"/>
  <c r="F1541" i="52" l="1"/>
  <c r="H47" i="12"/>
  <c r="L47" i="12"/>
  <c r="F53" i="12"/>
  <c r="H53" i="12" s="1"/>
  <c r="I53" i="12" s="1"/>
  <c r="G53" i="12"/>
  <c r="J53" i="12"/>
  <c r="F54" i="12"/>
  <c r="G54" i="12"/>
  <c r="J54" i="12"/>
  <c r="F55" i="12"/>
  <c r="G55" i="12"/>
  <c r="H55" i="12"/>
  <c r="I55" i="12" s="1"/>
  <c r="J55" i="12"/>
  <c r="K55" i="12" s="1"/>
  <c r="L55" i="12" s="1"/>
  <c r="F56" i="12"/>
  <c r="G56" i="12"/>
  <c r="H56" i="12"/>
  <c r="I56" i="12"/>
  <c r="J56" i="12"/>
  <c r="F58" i="12"/>
  <c r="G58" i="12"/>
  <c r="H58" i="12"/>
  <c r="I58" i="12"/>
  <c r="J58" i="12"/>
  <c r="F59" i="12"/>
  <c r="G59" i="12"/>
  <c r="H59" i="12"/>
  <c r="I59" i="12" s="1"/>
  <c r="J59" i="12"/>
  <c r="F60" i="12"/>
  <c r="G60" i="12"/>
  <c r="H60" i="12"/>
  <c r="I60" i="12"/>
  <c r="J60" i="12"/>
  <c r="K60" i="12" s="1"/>
  <c r="L60" i="12" s="1"/>
  <c r="F61" i="12"/>
  <c r="G61" i="12"/>
  <c r="H61" i="12"/>
  <c r="I61" i="12"/>
  <c r="J61" i="12"/>
  <c r="K61" i="12" s="1"/>
  <c r="L61" i="12" s="1"/>
  <c r="F62" i="12"/>
  <c r="G62" i="12"/>
  <c r="H62" i="12"/>
  <c r="I62" i="12"/>
  <c r="J62" i="12"/>
  <c r="F63" i="12"/>
  <c r="G63" i="12"/>
  <c r="H63" i="12"/>
  <c r="I63" i="12" s="1"/>
  <c r="J63" i="12"/>
  <c r="F64" i="12"/>
  <c r="G64" i="12"/>
  <c r="H64" i="12"/>
  <c r="I64" i="12" s="1"/>
  <c r="J64" i="12"/>
  <c r="F65" i="12"/>
  <c r="G65" i="12"/>
  <c r="H65" i="12"/>
  <c r="I65" i="12" s="1"/>
  <c r="J65" i="12"/>
  <c r="F66" i="12"/>
  <c r="G66" i="12"/>
  <c r="H66" i="12"/>
  <c r="I66" i="12"/>
  <c r="J66" i="12"/>
  <c r="F67" i="12"/>
  <c r="G67" i="12"/>
  <c r="H67" i="12"/>
  <c r="I67" i="12"/>
  <c r="J67" i="12"/>
  <c r="F68" i="12"/>
  <c r="G68" i="12"/>
  <c r="H68" i="12"/>
  <c r="I68" i="12" s="1"/>
  <c r="J68" i="12"/>
  <c r="F69" i="12"/>
  <c r="G69" i="12"/>
  <c r="H69" i="12"/>
  <c r="I69" i="12"/>
  <c r="J69" i="12"/>
  <c r="K69" i="12" s="1"/>
  <c r="L69" i="12" s="1"/>
  <c r="F70" i="12"/>
  <c r="G70" i="12"/>
  <c r="H70" i="12"/>
  <c r="I70" i="12"/>
  <c r="J70" i="12"/>
  <c r="K70" i="12" s="1"/>
  <c r="L70" i="12" s="1"/>
  <c r="F71" i="12"/>
  <c r="G71" i="12"/>
  <c r="H71" i="12"/>
  <c r="I71" i="12"/>
  <c r="J71" i="12"/>
  <c r="F72" i="12"/>
  <c r="G72" i="12"/>
  <c r="H72" i="12"/>
  <c r="I72" i="12" s="1"/>
  <c r="J72" i="12"/>
  <c r="F73" i="12"/>
  <c r="G73" i="12"/>
  <c r="H73" i="12"/>
  <c r="I73" i="12" s="1"/>
  <c r="J73" i="12"/>
  <c r="F74" i="12"/>
  <c r="G74" i="12"/>
  <c r="H74" i="12"/>
  <c r="I74" i="12"/>
  <c r="J74" i="12"/>
  <c r="F75" i="12"/>
  <c r="G75" i="12"/>
  <c r="H75" i="12"/>
  <c r="I75" i="12"/>
  <c r="J75" i="12"/>
  <c r="K75" i="12" s="1"/>
  <c r="L75" i="12" s="1"/>
  <c r="F76" i="12"/>
  <c r="G76" i="12"/>
  <c r="H76" i="12"/>
  <c r="I76" i="12"/>
  <c r="J76" i="12"/>
  <c r="F77" i="12"/>
  <c r="G77" i="12"/>
  <c r="H77" i="12"/>
  <c r="I77" i="12" s="1"/>
  <c r="J77" i="12"/>
  <c r="F78" i="12"/>
  <c r="G78" i="12"/>
  <c r="H78" i="12"/>
  <c r="I78" i="12"/>
  <c r="J78" i="12"/>
  <c r="K78" i="12" s="1"/>
  <c r="L78" i="12" s="1"/>
  <c r="F79" i="12"/>
  <c r="G79" i="12"/>
  <c r="H79" i="12"/>
  <c r="I79" i="12"/>
  <c r="J79" i="12"/>
  <c r="K79" i="12" s="1"/>
  <c r="L79" i="12" s="1"/>
  <c r="F80" i="12"/>
  <c r="G80" i="12"/>
  <c r="H80" i="12"/>
  <c r="I80" i="12" s="1"/>
  <c r="J80" i="12"/>
  <c r="F81" i="12"/>
  <c r="G81" i="12"/>
  <c r="H81" i="12"/>
  <c r="I81" i="12" s="1"/>
  <c r="J81" i="12"/>
  <c r="K81" i="12" s="1"/>
  <c r="L81" i="12" s="1"/>
  <c r="F82" i="12"/>
  <c r="G82" i="12"/>
  <c r="H82" i="12"/>
  <c r="J82" i="12"/>
  <c r="F83" i="12"/>
  <c r="G83" i="12"/>
  <c r="H83" i="12"/>
  <c r="I83" i="12"/>
  <c r="J83" i="12"/>
  <c r="F84" i="12"/>
  <c r="G84" i="12"/>
  <c r="H84" i="12"/>
  <c r="I84" i="12" s="1"/>
  <c r="J84" i="12"/>
  <c r="F85" i="12"/>
  <c r="G85" i="12"/>
  <c r="C94" i="12"/>
  <c r="C95" i="12"/>
  <c r="H95" i="12"/>
  <c r="L95" i="12"/>
  <c r="F99" i="12"/>
  <c r="G99" i="12"/>
  <c r="H99" i="12"/>
  <c r="I99" i="12"/>
  <c r="J99" i="12"/>
  <c r="F100" i="12"/>
  <c r="G100" i="12"/>
  <c r="H100" i="12"/>
  <c r="I100" i="12" s="1"/>
  <c r="J100" i="12"/>
  <c r="F101" i="12"/>
  <c r="G101" i="12"/>
  <c r="H101" i="12"/>
  <c r="I101" i="12"/>
  <c r="J101" i="12"/>
  <c r="K101" i="12" s="1"/>
  <c r="L101" i="12" s="1"/>
  <c r="F102" i="12"/>
  <c r="G102" i="12"/>
  <c r="H102" i="12"/>
  <c r="I102" i="12"/>
  <c r="J102" i="12"/>
  <c r="K102" i="12" s="1"/>
  <c r="L102" i="12" s="1"/>
  <c r="F103" i="12"/>
  <c r="G103" i="12"/>
  <c r="H103" i="12"/>
  <c r="I103" i="12"/>
  <c r="J103" i="12"/>
  <c r="F104" i="12"/>
  <c r="G104" i="12"/>
  <c r="H104" i="12"/>
  <c r="I104" i="12" s="1"/>
  <c r="J104" i="12"/>
  <c r="F105" i="12"/>
  <c r="G105" i="12"/>
  <c r="H105" i="12"/>
  <c r="I105" i="12" s="1"/>
  <c r="J105" i="12"/>
  <c r="K105" i="12" s="1"/>
  <c r="L105" i="12" s="1"/>
  <c r="F106" i="12"/>
  <c r="G106" i="12"/>
  <c r="H106" i="12"/>
  <c r="I106" i="12"/>
  <c r="J106" i="12"/>
  <c r="F107" i="12"/>
  <c r="G107" i="12"/>
  <c r="H107" i="12"/>
  <c r="I107" i="12"/>
  <c r="J107" i="12"/>
  <c r="F108" i="12"/>
  <c r="G108" i="12"/>
  <c r="H108" i="12"/>
  <c r="I108" i="12"/>
  <c r="J108" i="12"/>
  <c r="F109" i="12"/>
  <c r="G109" i="12"/>
  <c r="H109" i="12"/>
  <c r="I109" i="12" s="1"/>
  <c r="J109" i="12"/>
  <c r="F110" i="12"/>
  <c r="G110" i="12"/>
  <c r="H110" i="12"/>
  <c r="I110" i="12"/>
  <c r="J110" i="12"/>
  <c r="K110" i="12" s="1"/>
  <c r="L110" i="12" s="1"/>
  <c r="F111" i="12"/>
  <c r="G111" i="12"/>
  <c r="H111" i="12"/>
  <c r="I111" i="12"/>
  <c r="J111" i="12"/>
  <c r="K111" i="12" s="1"/>
  <c r="L111" i="12" s="1"/>
  <c r="F112" i="12"/>
  <c r="G112" i="12"/>
  <c r="H112" i="12"/>
  <c r="I112" i="12"/>
  <c r="J112" i="12"/>
  <c r="F113" i="12"/>
  <c r="G113" i="12"/>
  <c r="H113" i="12"/>
  <c r="I113" i="12" s="1"/>
  <c r="J113" i="12"/>
  <c r="F114" i="12"/>
  <c r="G114" i="12"/>
  <c r="H114" i="12"/>
  <c r="I114" i="12" s="1"/>
  <c r="J114" i="12"/>
  <c r="F115" i="12"/>
  <c r="G115" i="12"/>
  <c r="H115" i="12"/>
  <c r="I115" i="12" s="1"/>
  <c r="F117" i="12"/>
  <c r="G117" i="12"/>
  <c r="H117" i="12"/>
  <c r="I117" i="12"/>
  <c r="J117" i="12"/>
  <c r="K117" i="12" s="1"/>
  <c r="L117" i="12" s="1"/>
  <c r="C15" i="54"/>
  <c r="C12" i="53"/>
  <c r="C15" i="53" s="1"/>
  <c r="C17" i="53" s="1"/>
  <c r="F37" i="12" s="1"/>
  <c r="C11" i="53"/>
  <c r="K53" i="12" l="1"/>
  <c r="L53" i="12" s="1"/>
  <c r="K63" i="12"/>
  <c r="L63" i="12" s="1"/>
  <c r="K115" i="12"/>
  <c r="L115" i="12" s="1"/>
  <c r="K109" i="12"/>
  <c r="L109" i="12" s="1"/>
  <c r="K104" i="12"/>
  <c r="L104" i="12" s="1"/>
  <c r="K100" i="12"/>
  <c r="L100" i="12" s="1"/>
  <c r="K84" i="12"/>
  <c r="L84" i="12" s="1"/>
  <c r="K77" i="12"/>
  <c r="L77" i="12" s="1"/>
  <c r="K68" i="12"/>
  <c r="L68" i="12" s="1"/>
  <c r="K59" i="12"/>
  <c r="L59" i="12" s="1"/>
  <c r="K114" i="12"/>
  <c r="L114" i="12" s="1"/>
  <c r="K112" i="12"/>
  <c r="L112" i="12" s="1"/>
  <c r="K108" i="12"/>
  <c r="L108" i="12" s="1"/>
  <c r="K103" i="12"/>
  <c r="L103" i="12" s="1"/>
  <c r="K83" i="12"/>
  <c r="L83" i="12" s="1"/>
  <c r="K76" i="12"/>
  <c r="L76" i="12" s="1"/>
  <c r="K72" i="12"/>
  <c r="L72" i="12" s="1"/>
  <c r="K71" i="12"/>
  <c r="L71" i="12" s="1"/>
  <c r="K67" i="12"/>
  <c r="L67" i="12" s="1"/>
  <c r="K62" i="12"/>
  <c r="L62" i="12" s="1"/>
  <c r="H54" i="12"/>
  <c r="K99" i="12"/>
  <c r="L99" i="12" s="1"/>
  <c r="K106" i="12"/>
  <c r="L106" i="12" s="1"/>
  <c r="K82" i="12"/>
  <c r="L82" i="12" s="1"/>
  <c r="K56" i="12"/>
  <c r="L56" i="12" s="1"/>
  <c r="K74" i="12"/>
  <c r="L74" i="12" s="1"/>
  <c r="K66" i="12"/>
  <c r="L66" i="12" s="1"/>
  <c r="K58" i="12"/>
  <c r="L58" i="12" s="1"/>
  <c r="K107" i="12"/>
  <c r="L107" i="12" s="1"/>
  <c r="K73" i="12"/>
  <c r="L73" i="12" s="1"/>
  <c r="I54" i="12"/>
  <c r="K54" i="12"/>
  <c r="L54" i="12" s="1"/>
  <c r="K65" i="12"/>
  <c r="L65" i="12" s="1"/>
  <c r="I82" i="12"/>
  <c r="K80" i="12"/>
  <c r="L80" i="12" s="1"/>
  <c r="K64" i="12"/>
  <c r="L64" i="12" s="1"/>
  <c r="K113" i="12"/>
  <c r="L113" i="12" s="1"/>
  <c r="C17" i="54"/>
  <c r="G42" i="12" s="1"/>
  <c r="G1569" i="52" l="1"/>
  <c r="G1566" i="52"/>
  <c r="D1565" i="52"/>
  <c r="G1565" i="52" s="1"/>
  <c r="D1564" i="52"/>
  <c r="G1564" i="52" s="1"/>
  <c r="G1563" i="52"/>
  <c r="G1560" i="52"/>
  <c r="D1559" i="52"/>
  <c r="G1559" i="52" s="1"/>
  <c r="D1558" i="52"/>
  <c r="G1558" i="52" s="1"/>
  <c r="G1557" i="52"/>
  <c r="G1554" i="52"/>
  <c r="D1553" i="52"/>
  <c r="G1553" i="52" s="1"/>
  <c r="D1552" i="52"/>
  <c r="G1552" i="52" s="1"/>
  <c r="G1555" i="52" s="1"/>
  <c r="G1551" i="52"/>
  <c r="G1548" i="52"/>
  <c r="D1547" i="52"/>
  <c r="G1547" i="52" s="1"/>
  <c r="D1546" i="52"/>
  <c r="G1546" i="52" s="1"/>
  <c r="G1545" i="52"/>
  <c r="G1542" i="52"/>
  <c r="D1541" i="52"/>
  <c r="G1541" i="52" s="1"/>
  <c r="G1543" i="52" s="1"/>
  <c r="F38" i="12" s="1"/>
  <c r="D1540" i="52"/>
  <c r="G1540" i="52" s="1"/>
  <c r="G1539" i="52"/>
  <c r="G1532" i="52"/>
  <c r="G1530" i="52"/>
  <c r="G1529" i="52"/>
  <c r="G1528" i="52"/>
  <c r="G1527" i="52"/>
  <c r="G1526" i="52"/>
  <c r="G1522" i="52"/>
  <c r="G1521" i="52"/>
  <c r="G1520" i="52"/>
  <c r="G1519" i="52"/>
  <c r="G1518" i="52"/>
  <c r="G1514" i="52"/>
  <c r="G1513" i="52"/>
  <c r="G1512" i="52"/>
  <c r="G1511" i="52"/>
  <c r="G1510" i="52"/>
  <c r="G1506" i="52"/>
  <c r="G1505" i="52"/>
  <c r="G1504" i="52"/>
  <c r="G1503" i="52"/>
  <c r="G1502" i="52"/>
  <c r="G1495" i="52"/>
  <c r="G1493" i="52"/>
  <c r="G1492" i="52"/>
  <c r="G1491" i="52"/>
  <c r="G1490" i="52"/>
  <c r="G1489" i="52"/>
  <c r="G1485" i="52"/>
  <c r="G1484" i="52"/>
  <c r="G1483" i="52"/>
  <c r="G1482" i="52"/>
  <c r="G1481" i="52"/>
  <c r="G1477" i="52"/>
  <c r="G1476" i="52"/>
  <c r="G1475" i="52"/>
  <c r="G1474" i="52"/>
  <c r="G1473" i="52"/>
  <c r="G1469" i="52"/>
  <c r="G1468" i="52"/>
  <c r="G1467" i="52"/>
  <c r="G1466" i="52"/>
  <c r="G1465" i="52"/>
  <c r="G1458" i="52"/>
  <c r="G1452" i="52"/>
  <c r="G1451" i="52"/>
  <c r="G1450" i="52"/>
  <c r="G1449" i="52"/>
  <c r="G1445" i="52"/>
  <c r="G1444" i="52"/>
  <c r="G1443" i="52"/>
  <c r="G1442" i="52"/>
  <c r="G1438" i="52"/>
  <c r="G1437" i="52"/>
  <c r="G1436" i="52"/>
  <c r="G1435" i="52"/>
  <c r="G1431" i="52"/>
  <c r="G1430" i="52"/>
  <c r="G1429" i="52"/>
  <c r="G1428" i="52"/>
  <c r="G1432" i="52" s="1"/>
  <c r="G1421" i="52"/>
  <c r="G1419" i="52"/>
  <c r="G1418" i="52"/>
  <c r="G1417" i="52"/>
  <c r="G1416" i="52"/>
  <c r="G1412" i="52"/>
  <c r="G1411" i="52"/>
  <c r="G1410" i="52"/>
  <c r="G1409" i="52"/>
  <c r="G1405" i="52"/>
  <c r="G1404" i="52"/>
  <c r="G1403" i="52"/>
  <c r="G1402" i="52"/>
  <c r="G1398" i="52"/>
  <c r="G1397" i="52"/>
  <c r="G1396" i="52"/>
  <c r="G1395" i="52"/>
  <c r="G1391" i="52"/>
  <c r="G1390" i="52"/>
  <c r="G1389" i="52"/>
  <c r="G1388" i="52"/>
  <c r="G1381" i="52"/>
  <c r="G1379" i="52"/>
  <c r="G1378" i="52"/>
  <c r="G1377" i="52"/>
  <c r="G1376" i="52"/>
  <c r="G1372" i="52"/>
  <c r="G1371" i="52"/>
  <c r="G1370" i="52"/>
  <c r="G1369" i="52"/>
  <c r="G1365" i="52"/>
  <c r="G1364" i="52"/>
  <c r="G1363" i="52"/>
  <c r="J1362" i="52"/>
  <c r="L1362" i="52" s="1"/>
  <c r="G1362" i="52"/>
  <c r="G1358" i="52"/>
  <c r="G1357" i="52"/>
  <c r="G1356" i="52"/>
  <c r="G1352" i="52"/>
  <c r="G1351" i="52"/>
  <c r="G1350" i="52"/>
  <c r="G1343" i="52"/>
  <c r="G1339" i="52"/>
  <c r="G1338" i="52"/>
  <c r="G1337" i="52"/>
  <c r="G1333" i="52"/>
  <c r="G1332" i="52"/>
  <c r="G1331" i="52"/>
  <c r="G1334" i="52" s="1"/>
  <c r="G1327" i="52"/>
  <c r="G1326" i="52"/>
  <c r="G1325" i="52"/>
  <c r="G1321" i="52"/>
  <c r="G1320" i="52"/>
  <c r="G1319" i="52"/>
  <c r="G1315" i="52"/>
  <c r="G1314" i="52"/>
  <c r="G1313" i="52"/>
  <c r="G1306" i="52"/>
  <c r="G1302" i="52"/>
  <c r="G1301" i="52"/>
  <c r="G1300" i="52"/>
  <c r="G1296" i="52"/>
  <c r="G1295" i="52"/>
  <c r="G1294" i="52"/>
  <c r="G1290" i="52"/>
  <c r="G1289" i="52"/>
  <c r="G1288" i="52"/>
  <c r="G1284" i="52"/>
  <c r="G1283" i="52"/>
  <c r="G1282" i="52"/>
  <c r="G1278" i="52"/>
  <c r="G1277" i="52"/>
  <c r="G1276" i="52"/>
  <c r="G1269" i="52"/>
  <c r="G1265" i="52"/>
  <c r="G1264" i="52"/>
  <c r="G1263" i="52"/>
  <c r="G1259" i="52"/>
  <c r="G1258" i="52"/>
  <c r="G1257" i="52"/>
  <c r="G1253" i="52"/>
  <c r="G1252" i="52"/>
  <c r="G1251" i="52"/>
  <c r="G1247" i="52"/>
  <c r="G1246" i="52"/>
  <c r="G1245" i="52"/>
  <c r="G1241" i="52"/>
  <c r="G1240" i="52"/>
  <c r="G1239" i="52"/>
  <c r="G1232" i="52"/>
  <c r="G1229" i="52"/>
  <c r="G1230" i="52" s="1"/>
  <c r="G1228" i="52"/>
  <c r="G1227" i="52"/>
  <c r="G1223" i="52"/>
  <c r="G1222" i="52"/>
  <c r="G1221" i="52"/>
  <c r="G1217" i="52"/>
  <c r="G1216" i="52"/>
  <c r="G1215" i="52"/>
  <c r="G1218" i="52" s="1"/>
  <c r="G1211" i="52"/>
  <c r="G1210" i="52"/>
  <c r="G1209" i="52"/>
  <c r="G1206" i="52"/>
  <c r="G1205" i="52"/>
  <c r="G1204" i="52"/>
  <c r="G1203" i="52"/>
  <c r="G1195" i="52"/>
  <c r="G1173" i="52"/>
  <c r="G1172" i="52"/>
  <c r="G1171" i="52"/>
  <c r="G1167" i="52"/>
  <c r="G1166" i="52"/>
  <c r="G1165" i="52"/>
  <c r="G1158" i="52"/>
  <c r="G1154" i="52"/>
  <c r="G1153" i="52"/>
  <c r="G1152" i="52"/>
  <c r="G1148" i="52"/>
  <c r="G1147" i="52"/>
  <c r="G1146" i="52"/>
  <c r="G1142" i="52"/>
  <c r="G1141" i="52"/>
  <c r="G1140" i="52"/>
  <c r="G1136" i="52"/>
  <c r="G1135" i="52"/>
  <c r="G1134" i="52"/>
  <c r="G1130" i="52"/>
  <c r="G1129" i="52"/>
  <c r="G1128" i="52"/>
  <c r="G1121" i="52"/>
  <c r="G1117" i="52"/>
  <c r="G1116" i="52"/>
  <c r="G1115" i="52"/>
  <c r="G1111" i="52"/>
  <c r="G1110" i="52"/>
  <c r="G1109" i="52"/>
  <c r="G1105" i="52"/>
  <c r="G1104" i="52"/>
  <c r="G1103" i="52"/>
  <c r="G1099" i="52"/>
  <c r="G1100" i="52" s="1"/>
  <c r="G1098" i="52"/>
  <c r="G1097" i="52"/>
  <c r="G1093" i="52"/>
  <c r="G1092" i="52"/>
  <c r="G1091" i="52"/>
  <c r="G1084" i="52"/>
  <c r="G1078" i="52"/>
  <c r="G1077" i="52"/>
  <c r="G1076" i="52"/>
  <c r="G1075" i="52"/>
  <c r="G1074" i="52"/>
  <c r="G1071" i="52"/>
  <c r="G1070" i="52"/>
  <c r="G1069" i="52"/>
  <c r="G1068" i="52"/>
  <c r="G1067" i="52"/>
  <c r="G1064" i="52"/>
  <c r="G1063" i="52"/>
  <c r="G1062" i="52"/>
  <c r="G1061" i="52"/>
  <c r="G1060" i="52"/>
  <c r="G1057" i="52"/>
  <c r="G1056" i="52"/>
  <c r="G1055" i="52"/>
  <c r="G1054" i="52"/>
  <c r="G1053" i="52"/>
  <c r="G1047" i="52"/>
  <c r="G1041" i="52"/>
  <c r="G1040" i="52"/>
  <c r="G1039" i="52"/>
  <c r="G1038" i="52"/>
  <c r="G1037" i="52"/>
  <c r="G1034" i="52"/>
  <c r="G1033" i="52"/>
  <c r="G1032" i="52"/>
  <c r="G1031" i="52"/>
  <c r="G1030" i="52"/>
  <c r="G1027" i="52"/>
  <c r="G1026" i="52"/>
  <c r="G1025" i="52"/>
  <c r="G1024" i="52"/>
  <c r="G1023" i="52"/>
  <c r="G1020" i="52"/>
  <c r="G1019" i="52"/>
  <c r="G1018" i="52"/>
  <c r="G1017" i="52"/>
  <c r="G1016" i="52"/>
  <c r="G1010" i="52"/>
  <c r="G1007" i="52"/>
  <c r="G1006" i="52"/>
  <c r="G1005" i="52"/>
  <c r="G1004" i="52"/>
  <c r="G1003" i="52"/>
  <c r="G1002" i="52"/>
  <c r="G999" i="52"/>
  <c r="G998" i="52"/>
  <c r="G997" i="52"/>
  <c r="G996" i="52"/>
  <c r="G995" i="52"/>
  <c r="G994" i="52"/>
  <c r="G991" i="52"/>
  <c r="G990" i="52"/>
  <c r="G989" i="52"/>
  <c r="G988" i="52"/>
  <c r="G987" i="52"/>
  <c r="G986" i="52"/>
  <c r="G983" i="52"/>
  <c r="G982" i="52"/>
  <c r="G981" i="52"/>
  <c r="G980" i="52"/>
  <c r="G979" i="52"/>
  <c r="G978" i="52"/>
  <c r="G972" i="52"/>
  <c r="G970" i="52"/>
  <c r="G969" i="52"/>
  <c r="G968" i="52"/>
  <c r="G967" i="52"/>
  <c r="G966" i="52"/>
  <c r="G965" i="52"/>
  <c r="G971" i="52" s="1"/>
  <c r="G962" i="52"/>
  <c r="G961" i="52"/>
  <c r="G960" i="52"/>
  <c r="G959" i="52"/>
  <c r="G958" i="52"/>
  <c r="G957" i="52"/>
  <c r="G954" i="52"/>
  <c r="G953" i="52"/>
  <c r="G952" i="52"/>
  <c r="G951" i="52"/>
  <c r="G950" i="52"/>
  <c r="G949" i="52"/>
  <c r="G955" i="52" s="1"/>
  <c r="G946" i="52"/>
  <c r="G945" i="52"/>
  <c r="G944" i="52"/>
  <c r="G943" i="52"/>
  <c r="G947" i="52" s="1"/>
  <c r="G942" i="52"/>
  <c r="G935" i="52"/>
  <c r="G933" i="52"/>
  <c r="G932" i="52"/>
  <c r="G931" i="52"/>
  <c r="G930" i="52"/>
  <c r="G929" i="52"/>
  <c r="G928" i="52"/>
  <c r="G925" i="52"/>
  <c r="G924" i="52"/>
  <c r="G923" i="52"/>
  <c r="G922" i="52"/>
  <c r="G921" i="52"/>
  <c r="G920" i="52"/>
  <c r="G917" i="52"/>
  <c r="G916" i="52"/>
  <c r="G915" i="52"/>
  <c r="G914" i="52"/>
  <c r="G913" i="52"/>
  <c r="G912" i="52"/>
  <c r="G918" i="52" s="1"/>
  <c r="G909" i="52"/>
  <c r="G908" i="52"/>
  <c r="G907" i="52"/>
  <c r="G906" i="52"/>
  <c r="G905" i="52"/>
  <c r="G904" i="52"/>
  <c r="G898" i="52"/>
  <c r="G896" i="52"/>
  <c r="G895" i="52"/>
  <c r="G894" i="52"/>
  <c r="G893" i="52"/>
  <c r="G892" i="52"/>
  <c r="G891" i="52"/>
  <c r="G888" i="52"/>
  <c r="G887" i="52"/>
  <c r="G886" i="52"/>
  <c r="G885" i="52"/>
  <c r="G884" i="52"/>
  <c r="G883" i="52"/>
  <c r="G880" i="52"/>
  <c r="G879" i="52"/>
  <c r="G878" i="52"/>
  <c r="G877" i="52"/>
  <c r="G876" i="52"/>
  <c r="G875" i="52"/>
  <c r="G872" i="52"/>
  <c r="G871" i="52"/>
  <c r="G870" i="52"/>
  <c r="G869" i="52"/>
  <c r="G868" i="52"/>
  <c r="G867" i="52"/>
  <c r="G861" i="52"/>
  <c r="G859" i="52"/>
  <c r="G858" i="52"/>
  <c r="G857" i="52"/>
  <c r="G856" i="52"/>
  <c r="G855" i="52"/>
  <c r="G854" i="52"/>
  <c r="G851" i="52"/>
  <c r="G850" i="52"/>
  <c r="G849" i="52"/>
  <c r="G848" i="52"/>
  <c r="G847" i="52"/>
  <c r="G846" i="52"/>
  <c r="G843" i="52"/>
  <c r="G842" i="52"/>
  <c r="G841" i="52"/>
  <c r="G840" i="52"/>
  <c r="G839" i="52"/>
  <c r="G838" i="52"/>
  <c r="G837" i="52"/>
  <c r="G836" i="52"/>
  <c r="G833" i="52"/>
  <c r="G832" i="52"/>
  <c r="G831" i="52"/>
  <c r="G830" i="52"/>
  <c r="G829" i="52"/>
  <c r="G828" i="52"/>
  <c r="G827" i="52"/>
  <c r="G821" i="52"/>
  <c r="G819" i="52"/>
  <c r="G818" i="52"/>
  <c r="G817" i="52"/>
  <c r="G816" i="52"/>
  <c r="G815" i="52"/>
  <c r="G814" i="52"/>
  <c r="G811" i="52"/>
  <c r="G810" i="52"/>
  <c r="G809" i="52"/>
  <c r="G808" i="52"/>
  <c r="G807" i="52"/>
  <c r="G806" i="52"/>
  <c r="G803" i="52"/>
  <c r="G802" i="52"/>
  <c r="G801" i="52"/>
  <c r="G800" i="52"/>
  <c r="G797" i="52"/>
  <c r="G796" i="52"/>
  <c r="G795" i="52"/>
  <c r="G792" i="52"/>
  <c r="G791" i="52"/>
  <c r="G790" i="52"/>
  <c r="G783" i="52"/>
  <c r="G779" i="52"/>
  <c r="G778" i="52"/>
  <c r="G777" i="52"/>
  <c r="G776" i="52"/>
  <c r="G775" i="52"/>
  <c r="G771" i="52"/>
  <c r="G770" i="52"/>
  <c r="G769" i="52"/>
  <c r="G768" i="52"/>
  <c r="G772" i="52" s="1"/>
  <c r="G767" i="52"/>
  <c r="G763" i="52"/>
  <c r="G762" i="52"/>
  <c r="G761" i="52"/>
  <c r="G760" i="52"/>
  <c r="G756" i="52"/>
  <c r="G755" i="52"/>
  <c r="G754" i="52"/>
  <c r="G753" i="52"/>
  <c r="G746" i="52"/>
  <c r="G744" i="52"/>
  <c r="G743" i="52"/>
  <c r="G742" i="52"/>
  <c r="G741" i="52"/>
  <c r="G737" i="52"/>
  <c r="G736" i="52"/>
  <c r="G735" i="52"/>
  <c r="G734" i="52"/>
  <c r="G730" i="52"/>
  <c r="G729" i="52"/>
  <c r="G728" i="52"/>
  <c r="G727" i="52"/>
  <c r="G723" i="52"/>
  <c r="G722" i="52"/>
  <c r="G721" i="52"/>
  <c r="G720" i="52"/>
  <c r="G716" i="52"/>
  <c r="G715" i="52"/>
  <c r="G714" i="52"/>
  <c r="G713" i="52"/>
  <c r="G706" i="52"/>
  <c r="G703" i="52"/>
  <c r="G702" i="52"/>
  <c r="G701" i="52"/>
  <c r="G700" i="52"/>
  <c r="G696" i="52"/>
  <c r="G695" i="52"/>
  <c r="G694" i="52"/>
  <c r="G690" i="52"/>
  <c r="G689" i="52"/>
  <c r="G688" i="52"/>
  <c r="G684" i="52"/>
  <c r="G683" i="52"/>
  <c r="G685" i="52" s="1"/>
  <c r="G682" i="52"/>
  <c r="G678" i="52"/>
  <c r="G677" i="52"/>
  <c r="G676" i="52"/>
  <c r="G669" i="52"/>
  <c r="G665" i="52"/>
  <c r="G664" i="52"/>
  <c r="G666" i="52" s="1"/>
  <c r="G663" i="52"/>
  <c r="G659" i="52"/>
  <c r="G658" i="52"/>
  <c r="G657" i="52"/>
  <c r="G653" i="52"/>
  <c r="G652" i="52"/>
  <c r="G651" i="52"/>
  <c r="G647" i="52"/>
  <c r="G646" i="52"/>
  <c r="G645" i="52"/>
  <c r="G641" i="52"/>
  <c r="G640" i="52"/>
  <c r="G639" i="52"/>
  <c r="G632" i="52"/>
  <c r="G628" i="52"/>
  <c r="G627" i="52"/>
  <c r="G626" i="52"/>
  <c r="G622" i="52"/>
  <c r="G621" i="52"/>
  <c r="G620" i="52"/>
  <c r="G623" i="52" s="1"/>
  <c r="G616" i="52"/>
  <c r="G615" i="52"/>
  <c r="G614" i="52"/>
  <c r="G610" i="52"/>
  <c r="G609" i="52"/>
  <c r="G608" i="52"/>
  <c r="G604" i="52"/>
  <c r="G603" i="52"/>
  <c r="G605" i="52" s="1"/>
  <c r="G602" i="52"/>
  <c r="G595" i="52"/>
  <c r="G591" i="52"/>
  <c r="G590" i="52"/>
  <c r="G589" i="52"/>
  <c r="G585" i="52"/>
  <c r="G584" i="52"/>
  <c r="G583" i="52"/>
  <c r="G579" i="52"/>
  <c r="G578" i="52"/>
  <c r="G577" i="52"/>
  <c r="G573" i="52"/>
  <c r="G572" i="52"/>
  <c r="G571" i="52"/>
  <c r="G567" i="52"/>
  <c r="G566" i="52"/>
  <c r="G565" i="52"/>
  <c r="G558" i="52"/>
  <c r="G554" i="52"/>
  <c r="G553" i="52"/>
  <c r="G552" i="52"/>
  <c r="G548" i="52"/>
  <c r="G547" i="52"/>
  <c r="G546" i="52"/>
  <c r="G542" i="52"/>
  <c r="G541" i="52"/>
  <c r="G543" i="52" s="1"/>
  <c r="G540" i="52"/>
  <c r="G536" i="52"/>
  <c r="G535" i="52"/>
  <c r="G534" i="52"/>
  <c r="G530" i="52"/>
  <c r="G529" i="52"/>
  <c r="G528" i="52"/>
  <c r="G521" i="52"/>
  <c r="G517" i="52"/>
  <c r="G516" i="52"/>
  <c r="G515" i="52"/>
  <c r="G511" i="52"/>
  <c r="G510" i="52"/>
  <c r="G509" i="52"/>
  <c r="G512" i="52" s="1"/>
  <c r="G505" i="52"/>
  <c r="G504" i="52"/>
  <c r="G503" i="52"/>
  <c r="G500" i="52"/>
  <c r="G499" i="52"/>
  <c r="G498" i="52"/>
  <c r="G497" i="52"/>
  <c r="G493" i="52"/>
  <c r="G492" i="52"/>
  <c r="G491" i="52"/>
  <c r="G484" i="52"/>
  <c r="G480" i="52"/>
  <c r="G479" i="52"/>
  <c r="G478" i="52"/>
  <c r="G474" i="52"/>
  <c r="G473" i="52"/>
  <c r="G472" i="52"/>
  <c r="G468" i="52"/>
  <c r="G467" i="52"/>
  <c r="G466" i="52"/>
  <c r="G469" i="52" s="1"/>
  <c r="G462" i="52"/>
  <c r="G461" i="52"/>
  <c r="G460" i="52"/>
  <c r="G456" i="52"/>
  <c r="G455" i="52"/>
  <c r="G454" i="52"/>
  <c r="G447" i="52"/>
  <c r="G444" i="52"/>
  <c r="G443" i="52"/>
  <c r="G442" i="52"/>
  <c r="G438" i="52"/>
  <c r="G437" i="52"/>
  <c r="G436" i="52"/>
  <c r="G439" i="52" s="1"/>
  <c r="G432" i="52"/>
  <c r="G431" i="52"/>
  <c r="G430" i="52"/>
  <c r="G426" i="52"/>
  <c r="G425" i="52"/>
  <c r="G424" i="52"/>
  <c r="G427" i="52" s="1"/>
  <c r="G420" i="52"/>
  <c r="G419" i="52"/>
  <c r="G418" i="52"/>
  <c r="G410" i="52"/>
  <c r="G407" i="52"/>
  <c r="G406" i="52"/>
  <c r="G405" i="52"/>
  <c r="G404" i="52"/>
  <c r="G403" i="52"/>
  <c r="G400" i="52"/>
  <c r="G399" i="52"/>
  <c r="G398" i="52"/>
  <c r="G397" i="52"/>
  <c r="G396" i="52"/>
  <c r="G395" i="52"/>
  <c r="G392" i="52"/>
  <c r="G391" i="52"/>
  <c r="G390" i="52"/>
  <c r="G389" i="52"/>
  <c r="G388" i="52"/>
  <c r="G387" i="52"/>
  <c r="G386" i="52"/>
  <c r="G383" i="52"/>
  <c r="G382" i="52"/>
  <c r="G381" i="52"/>
  <c r="G380" i="52"/>
  <c r="G379" i="52"/>
  <c r="G378" i="52"/>
  <c r="G377" i="52"/>
  <c r="G371" i="52"/>
  <c r="G368" i="52"/>
  <c r="G367" i="52"/>
  <c r="G366" i="52"/>
  <c r="G365" i="52"/>
  <c r="G364" i="52"/>
  <c r="G361" i="52"/>
  <c r="G360" i="52"/>
  <c r="G359" i="52"/>
  <c r="G358" i="52"/>
  <c r="G357" i="52"/>
  <c r="G356" i="52"/>
  <c r="G353" i="52"/>
  <c r="G352" i="52"/>
  <c r="G351" i="52"/>
  <c r="G350" i="52"/>
  <c r="G349" i="52"/>
  <c r="G348" i="52"/>
  <c r="G345" i="52"/>
  <c r="G344" i="52"/>
  <c r="G343" i="52"/>
  <c r="G342" i="52"/>
  <c r="G341" i="52"/>
  <c r="G340" i="52"/>
  <c r="G334" i="52"/>
  <c r="G332" i="52"/>
  <c r="G331" i="52"/>
  <c r="G330" i="52"/>
  <c r="G329" i="52"/>
  <c r="G328" i="52"/>
  <c r="G327" i="52"/>
  <c r="G324" i="52"/>
  <c r="G323" i="52"/>
  <c r="G322" i="52"/>
  <c r="G321" i="52"/>
  <c r="G320" i="52"/>
  <c r="G319" i="52"/>
  <c r="G316" i="52"/>
  <c r="G315" i="52"/>
  <c r="G314" i="52"/>
  <c r="G313" i="52"/>
  <c r="G312" i="52"/>
  <c r="G311" i="52"/>
  <c r="G308" i="52"/>
  <c r="G307" i="52"/>
  <c r="G306" i="52"/>
  <c r="G305" i="52"/>
  <c r="G304" i="52"/>
  <c r="G303" i="52"/>
  <c r="G297" i="52"/>
  <c r="G295" i="52"/>
  <c r="G294" i="52"/>
  <c r="G293" i="52"/>
  <c r="G292" i="52"/>
  <c r="G291" i="52"/>
  <c r="G290" i="52"/>
  <c r="G287" i="52"/>
  <c r="G286" i="52"/>
  <c r="G285" i="52"/>
  <c r="G284" i="52"/>
  <c r="G283" i="52"/>
  <c r="G282" i="52"/>
  <c r="G279" i="52"/>
  <c r="G278" i="52"/>
  <c r="G277" i="52"/>
  <c r="G276" i="52"/>
  <c r="G275" i="52"/>
  <c r="G274" i="52"/>
  <c r="G271" i="52"/>
  <c r="G270" i="52"/>
  <c r="G269" i="52"/>
  <c r="G268" i="52"/>
  <c r="G272" i="52" s="1"/>
  <c r="G267" i="52"/>
  <c r="G266" i="52"/>
  <c r="G260" i="52"/>
  <c r="G257" i="52"/>
  <c r="G256" i="52"/>
  <c r="G255" i="52"/>
  <c r="G254" i="52"/>
  <c r="G251" i="52"/>
  <c r="G250" i="52"/>
  <c r="G249" i="52"/>
  <c r="G248" i="52"/>
  <c r="G247" i="52"/>
  <c r="G244" i="52"/>
  <c r="G243" i="52"/>
  <c r="G242" i="52"/>
  <c r="G241" i="52"/>
  <c r="G238" i="52"/>
  <c r="G237" i="52"/>
  <c r="G236" i="52"/>
  <c r="G235" i="52"/>
  <c r="G232" i="52"/>
  <c r="G231" i="52"/>
  <c r="G230" i="52"/>
  <c r="G233" i="52" s="1"/>
  <c r="G223" i="52"/>
  <c r="G217" i="52"/>
  <c r="G216" i="52"/>
  <c r="G215" i="52"/>
  <c r="G214" i="52"/>
  <c r="G213" i="52"/>
  <c r="G210" i="52"/>
  <c r="G209" i="52"/>
  <c r="G208" i="52"/>
  <c r="G207" i="52"/>
  <c r="G206" i="52"/>
  <c r="G203" i="52"/>
  <c r="D202" i="52"/>
  <c r="G202" i="52" s="1"/>
  <c r="G201" i="52"/>
  <c r="D200" i="52"/>
  <c r="G200" i="52" s="1"/>
  <c r="D199" i="52"/>
  <c r="G199" i="52" s="1"/>
  <c r="G196" i="52"/>
  <c r="G195" i="52"/>
  <c r="G194" i="52"/>
  <c r="G193" i="52"/>
  <c r="G192" i="52"/>
  <c r="G186" i="52"/>
  <c r="G181" i="52"/>
  <c r="G180" i="52"/>
  <c r="G179" i="52"/>
  <c r="G178" i="52"/>
  <c r="G177" i="52"/>
  <c r="G174" i="52"/>
  <c r="G173" i="52"/>
  <c r="G172" i="52"/>
  <c r="G171" i="52"/>
  <c r="G170" i="52"/>
  <c r="G167" i="52"/>
  <c r="G166" i="52"/>
  <c r="G165" i="52"/>
  <c r="G164" i="52"/>
  <c r="G163" i="52"/>
  <c r="G160" i="52"/>
  <c r="G159" i="52"/>
  <c r="G158" i="52"/>
  <c r="G157" i="52"/>
  <c r="G156" i="52"/>
  <c r="G149" i="52"/>
  <c r="D144" i="52"/>
  <c r="D146" i="52" s="1"/>
  <c r="G146" i="52" s="1"/>
  <c r="D139" i="52"/>
  <c r="D140" i="52" s="1"/>
  <c r="G140" i="52" s="1"/>
  <c r="D134" i="52"/>
  <c r="D136" i="52" s="1"/>
  <c r="G136" i="52" s="1"/>
  <c r="G130" i="52"/>
  <c r="G131" i="52" s="1"/>
  <c r="G126" i="52"/>
  <c r="G125" i="52"/>
  <c r="G124" i="52"/>
  <c r="G123" i="52"/>
  <c r="G122" i="52"/>
  <c r="G121" i="52"/>
  <c r="G120" i="52"/>
  <c r="G119" i="52"/>
  <c r="G112" i="52"/>
  <c r="F110" i="52"/>
  <c r="G110" i="52" s="1"/>
  <c r="G109" i="52"/>
  <c r="G108" i="52"/>
  <c r="G107" i="52"/>
  <c r="G106" i="52"/>
  <c r="G105" i="52"/>
  <c r="F102" i="52"/>
  <c r="G102" i="52" s="1"/>
  <c r="G101" i="52"/>
  <c r="G100" i="52"/>
  <c r="G99" i="52"/>
  <c r="G98" i="52"/>
  <c r="G97" i="52"/>
  <c r="F94" i="52"/>
  <c r="G94" i="52" s="1"/>
  <c r="G93" i="52"/>
  <c r="G92" i="52"/>
  <c r="G91" i="52"/>
  <c r="G74" i="52"/>
  <c r="F71" i="52"/>
  <c r="G71" i="52" s="1"/>
  <c r="G70" i="52"/>
  <c r="G69" i="52"/>
  <c r="G68" i="52"/>
  <c r="F65" i="52"/>
  <c r="G65" i="52" s="1"/>
  <c r="G64" i="52"/>
  <c r="G63" i="52"/>
  <c r="G62" i="52"/>
  <c r="F59" i="52"/>
  <c r="G59" i="52" s="1"/>
  <c r="G58" i="52"/>
  <c r="G57" i="52"/>
  <c r="G56" i="52"/>
  <c r="F53" i="52"/>
  <c r="G53" i="52" s="1"/>
  <c r="G52" i="52"/>
  <c r="G51" i="52"/>
  <c r="G50" i="52"/>
  <c r="F47" i="52"/>
  <c r="G47" i="52" s="1"/>
  <c r="G46" i="52"/>
  <c r="G45" i="52"/>
  <c r="G44" i="52"/>
  <c r="F34" i="52"/>
  <c r="G34" i="52" s="1"/>
  <c r="G33" i="52"/>
  <c r="G32" i="52"/>
  <c r="G31" i="52"/>
  <c r="G28" i="52"/>
  <c r="G27" i="52"/>
  <c r="G26" i="52"/>
  <c r="G25" i="52"/>
  <c r="G22" i="52"/>
  <c r="G21" i="52"/>
  <c r="G20" i="52"/>
  <c r="G19" i="52"/>
  <c r="G16" i="52"/>
  <c r="G15" i="52"/>
  <c r="G14" i="52"/>
  <c r="G13" i="52"/>
  <c r="G10" i="52"/>
  <c r="G9" i="52"/>
  <c r="G8" i="52"/>
  <c r="G7" i="52"/>
  <c r="G252" i="52" l="1"/>
  <c r="G258" i="52"/>
  <c r="G408" i="52"/>
  <c r="G433" i="52"/>
  <c r="G463" i="52"/>
  <c r="G549" i="52"/>
  <c r="G555" i="52"/>
  <c r="G580" i="52"/>
  <c r="G704" i="52"/>
  <c r="G889" i="52"/>
  <c r="G897" i="52"/>
  <c r="G1212" i="52"/>
  <c r="G1523" i="52"/>
  <c r="G1531" i="52"/>
  <c r="G48" i="52"/>
  <c r="G103" i="52"/>
  <c r="G175" i="52"/>
  <c r="G211" i="52"/>
  <c r="G346" i="52"/>
  <c r="G369" i="52"/>
  <c r="G393" i="52"/>
  <c r="G537" i="52"/>
  <c r="G648" i="52"/>
  <c r="G697" i="52"/>
  <c r="G738" i="52"/>
  <c r="G745" i="52"/>
  <c r="G873" i="52"/>
  <c r="G1168" i="52"/>
  <c r="G1266" i="52"/>
  <c r="G1279" i="52"/>
  <c r="G1303" i="52"/>
  <c r="G1316" i="52"/>
  <c r="G1359" i="52"/>
  <c r="G1380" i="52"/>
  <c r="G1478" i="52"/>
  <c r="G11" i="52"/>
  <c r="G17" i="52"/>
  <c r="G23" i="52"/>
  <c r="G60" i="52"/>
  <c r="G72" i="52"/>
  <c r="G629" i="52"/>
  <c r="G642" i="52"/>
  <c r="G798" i="52"/>
  <c r="G1035" i="52"/>
  <c r="G1042" i="52"/>
  <c r="G1094" i="52"/>
  <c r="G1112" i="52"/>
  <c r="G1248" i="52"/>
  <c r="G1297" i="52"/>
  <c r="G1340" i="52"/>
  <c r="G1353" i="52"/>
  <c r="G1406" i="52"/>
  <c r="G354" i="52"/>
  <c r="G984" i="52"/>
  <c r="G161" i="52"/>
  <c r="G724" i="52"/>
  <c r="G780" i="52"/>
  <c r="G812" i="52"/>
  <c r="G844" i="52"/>
  <c r="G852" i="52"/>
  <c r="G1507" i="52"/>
  <c r="G35" i="52"/>
  <c r="D141" i="52"/>
  <c r="G141" i="52" s="1"/>
  <c r="G168" i="52"/>
  <c r="G182" i="52"/>
  <c r="G586" i="52"/>
  <c r="G1413" i="52"/>
  <c r="G1420" i="52"/>
  <c r="G1486" i="52"/>
  <c r="G66" i="52"/>
  <c r="G95" i="52"/>
  <c r="G239" i="52"/>
  <c r="G245" i="52"/>
  <c r="G288" i="52"/>
  <c r="G317" i="52"/>
  <c r="G325" i="52"/>
  <c r="G475" i="52"/>
  <c r="G518" i="52"/>
  <c r="G531" i="52"/>
  <c r="G654" i="52"/>
  <c r="G764" i="52"/>
  <c r="G1000" i="52"/>
  <c r="G1028" i="52"/>
  <c r="G1072" i="52"/>
  <c r="G1137" i="52"/>
  <c r="G1174" i="52"/>
  <c r="G1373" i="52"/>
  <c r="G197" i="52"/>
  <c r="G218" i="52"/>
  <c r="G280" i="52"/>
  <c r="G296" i="52"/>
  <c r="G309" i="52"/>
  <c r="G333" i="52"/>
  <c r="G401" i="52"/>
  <c r="G457" i="52"/>
  <c r="G506" i="52"/>
  <c r="G617" i="52"/>
  <c r="G757" i="52"/>
  <c r="G804" i="52"/>
  <c r="G881" i="52"/>
  <c r="G910" i="52"/>
  <c r="G926" i="52"/>
  <c r="G934" i="52"/>
  <c r="G992" i="52"/>
  <c r="G1008" i="52"/>
  <c r="G1021" i="52"/>
  <c r="G1065" i="52"/>
  <c r="G1079" i="52"/>
  <c r="G1106" i="52"/>
  <c r="G1118" i="52"/>
  <c r="G1131" i="52"/>
  <c r="G1149" i="52"/>
  <c r="G1155" i="52"/>
  <c r="G1328" i="52"/>
  <c r="G1453" i="52"/>
  <c r="G1515" i="52"/>
  <c r="G29" i="52"/>
  <c r="G54" i="52"/>
  <c r="G111" i="52"/>
  <c r="G127" i="52"/>
  <c r="G204" i="52"/>
  <c r="G362" i="52"/>
  <c r="G384" i="52"/>
  <c r="G421" i="52"/>
  <c r="G445" i="52"/>
  <c r="G481" i="52"/>
  <c r="G494" i="52"/>
  <c r="G568" i="52"/>
  <c r="G574" i="52"/>
  <c r="G592" i="52"/>
  <c r="G611" i="52"/>
  <c r="G660" i="52"/>
  <c r="G679" i="52"/>
  <c r="G691" i="52"/>
  <c r="G717" i="52"/>
  <c r="G731" i="52"/>
  <c r="G793" i="52"/>
  <c r="G820" i="52"/>
  <c r="G834" i="52"/>
  <c r="G860" i="52"/>
  <c r="G963" i="52"/>
  <c r="G1058" i="52"/>
  <c r="G1143" i="52"/>
  <c r="G1224" i="52"/>
  <c r="G1242" i="52"/>
  <c r="G1254" i="52"/>
  <c r="G1260" i="52"/>
  <c r="G1285" i="52"/>
  <c r="G1291" i="52"/>
  <c r="G1322" i="52"/>
  <c r="G1366" i="52"/>
  <c r="G1392" i="52"/>
  <c r="G1399" i="52"/>
  <c r="G1439" i="52"/>
  <c r="G1446" i="52"/>
  <c r="G1470" i="52"/>
  <c r="G1494" i="52"/>
  <c r="G1567" i="52"/>
  <c r="G1561" i="52"/>
  <c r="G1549" i="52"/>
  <c r="G144" i="52"/>
  <c r="D145" i="52"/>
  <c r="G145" i="52" s="1"/>
  <c r="G134" i="52"/>
  <c r="D135" i="52"/>
  <c r="G135" i="52" s="1"/>
  <c r="G139" i="52"/>
  <c r="G142" i="52" l="1"/>
  <c r="G137" i="52"/>
  <c r="G147" i="52"/>
  <c r="C17" i="51" l="1"/>
  <c r="C18" i="51"/>
  <c r="C16" i="51"/>
  <c r="H16" i="51" s="1"/>
  <c r="C20" i="51"/>
  <c r="H20" i="51" s="1"/>
  <c r="E16" i="51"/>
  <c r="H14" i="51"/>
  <c r="H15" i="51"/>
  <c r="H17" i="51"/>
  <c r="H18" i="51"/>
  <c r="H21" i="51"/>
  <c r="H22" i="51"/>
  <c r="H23" i="51"/>
  <c r="I23" i="51" s="1"/>
  <c r="H13" i="51"/>
  <c r="E22" i="51"/>
  <c r="F22" i="51" s="1"/>
  <c r="E21" i="51"/>
  <c r="F21" i="51" s="1"/>
  <c r="C19" i="51"/>
  <c r="F15" i="51"/>
  <c r="F13" i="51"/>
  <c r="I13" i="51" s="1"/>
  <c r="C11" i="50"/>
  <c r="C14" i="50"/>
  <c r="C12" i="50"/>
  <c r="C10" i="49"/>
  <c r="C13" i="46"/>
  <c r="J34" i="47"/>
  <c r="J33" i="47"/>
  <c r="J32" i="47"/>
  <c r="J31" i="47"/>
  <c r="J30" i="47"/>
  <c r="J29" i="47"/>
  <c r="M28" i="47"/>
  <c r="J28" i="47"/>
  <c r="J27" i="47"/>
  <c r="J26" i="47"/>
  <c r="J25" i="47"/>
  <c r="J24" i="47"/>
  <c r="J23" i="47"/>
  <c r="E14" i="51" s="1"/>
  <c r="F14" i="51" s="1"/>
  <c r="J22" i="47"/>
  <c r="J21" i="47"/>
  <c r="J19" i="47"/>
  <c r="C11" i="49" s="1"/>
  <c r="M18" i="47"/>
  <c r="M19" i="47" s="1"/>
  <c r="M21" i="47" s="1"/>
  <c r="M22" i="47" s="1"/>
  <c r="M23" i="47" s="1"/>
  <c r="M24" i="47" s="1"/>
  <c r="J18" i="47"/>
  <c r="E19" i="51" s="1"/>
  <c r="J16" i="47"/>
  <c r="J15" i="47"/>
  <c r="E18" i="51" s="1"/>
  <c r="F18" i="51" s="1"/>
  <c r="I18" i="51" s="1"/>
  <c r="J14" i="47"/>
  <c r="M13" i="47"/>
  <c r="M14" i="47" s="1"/>
  <c r="M15" i="47" s="1"/>
  <c r="J13" i="47"/>
  <c r="C13" i="49" s="1"/>
  <c r="J12" i="47"/>
  <c r="C15" i="50" s="1"/>
  <c r="E5" i="47"/>
  <c r="E4" i="47"/>
  <c r="E3" i="47"/>
  <c r="E2" i="47"/>
  <c r="C10" i="46"/>
  <c r="C17" i="45"/>
  <c r="C16" i="45"/>
  <c r="C13" i="45"/>
  <c r="C12" i="45"/>
  <c r="C11" i="45"/>
  <c r="C10" i="45"/>
  <c r="C9" i="45"/>
  <c r="C15" i="45" s="1"/>
  <c r="C18" i="45" s="1"/>
  <c r="C20" i="45" s="1"/>
  <c r="H28" i="12" s="1"/>
  <c r="C16" i="44"/>
  <c r="C15" i="44"/>
  <c r="C14" i="44"/>
  <c r="C17" i="44" s="1"/>
  <c r="C19" i="44" s="1"/>
  <c r="H10" i="12" s="1"/>
  <c r="C11" i="44"/>
  <c r="C12" i="44" s="1"/>
  <c r="C17" i="43"/>
  <c r="C19" i="43" s="1"/>
  <c r="H9" i="12" s="1"/>
  <c r="C14" i="43"/>
  <c r="C16" i="43"/>
  <c r="C15" i="43"/>
  <c r="C11" i="43"/>
  <c r="C12" i="43" s="1"/>
  <c r="C11" i="41"/>
  <c r="C14" i="41" s="1"/>
  <c r="E17" i="51" l="1"/>
  <c r="F17" i="51" s="1"/>
  <c r="C14" i="49"/>
  <c r="I21" i="51"/>
  <c r="C11" i="46"/>
  <c r="I15" i="51"/>
  <c r="F19" i="51"/>
  <c r="C14" i="46"/>
  <c r="F16" i="51"/>
  <c r="I16" i="51" s="1"/>
  <c r="I22" i="51"/>
  <c r="I17" i="51"/>
  <c r="H19" i="51"/>
  <c r="I14" i="51"/>
  <c r="M26" i="47"/>
  <c r="M27" i="47" s="1"/>
  <c r="M29" i="47"/>
  <c r="M30" i="47" s="1"/>
  <c r="M31" i="47" s="1"/>
  <c r="M32" i="47" s="1"/>
  <c r="M33" i="47" s="1"/>
  <c r="M34" i="47" s="1"/>
  <c r="C12" i="41"/>
  <c r="C15" i="41" s="1"/>
  <c r="C17" i="41" s="1"/>
  <c r="H27" i="12" s="1"/>
  <c r="C16" i="41"/>
  <c r="I19" i="51" l="1"/>
  <c r="L112" i="11"/>
  <c r="H42" i="12" l="1"/>
  <c r="H41" i="12"/>
  <c r="H40" i="12"/>
  <c r="I40" i="12" s="1"/>
  <c r="H37" i="12"/>
  <c r="H38" i="12"/>
  <c r="D14" i="12"/>
  <c r="D12" i="12"/>
  <c r="I42" i="12" l="1"/>
  <c r="I41" i="12"/>
  <c r="G14" i="12"/>
  <c r="F13" i="12"/>
  <c r="G13" i="12"/>
  <c r="H22" i="42"/>
  <c r="C18" i="42"/>
  <c r="F22" i="42" l="1"/>
  <c r="I22" i="42" s="1"/>
  <c r="H18" i="42" l="1"/>
  <c r="F18" i="42"/>
  <c r="H13" i="42"/>
  <c r="F13" i="42"/>
  <c r="H10" i="42"/>
  <c r="F10" i="42"/>
  <c r="I18" i="42" l="1"/>
  <c r="I13" i="42"/>
  <c r="I10" i="42"/>
  <c r="C4" i="32"/>
  <c r="C2" i="12" l="1"/>
  <c r="C46" i="12" s="1"/>
  <c r="F7" i="32" l="1"/>
  <c r="I10" i="40" l="1"/>
  <c r="C7" i="40"/>
  <c r="E6" i="40"/>
  <c r="C5" i="40"/>
  <c r="C4" i="40"/>
  <c r="I3" i="40"/>
  <c r="A2" i="40"/>
  <c r="H3" i="12" l="1"/>
  <c r="D34" i="12"/>
  <c r="E58" i="33" l="1"/>
  <c r="E55" i="33"/>
  <c r="D27" i="32" l="1"/>
  <c r="I11" i="32"/>
  <c r="C5" i="32" l="1"/>
  <c r="C53" i="33" l="1"/>
  <c r="H4" i="33"/>
  <c r="I4" i="33" s="1"/>
  <c r="H5" i="33"/>
  <c r="I5" i="33" s="1"/>
  <c r="H6" i="33"/>
  <c r="I6" i="33" s="1"/>
  <c r="H7" i="33"/>
  <c r="I7" i="33" s="1"/>
  <c r="H8" i="33"/>
  <c r="I8" i="33" s="1"/>
  <c r="H9" i="33"/>
  <c r="I9" i="33" s="1"/>
  <c r="H10" i="33"/>
  <c r="I10" i="33" s="1"/>
  <c r="H11" i="33"/>
  <c r="I11" i="33" s="1"/>
  <c r="H12" i="33"/>
  <c r="I12" i="33" s="1"/>
  <c r="H13" i="33"/>
  <c r="I13" i="33" s="1"/>
  <c r="H14" i="33"/>
  <c r="I14" i="33" s="1"/>
  <c r="H15" i="33"/>
  <c r="I15" i="33" s="1"/>
  <c r="H16" i="33"/>
  <c r="I16" i="33" s="1"/>
  <c r="H17" i="33"/>
  <c r="I17" i="33" s="1"/>
  <c r="H18" i="33"/>
  <c r="I18" i="33" s="1"/>
  <c r="H19" i="33"/>
  <c r="I19" i="33" s="1"/>
  <c r="H20" i="33"/>
  <c r="I20" i="33" s="1"/>
  <c r="H21" i="33"/>
  <c r="I21" i="33" s="1"/>
  <c r="H22" i="33"/>
  <c r="I22" i="33" s="1"/>
  <c r="H23" i="33"/>
  <c r="I23" i="33" s="1"/>
  <c r="H24" i="33"/>
  <c r="I24" i="33" s="1"/>
  <c r="H25" i="33"/>
  <c r="I25" i="33" s="1"/>
  <c r="H26" i="33"/>
  <c r="I26" i="33" s="1"/>
  <c r="H27" i="33"/>
  <c r="I27" i="33" s="1"/>
  <c r="H28" i="33"/>
  <c r="I28" i="33" s="1"/>
  <c r="H29" i="33"/>
  <c r="I29" i="33" s="1"/>
  <c r="H30" i="33"/>
  <c r="I30" i="33" s="1"/>
  <c r="H31" i="33"/>
  <c r="I31" i="33" s="1"/>
  <c r="H32" i="33"/>
  <c r="I32" i="33" s="1"/>
  <c r="H33" i="33"/>
  <c r="I33" i="33" s="1"/>
  <c r="H34" i="33"/>
  <c r="I34" i="33" s="1"/>
  <c r="H35" i="33"/>
  <c r="I35" i="33" s="1"/>
  <c r="H36" i="33"/>
  <c r="I36" i="33" s="1"/>
  <c r="H37" i="33"/>
  <c r="I37" i="33" s="1"/>
  <c r="H38" i="33"/>
  <c r="I38" i="33" s="1"/>
  <c r="H39" i="33"/>
  <c r="I39" i="33" s="1"/>
  <c r="H40" i="33"/>
  <c r="I40" i="33" s="1"/>
  <c r="H41" i="33"/>
  <c r="I41" i="33" s="1"/>
  <c r="H42" i="33"/>
  <c r="I42" i="33" s="1"/>
  <c r="H43" i="33"/>
  <c r="I43" i="33" s="1"/>
  <c r="H44" i="33"/>
  <c r="I44" i="33" s="1"/>
  <c r="H45" i="33"/>
  <c r="I45" i="33" s="1"/>
  <c r="H46" i="33"/>
  <c r="I46" i="33" s="1"/>
  <c r="H47" i="33"/>
  <c r="I47" i="33" s="1"/>
  <c r="H48" i="33"/>
  <c r="I48" i="33" s="1"/>
  <c r="H49" i="33"/>
  <c r="I49" i="33" s="1"/>
  <c r="H50" i="33"/>
  <c r="I50" i="33" s="1"/>
  <c r="H3" i="33"/>
  <c r="I3" i="33" s="1"/>
  <c r="D39" i="33"/>
  <c r="E39" i="33" s="1"/>
  <c r="D40" i="33"/>
  <c r="E40" i="33" s="1"/>
  <c r="D41" i="33"/>
  <c r="E41" i="33" s="1"/>
  <c r="D42" i="33"/>
  <c r="E42" i="33" s="1"/>
  <c r="D43" i="33"/>
  <c r="E43" i="33" s="1"/>
  <c r="D44" i="33"/>
  <c r="E44" i="33" s="1"/>
  <c r="D45" i="33"/>
  <c r="E45" i="33" s="1"/>
  <c r="D46" i="33"/>
  <c r="E46" i="33" s="1"/>
  <c r="D47" i="33"/>
  <c r="E47" i="33" s="1"/>
  <c r="D48" i="33"/>
  <c r="E48" i="33" s="1"/>
  <c r="D49" i="33"/>
  <c r="E49" i="33" s="1"/>
  <c r="D50" i="33"/>
  <c r="E50" i="33" s="1"/>
  <c r="D18" i="33"/>
  <c r="E18" i="33" s="1"/>
  <c r="D19" i="33"/>
  <c r="E19" i="33" s="1"/>
  <c r="D20" i="33"/>
  <c r="E20" i="33" s="1"/>
  <c r="D21" i="33"/>
  <c r="E21" i="33" s="1"/>
  <c r="D22" i="33"/>
  <c r="E22" i="33" s="1"/>
  <c r="D23" i="33"/>
  <c r="E23" i="33" s="1"/>
  <c r="D24" i="33"/>
  <c r="E24" i="33" s="1"/>
  <c r="D25" i="33"/>
  <c r="E25" i="33" s="1"/>
  <c r="D26" i="33"/>
  <c r="E26" i="33" s="1"/>
  <c r="D27" i="33"/>
  <c r="E27" i="33" s="1"/>
  <c r="D28" i="33"/>
  <c r="E28" i="33" s="1"/>
  <c r="D29" i="33"/>
  <c r="E29" i="33" s="1"/>
  <c r="D30" i="33"/>
  <c r="E30" i="33" s="1"/>
  <c r="D31" i="33"/>
  <c r="E31" i="33" s="1"/>
  <c r="D32" i="33"/>
  <c r="E32" i="33" s="1"/>
  <c r="D33" i="33"/>
  <c r="E33" i="33" s="1"/>
  <c r="D34" i="33"/>
  <c r="E34" i="33" s="1"/>
  <c r="D35" i="33"/>
  <c r="E35" i="33" s="1"/>
  <c r="D36" i="33"/>
  <c r="E36" i="33" s="1"/>
  <c r="D37" i="33"/>
  <c r="E37" i="33" s="1"/>
  <c r="D38" i="33"/>
  <c r="E38" i="33" s="1"/>
  <c r="D4" i="33"/>
  <c r="E4" i="33" s="1"/>
  <c r="D5" i="33"/>
  <c r="E5" i="33" s="1"/>
  <c r="D6" i="33"/>
  <c r="E6" i="33" s="1"/>
  <c r="D7" i="33"/>
  <c r="E7" i="33" s="1"/>
  <c r="D8" i="33"/>
  <c r="E8" i="33" s="1"/>
  <c r="D9" i="33"/>
  <c r="E9" i="33" s="1"/>
  <c r="D10" i="33"/>
  <c r="E10" i="33" s="1"/>
  <c r="D11" i="33"/>
  <c r="E11" i="33" s="1"/>
  <c r="D12" i="33"/>
  <c r="E12" i="33" s="1"/>
  <c r="D13" i="33"/>
  <c r="E13" i="33" s="1"/>
  <c r="D14" i="33"/>
  <c r="E14" i="33" s="1"/>
  <c r="D15" i="33"/>
  <c r="E15" i="33" s="1"/>
  <c r="D16" i="33"/>
  <c r="E16" i="33" s="1"/>
  <c r="D17" i="33"/>
  <c r="E17" i="33" s="1"/>
  <c r="D3" i="33"/>
  <c r="E3" i="33" s="1"/>
  <c r="G15" i="11"/>
  <c r="I51" i="33" l="1"/>
  <c r="E51" i="33"/>
  <c r="C52" i="33" s="1"/>
  <c r="C54" i="33" s="1"/>
  <c r="E56" i="33" s="1"/>
  <c r="C3" i="39"/>
  <c r="C2" i="39"/>
  <c r="I27" i="12"/>
  <c r="I9" i="12"/>
  <c r="H21" i="39"/>
  <c r="H22" i="39" s="1"/>
  <c r="D23" i="39" s="1"/>
  <c r="H23" i="39" s="1"/>
  <c r="H26" i="39" s="1"/>
  <c r="H27" i="39" s="1"/>
  <c r="H23" i="12" s="1"/>
  <c r="D21" i="39"/>
  <c r="K145" i="39"/>
  <c r="H144" i="39"/>
  <c r="K144" i="39" s="1"/>
  <c r="H143" i="39"/>
  <c r="K143" i="39" s="1"/>
  <c r="H142" i="39"/>
  <c r="K142" i="39" s="1"/>
  <c r="H141" i="39"/>
  <c r="K141" i="39" s="1"/>
  <c r="H140" i="39"/>
  <c r="K140" i="39" s="1"/>
  <c r="H139" i="39"/>
  <c r="K139" i="39" s="1"/>
  <c r="H131" i="39"/>
  <c r="K131" i="39" s="1"/>
  <c r="H130" i="39"/>
  <c r="K130" i="39" s="1"/>
  <c r="H129" i="39"/>
  <c r="K129" i="39" s="1"/>
  <c r="H128" i="39"/>
  <c r="K128" i="39" s="1"/>
  <c r="H127" i="39"/>
  <c r="K127" i="39" s="1"/>
  <c r="H126" i="39"/>
  <c r="K126" i="39" s="1"/>
  <c r="H125" i="39"/>
  <c r="D125" i="39"/>
  <c r="H124" i="39"/>
  <c r="K124" i="39" s="1"/>
  <c r="D123" i="39"/>
  <c r="K123" i="39" s="1"/>
  <c r="H115" i="39"/>
  <c r="D116" i="39" s="1"/>
  <c r="F112" i="39"/>
  <c r="H112" i="39" s="1"/>
  <c r="H111" i="39"/>
  <c r="H110" i="39"/>
  <c r="H109" i="39"/>
  <c r="H101" i="39"/>
  <c r="H102" i="39" s="1"/>
  <c r="F98" i="39"/>
  <c r="B98" i="39"/>
  <c r="H97" i="39"/>
  <c r="H96" i="39"/>
  <c r="B95" i="39"/>
  <c r="H95" i="39" s="1"/>
  <c r="K87" i="39"/>
  <c r="H85" i="39"/>
  <c r="D85" i="39"/>
  <c r="D84" i="39"/>
  <c r="D86" i="39" s="1"/>
  <c r="K86" i="39" s="1"/>
  <c r="H79" i="39"/>
  <c r="K79" i="39" s="1"/>
  <c r="K74" i="39"/>
  <c r="H73" i="39"/>
  <c r="D73" i="39"/>
  <c r="D72" i="39"/>
  <c r="D77" i="39" s="1"/>
  <c r="K77" i="39" s="1"/>
  <c r="F60" i="39"/>
  <c r="K60" i="39" s="1"/>
  <c r="M57" i="39"/>
  <c r="F51" i="39"/>
  <c r="K51" i="39" s="1"/>
  <c r="F55" i="39" s="1"/>
  <c r="G49" i="39"/>
  <c r="K49" i="39" s="1"/>
  <c r="K47" i="39"/>
  <c r="F53" i="39" s="1"/>
  <c r="H38" i="39"/>
  <c r="H37" i="39"/>
  <c r="H30" i="39"/>
  <c r="H29" i="39"/>
  <c r="H12" i="39"/>
  <c r="H9" i="39"/>
  <c r="C4" i="39"/>
  <c r="I19" i="38"/>
  <c r="I18" i="38"/>
  <c r="I17" i="38"/>
  <c r="I16" i="38"/>
  <c r="I7" i="38"/>
  <c r="I6" i="38"/>
  <c r="I5" i="38"/>
  <c r="I4" i="38"/>
  <c r="J34" i="37"/>
  <c r="J33" i="37"/>
  <c r="J32" i="37"/>
  <c r="J31" i="37"/>
  <c r="J30" i="37"/>
  <c r="J29" i="37"/>
  <c r="M28" i="37"/>
  <c r="J28" i="37"/>
  <c r="J27" i="37"/>
  <c r="J26" i="37"/>
  <c r="J25" i="37"/>
  <c r="J24" i="37"/>
  <c r="J23" i="37"/>
  <c r="J22" i="37"/>
  <c r="J21" i="37"/>
  <c r="J19" i="37"/>
  <c r="M18" i="37"/>
  <c r="M19" i="37" s="1"/>
  <c r="M21" i="37" s="1"/>
  <c r="M22" i="37" s="1"/>
  <c r="M23" i="37" s="1"/>
  <c r="M24" i="37" s="1"/>
  <c r="J18" i="37"/>
  <c r="J16" i="37"/>
  <c r="J15" i="37"/>
  <c r="J14" i="37"/>
  <c r="M13" i="37"/>
  <c r="M14" i="37" s="1"/>
  <c r="M15" i="37" s="1"/>
  <c r="J13" i="37"/>
  <c r="J12" i="37"/>
  <c r="D9" i="37"/>
  <c r="E5" i="37"/>
  <c r="E4" i="37"/>
  <c r="E3" i="37"/>
  <c r="E2" i="37"/>
  <c r="F56" i="33" l="1"/>
  <c r="E57" i="33"/>
  <c r="E59" i="33" s="1"/>
  <c r="K125" i="39"/>
  <c r="H31" i="39"/>
  <c r="D32" i="39" s="1"/>
  <c r="H32" i="39" s="1"/>
  <c r="H34" i="39" s="1"/>
  <c r="H35" i="39" s="1"/>
  <c r="H24" i="12" s="1"/>
  <c r="D78" i="39"/>
  <c r="K78" i="39" s="1"/>
  <c r="D89" i="39"/>
  <c r="K89" i="39" s="1"/>
  <c r="F91" i="39"/>
  <c r="D102" i="39"/>
  <c r="K146" i="39"/>
  <c r="H13" i="39"/>
  <c r="D14" i="39" s="1"/>
  <c r="H14" i="39" s="1"/>
  <c r="H17" i="39" s="1"/>
  <c r="H18" i="39" s="1"/>
  <c r="K85" i="39"/>
  <c r="K90" i="39" s="1"/>
  <c r="D91" i="39" s="1"/>
  <c r="K91" i="39" s="1"/>
  <c r="H39" i="39"/>
  <c r="D40" i="39" s="1"/>
  <c r="H40" i="39" s="1"/>
  <c r="H43" i="39" s="1"/>
  <c r="H44" i="39" s="1"/>
  <c r="D88" i="39"/>
  <c r="K88" i="39" s="1"/>
  <c r="H116" i="39"/>
  <c r="H118" i="39" s="1"/>
  <c r="H119" i="39" s="1"/>
  <c r="K73" i="39"/>
  <c r="F63" i="39"/>
  <c r="K63" i="39" s="1"/>
  <c r="F65" i="39"/>
  <c r="H98" i="39"/>
  <c r="H104" i="39" s="1"/>
  <c r="H105" i="39" s="1"/>
  <c r="K132" i="39"/>
  <c r="F81" i="39"/>
  <c r="K53" i="39"/>
  <c r="F61" i="39"/>
  <c r="K61" i="39" s="1"/>
  <c r="D54" i="39"/>
  <c r="K54" i="39" s="1"/>
  <c r="D76" i="39"/>
  <c r="K76" i="39" s="1"/>
  <c r="F62" i="39"/>
  <c r="K62" i="39" s="1"/>
  <c r="D75" i="39"/>
  <c r="K75" i="39" s="1"/>
  <c r="I8" i="38"/>
  <c r="E9" i="38" s="1"/>
  <c r="I9" i="38" s="1"/>
  <c r="I12" i="38" s="1"/>
  <c r="I20" i="38"/>
  <c r="E21" i="38" s="1"/>
  <c r="I21" i="38" s="1"/>
  <c r="I24" i="38" s="1"/>
  <c r="I25" i="38" s="1"/>
  <c r="M26" i="37"/>
  <c r="M27" i="37" s="1"/>
  <c r="M29" i="37"/>
  <c r="M30" i="37" s="1"/>
  <c r="M31" i="37" s="1"/>
  <c r="M32" i="37" s="1"/>
  <c r="M33" i="37" s="1"/>
  <c r="M34" i="37" s="1"/>
  <c r="H15" i="40" l="1"/>
  <c r="H16" i="32"/>
  <c r="D17" i="12"/>
  <c r="E20" i="51"/>
  <c r="F20" i="51" s="1"/>
  <c r="I20" i="51" s="1"/>
  <c r="I26" i="51" s="1"/>
  <c r="I27" i="51" s="1"/>
  <c r="C13" i="50"/>
  <c r="C16" i="50" s="1"/>
  <c r="C17" i="50" s="1"/>
  <c r="C18" i="50" s="1"/>
  <c r="H31" i="12" s="1"/>
  <c r="I31" i="12" s="1"/>
  <c r="C12" i="49"/>
  <c r="C16" i="49" s="1"/>
  <c r="C17" i="49" s="1"/>
  <c r="C12" i="46"/>
  <c r="C16" i="46" s="1"/>
  <c r="C17" i="46" s="1"/>
  <c r="C18" i="46" s="1"/>
  <c r="K80" i="39"/>
  <c r="D81" i="39" s="1"/>
  <c r="K81" i="39" s="1"/>
  <c r="H57" i="39"/>
  <c r="K57" i="39" s="1"/>
  <c r="D55" i="39"/>
  <c r="K55" i="39" s="1"/>
  <c r="C59" i="39"/>
  <c r="K59" i="39" s="1"/>
  <c r="C58" i="39"/>
  <c r="K58" i="39" s="1"/>
  <c r="H29" i="12" l="1"/>
  <c r="C19" i="46"/>
  <c r="C19" i="49"/>
  <c r="H30" i="12" s="1"/>
  <c r="I30" i="12" s="1"/>
  <c r="C18" i="49"/>
  <c r="F32" i="12"/>
  <c r="H32" i="12" s="1"/>
  <c r="I32" i="12" s="1"/>
  <c r="K64" i="39"/>
  <c r="D65" i="39" s="1"/>
  <c r="K65" i="39" s="1"/>
  <c r="K36" i="12" l="1"/>
  <c r="G36" i="12"/>
  <c r="F36" i="12"/>
  <c r="I29" i="12"/>
  <c r="I28" i="12"/>
  <c r="H14" i="36"/>
  <c r="F14" i="36"/>
  <c r="H13" i="36"/>
  <c r="F13" i="36"/>
  <c r="H12" i="36"/>
  <c r="F12" i="36"/>
  <c r="H19" i="35"/>
  <c r="F19" i="35"/>
  <c r="I19" i="35" s="1"/>
  <c r="H18" i="35"/>
  <c r="F18" i="35"/>
  <c r="G17" i="35"/>
  <c r="H17" i="35" s="1"/>
  <c r="F17" i="35"/>
  <c r="H16" i="35"/>
  <c r="F13" i="35"/>
  <c r="H12" i="35"/>
  <c r="I18" i="35" l="1"/>
  <c r="I14" i="36"/>
  <c r="I37" i="12"/>
  <c r="I38" i="12"/>
  <c r="I12" i="36"/>
  <c r="I13" i="36"/>
  <c r="C14" i="35"/>
  <c r="H14" i="35" s="1"/>
  <c r="H13" i="35"/>
  <c r="I13" i="35" s="1"/>
  <c r="I17" i="35"/>
  <c r="F12" i="35"/>
  <c r="I12" i="35" s="1"/>
  <c r="F16" i="35"/>
  <c r="I16" i="35" s="1"/>
  <c r="I15" i="36" l="1"/>
  <c r="F14" i="35"/>
  <c r="I14" i="35" s="1"/>
  <c r="C15" i="35"/>
  <c r="F15" i="35" s="1"/>
  <c r="I20" i="35" l="1"/>
  <c r="H15" i="35"/>
  <c r="I15" i="35"/>
  <c r="D15" i="12" l="1"/>
  <c r="O51" i="33"/>
  <c r="G95" i="34"/>
  <c r="G94" i="34"/>
  <c r="G93" i="34"/>
  <c r="G92" i="34"/>
  <c r="G91" i="34"/>
  <c r="G90" i="34"/>
  <c r="G89" i="34"/>
  <c r="G88" i="34"/>
  <c r="G87" i="34"/>
  <c r="G86" i="34"/>
  <c r="G85" i="34"/>
  <c r="G84" i="34"/>
  <c r="G83" i="34"/>
  <c r="G82" i="34"/>
  <c r="G81" i="34"/>
  <c r="G80" i="34"/>
  <c r="G79" i="34"/>
  <c r="G78" i="34"/>
  <c r="G77" i="34"/>
  <c r="G76" i="34"/>
  <c r="G75" i="34"/>
  <c r="G74" i="34"/>
  <c r="G73" i="34"/>
  <c r="G72" i="34"/>
  <c r="G71" i="34"/>
  <c r="G70" i="34"/>
  <c r="G69" i="34"/>
  <c r="G68" i="34"/>
  <c r="G67" i="34"/>
  <c r="G66" i="34"/>
  <c r="G65" i="34"/>
  <c r="G64" i="34"/>
  <c r="G63" i="34"/>
  <c r="G62" i="34"/>
  <c r="G61" i="34"/>
  <c r="G60" i="34"/>
  <c r="G59" i="34"/>
  <c r="G58" i="34"/>
  <c r="G57" i="34"/>
  <c r="G56" i="34"/>
  <c r="G55" i="34"/>
  <c r="G54" i="34"/>
  <c r="G51" i="34"/>
  <c r="G50" i="34"/>
  <c r="G49" i="34"/>
  <c r="G48" i="34"/>
  <c r="G47" i="34"/>
  <c r="G46" i="34"/>
  <c r="G45" i="34"/>
  <c r="G44" i="34"/>
  <c r="G43" i="34"/>
  <c r="G42" i="34"/>
  <c r="G41" i="34"/>
  <c r="G40" i="34"/>
  <c r="G39" i="34"/>
  <c r="G38" i="34"/>
  <c r="G37" i="34"/>
  <c r="G36" i="34"/>
  <c r="G35" i="34"/>
  <c r="G34" i="34"/>
  <c r="G33" i="34"/>
  <c r="G32" i="34"/>
  <c r="G31" i="34"/>
  <c r="G30" i="34"/>
  <c r="G29" i="34"/>
  <c r="G28" i="34"/>
  <c r="G27" i="34"/>
  <c r="G26" i="34"/>
  <c r="G25" i="34"/>
  <c r="G24" i="34"/>
  <c r="G23" i="34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G8" i="34"/>
  <c r="G7" i="34"/>
  <c r="G6" i="34"/>
  <c r="G5" i="34"/>
  <c r="G4" i="34"/>
  <c r="G3" i="34"/>
  <c r="L50" i="33"/>
  <c r="K50" i="33"/>
  <c r="L49" i="33"/>
  <c r="M50" i="33" s="1"/>
  <c r="N50" i="33" s="1"/>
  <c r="K49" i="33"/>
  <c r="L48" i="33"/>
  <c r="K48" i="33"/>
  <c r="L47" i="33"/>
  <c r="K47" i="33"/>
  <c r="L46" i="33"/>
  <c r="K46" i="33"/>
  <c r="L45" i="33"/>
  <c r="M46" i="33" s="1"/>
  <c r="N46" i="33" s="1"/>
  <c r="K45" i="33"/>
  <c r="L44" i="33"/>
  <c r="K44" i="33"/>
  <c r="L43" i="33"/>
  <c r="K43" i="33"/>
  <c r="L42" i="33"/>
  <c r="K42" i="33"/>
  <c r="L41" i="33"/>
  <c r="M42" i="33" s="1"/>
  <c r="N42" i="33" s="1"/>
  <c r="K41" i="33"/>
  <c r="L40" i="33"/>
  <c r="K40" i="33"/>
  <c r="L39" i="33"/>
  <c r="K39" i="33"/>
  <c r="L38" i="33"/>
  <c r="K38" i="33"/>
  <c r="L37" i="33"/>
  <c r="M38" i="33" s="1"/>
  <c r="N38" i="33" s="1"/>
  <c r="K37" i="33"/>
  <c r="L36" i="33"/>
  <c r="K36" i="33"/>
  <c r="L35" i="33"/>
  <c r="K35" i="33"/>
  <c r="L34" i="33"/>
  <c r="K34" i="33"/>
  <c r="L33" i="33"/>
  <c r="K33" i="33"/>
  <c r="L32" i="33"/>
  <c r="K32" i="33"/>
  <c r="L31" i="33"/>
  <c r="K31" i="33"/>
  <c r="L30" i="33"/>
  <c r="K30" i="33"/>
  <c r="L29" i="33"/>
  <c r="M30" i="33" s="1"/>
  <c r="N30" i="33" s="1"/>
  <c r="K29" i="33"/>
  <c r="L28" i="33"/>
  <c r="K28" i="33"/>
  <c r="L27" i="33"/>
  <c r="K27" i="33"/>
  <c r="L26" i="33"/>
  <c r="K26" i="33"/>
  <c r="L25" i="33"/>
  <c r="M26" i="33" s="1"/>
  <c r="N26" i="33" s="1"/>
  <c r="K25" i="33"/>
  <c r="L24" i="33"/>
  <c r="K24" i="33"/>
  <c r="L23" i="33"/>
  <c r="K23" i="33"/>
  <c r="L22" i="33"/>
  <c r="K22" i="33"/>
  <c r="L21" i="33"/>
  <c r="M22" i="33" s="1"/>
  <c r="N22" i="33" s="1"/>
  <c r="K21" i="33"/>
  <c r="L20" i="33"/>
  <c r="K20" i="33"/>
  <c r="L19" i="33"/>
  <c r="K19" i="33"/>
  <c r="L18" i="33"/>
  <c r="K18" i="33"/>
  <c r="L17" i="33"/>
  <c r="K17" i="33"/>
  <c r="L16" i="33"/>
  <c r="K16" i="33"/>
  <c r="L15" i="33"/>
  <c r="M16" i="33" s="1"/>
  <c r="N16" i="33" s="1"/>
  <c r="K15" i="33"/>
  <c r="L14" i="33"/>
  <c r="K14" i="33"/>
  <c r="L13" i="33"/>
  <c r="M14" i="33" s="1"/>
  <c r="N14" i="33" s="1"/>
  <c r="K13" i="33"/>
  <c r="L12" i="33"/>
  <c r="K12" i="33"/>
  <c r="L11" i="33"/>
  <c r="K11" i="33"/>
  <c r="L10" i="33"/>
  <c r="K10" i="33"/>
  <c r="L9" i="33"/>
  <c r="K9" i="33"/>
  <c r="L8" i="33"/>
  <c r="K8" i="33"/>
  <c r="L7" i="33"/>
  <c r="K7" i="33"/>
  <c r="L6" i="33"/>
  <c r="K6" i="33"/>
  <c r="L5" i="33"/>
  <c r="M6" i="33" s="1"/>
  <c r="N6" i="33" s="1"/>
  <c r="K5" i="33"/>
  <c r="L4" i="33"/>
  <c r="K4" i="33"/>
  <c r="L3" i="33"/>
  <c r="K3" i="33"/>
  <c r="L2" i="33"/>
  <c r="K2" i="33"/>
  <c r="CA6" i="15"/>
  <c r="M29" i="33" l="1"/>
  <c r="N29" i="33" s="1"/>
  <c r="M49" i="33"/>
  <c r="N49" i="33" s="1"/>
  <c r="M10" i="33"/>
  <c r="N10" i="33" s="1"/>
  <c r="M18" i="33"/>
  <c r="N18" i="33" s="1"/>
  <c r="M34" i="33"/>
  <c r="N34" i="33" s="1"/>
  <c r="M3" i="33"/>
  <c r="N3" i="33" s="1"/>
  <c r="M11" i="33"/>
  <c r="N11" i="33" s="1"/>
  <c r="M19" i="33"/>
  <c r="N19" i="33" s="1"/>
  <c r="M27" i="33"/>
  <c r="N27" i="33" s="1"/>
  <c r="M43" i="33"/>
  <c r="N43" i="33" s="1"/>
  <c r="M8" i="33"/>
  <c r="N8" i="33" s="1"/>
  <c r="M35" i="33"/>
  <c r="N35" i="33" s="1"/>
  <c r="M4" i="33"/>
  <c r="N4" i="33" s="1"/>
  <c r="M12" i="33"/>
  <c r="N12" i="33" s="1"/>
  <c r="M20" i="33"/>
  <c r="N20" i="33" s="1"/>
  <c r="M28" i="33"/>
  <c r="N28" i="33" s="1"/>
  <c r="M36" i="33"/>
  <c r="N36" i="33" s="1"/>
  <c r="M44" i="33"/>
  <c r="N44" i="33" s="1"/>
  <c r="M17" i="33"/>
  <c r="N17" i="33" s="1"/>
  <c r="M25" i="33"/>
  <c r="N25" i="33" s="1"/>
  <c r="M33" i="33"/>
  <c r="N33" i="33" s="1"/>
  <c r="M41" i="33"/>
  <c r="N41" i="33" s="1"/>
  <c r="M9" i="33"/>
  <c r="N9" i="33" s="1"/>
  <c r="M5" i="33"/>
  <c r="N5" i="33" s="1"/>
  <c r="M13" i="33"/>
  <c r="N13" i="33" s="1"/>
  <c r="M21" i="33"/>
  <c r="N21" i="33" s="1"/>
  <c r="M37" i="33"/>
  <c r="N37" i="33" s="1"/>
  <c r="M45" i="33"/>
  <c r="N45" i="33" s="1"/>
  <c r="M15" i="33"/>
  <c r="N15" i="33" s="1"/>
  <c r="M23" i="33"/>
  <c r="N23" i="33" s="1"/>
  <c r="M31" i="33"/>
  <c r="N31" i="33" s="1"/>
  <c r="M39" i="33"/>
  <c r="N39" i="33" s="1"/>
  <c r="M47" i="33"/>
  <c r="N47" i="33" s="1"/>
  <c r="M7" i="33"/>
  <c r="N7" i="33" s="1"/>
  <c r="M24" i="33"/>
  <c r="N24" i="33" s="1"/>
  <c r="M32" i="33"/>
  <c r="N32" i="33" s="1"/>
  <c r="M40" i="33"/>
  <c r="N40" i="33" s="1"/>
  <c r="M48" i="33"/>
  <c r="N48" i="33" s="1"/>
  <c r="L51" i="33"/>
  <c r="H2" i="12"/>
  <c r="D21" i="12"/>
  <c r="I94" i="12" l="1"/>
  <c r="I46" i="12"/>
  <c r="M51" i="33"/>
  <c r="N51" i="33"/>
  <c r="H19" i="12"/>
  <c r="I19" i="12" s="1"/>
  <c r="K16" i="12"/>
  <c r="I24" i="12" l="1"/>
  <c r="I10" i="12"/>
  <c r="F10" i="12"/>
  <c r="G10" i="12"/>
  <c r="I11" i="12"/>
  <c r="F11" i="12"/>
  <c r="G11" i="12"/>
  <c r="K19" i="12"/>
  <c r="J11" i="11" l="1"/>
  <c r="J12" i="11" s="1"/>
  <c r="L78" i="11"/>
  <c r="H125" i="11"/>
  <c r="H161" i="11"/>
  <c r="H150" i="11"/>
  <c r="H136" i="11"/>
  <c r="I3" i="32"/>
  <c r="C2" i="15"/>
  <c r="K22" i="12"/>
  <c r="G22" i="12"/>
  <c r="F22" i="12"/>
  <c r="B11" i="11"/>
  <c r="B12" i="11" s="1"/>
  <c r="B13" i="11" s="1"/>
  <c r="B14" i="11" s="1"/>
  <c r="B15" i="11" s="1"/>
  <c r="CE10" i="15"/>
  <c r="G161" i="11"/>
  <c r="G159" i="11"/>
  <c r="F148" i="11"/>
  <c r="L144" i="11"/>
  <c r="J17" i="11"/>
  <c r="J18" i="11" s="1"/>
  <c r="F123" i="11"/>
  <c r="F159" i="11" s="1"/>
  <c r="I65" i="11"/>
  <c r="H65" i="11"/>
  <c r="I64" i="11"/>
  <c r="BW23" i="15"/>
  <c r="BW24" i="15" s="1"/>
  <c r="BW25" i="15" s="1"/>
  <c r="G136" i="11"/>
  <c r="G134" i="11"/>
  <c r="BT3" i="15"/>
  <c r="CF16" i="15"/>
  <c r="CF10" i="15"/>
  <c r="CF11" i="15"/>
  <c r="CF12" i="15"/>
  <c r="CF13" i="15"/>
  <c r="CF14" i="15"/>
  <c r="CF15" i="15"/>
  <c r="CF17" i="15"/>
  <c r="CF18" i="15"/>
  <c r="CF19" i="15"/>
  <c r="CF20" i="15"/>
  <c r="L27" i="11"/>
  <c r="L35" i="11"/>
  <c r="L43" i="11"/>
  <c r="L51" i="11"/>
  <c r="L68" i="11"/>
  <c r="H73" i="11"/>
  <c r="L110" i="11"/>
  <c r="E168" i="11"/>
  <c r="K23" i="32" s="1"/>
  <c r="C3" i="12"/>
  <c r="C47" i="12" s="1"/>
  <c r="F7" i="12"/>
  <c r="H7" i="12" s="1"/>
  <c r="F9" i="12"/>
  <c r="G9" i="12"/>
  <c r="G35" i="12"/>
  <c r="I35" i="12" s="1"/>
  <c r="A2" i="32"/>
  <c r="C6" i="32"/>
  <c r="C8" i="32"/>
  <c r="L20" i="32"/>
  <c r="L21" i="32"/>
  <c r="L22" i="32"/>
  <c r="L83" i="11"/>
  <c r="J20" i="11"/>
  <c r="J21" i="11"/>
  <c r="J22" i="11"/>
  <c r="J23" i="11"/>
  <c r="CE15" i="15" l="1"/>
  <c r="CE16" i="15"/>
  <c r="CE17" i="15"/>
  <c r="BR13" i="15"/>
  <c r="C179" i="15"/>
  <c r="C195" i="15"/>
  <c r="D195" i="15" s="1"/>
  <c r="C162" i="15"/>
  <c r="D162" i="15" s="1"/>
  <c r="C13" i="15"/>
  <c r="D13" i="15" s="1"/>
  <c r="C29" i="15"/>
  <c r="D29" i="15" s="1"/>
  <c r="C45" i="15"/>
  <c r="C61" i="15"/>
  <c r="D61" i="15" s="1"/>
  <c r="C77" i="15"/>
  <c r="D77" i="15" s="1"/>
  <c r="C93" i="15"/>
  <c r="D93" i="15" s="1"/>
  <c r="C109" i="15"/>
  <c r="D109" i="15" s="1"/>
  <c r="C125" i="15"/>
  <c r="D125" i="15" s="1"/>
  <c r="C141" i="15"/>
  <c r="D141" i="15" s="1"/>
  <c r="BR30" i="15"/>
  <c r="BT30" i="15" s="1"/>
  <c r="C49" i="15"/>
  <c r="C97" i="15"/>
  <c r="D97" i="15" s="1"/>
  <c r="C145" i="15"/>
  <c r="D145" i="15" s="1"/>
  <c r="C66" i="15"/>
  <c r="C146" i="15"/>
  <c r="D146" i="15" s="1"/>
  <c r="C177" i="15"/>
  <c r="D177" i="15" s="1"/>
  <c r="C139" i="15"/>
  <c r="BR35" i="15"/>
  <c r="BT35" i="15" s="1"/>
  <c r="L32" i="11" s="1"/>
  <c r="BR12" i="15"/>
  <c r="BT12" i="15" s="1"/>
  <c r="L62" i="11" s="1"/>
  <c r="C180" i="15"/>
  <c r="D180" i="15" s="1"/>
  <c r="C196" i="15"/>
  <c r="D196" i="15" s="1"/>
  <c r="C163" i="15"/>
  <c r="D163" i="15" s="1"/>
  <c r="C14" i="15"/>
  <c r="D14" i="15" s="1"/>
  <c r="C30" i="15"/>
  <c r="D30" i="15" s="1"/>
  <c r="C46" i="15"/>
  <c r="C62" i="15"/>
  <c r="D62" i="15" s="1"/>
  <c r="C78" i="15"/>
  <c r="C94" i="15"/>
  <c r="D94" i="15" s="1"/>
  <c r="C110" i="15"/>
  <c r="D110" i="15" s="1"/>
  <c r="C126" i="15"/>
  <c r="C142" i="15"/>
  <c r="C183" i="15"/>
  <c r="D183" i="15" s="1"/>
  <c r="C33" i="15"/>
  <c r="D33" i="15" s="1"/>
  <c r="C81" i="15"/>
  <c r="D81" i="15" s="1"/>
  <c r="C82" i="15"/>
  <c r="C75" i="15"/>
  <c r="D75" i="15" s="1"/>
  <c r="BR34" i="15"/>
  <c r="BT34" i="15" s="1"/>
  <c r="L28" i="11" s="1"/>
  <c r="BR10" i="15"/>
  <c r="BT10" i="15" s="1"/>
  <c r="C181" i="15"/>
  <c r="D181" i="15" s="1"/>
  <c r="C197" i="15"/>
  <c r="D197" i="15" s="1"/>
  <c r="C164" i="15"/>
  <c r="D164" i="15" s="1"/>
  <c r="C15" i="15"/>
  <c r="D15" i="15" s="1"/>
  <c r="C31" i="15"/>
  <c r="C47" i="15"/>
  <c r="C63" i="15"/>
  <c r="D63" i="15" s="1"/>
  <c r="C79" i="15"/>
  <c r="C95" i="15"/>
  <c r="C111" i="15"/>
  <c r="D111" i="15" s="1"/>
  <c r="C127" i="15"/>
  <c r="D127" i="15" s="1"/>
  <c r="C143" i="15"/>
  <c r="D143" i="15" s="1"/>
  <c r="BR6" i="15"/>
  <c r="BT6" i="15" s="1"/>
  <c r="C166" i="15"/>
  <c r="D166" i="15" s="1"/>
  <c r="C17" i="15"/>
  <c r="D17" i="15" s="1"/>
  <c r="C65" i="15"/>
  <c r="D65" i="15" s="1"/>
  <c r="C113" i="15"/>
  <c r="D113" i="15" s="1"/>
  <c r="C50" i="15"/>
  <c r="D50" i="15" s="1"/>
  <c r="C43" i="15"/>
  <c r="D43" i="15" s="1"/>
  <c r="BR32" i="15"/>
  <c r="BT32" i="15" s="1"/>
  <c r="BR9" i="15"/>
  <c r="BT9" i="15" s="1"/>
  <c r="L55" i="11" s="1"/>
  <c r="C182" i="15"/>
  <c r="D182" i="15" s="1"/>
  <c r="C198" i="15"/>
  <c r="D198" i="15" s="1"/>
  <c r="C165" i="15"/>
  <c r="C16" i="15"/>
  <c r="D16" i="15" s="1"/>
  <c r="C32" i="15"/>
  <c r="D32" i="15" s="1"/>
  <c r="C48" i="15"/>
  <c r="D48" i="15" s="1"/>
  <c r="C64" i="15"/>
  <c r="D64" i="15" s="1"/>
  <c r="C80" i="15"/>
  <c r="D80" i="15" s="1"/>
  <c r="C96" i="15"/>
  <c r="D96" i="15" s="1"/>
  <c r="C112" i="15"/>
  <c r="D112" i="15" s="1"/>
  <c r="C128" i="15"/>
  <c r="D128" i="15" s="1"/>
  <c r="C144" i="15"/>
  <c r="D144" i="15" s="1"/>
  <c r="C199" i="15"/>
  <c r="D199" i="15" s="1"/>
  <c r="C129" i="15"/>
  <c r="D129" i="15" s="1"/>
  <c r="C98" i="15"/>
  <c r="D98" i="15" s="1"/>
  <c r="C160" i="15"/>
  <c r="D160" i="15" s="1"/>
  <c r="BR29" i="15"/>
  <c r="BT29" i="15" s="1"/>
  <c r="I7" i="12" s="1"/>
  <c r="BR7" i="15"/>
  <c r="BT7" i="15" s="1"/>
  <c r="C184" i="15"/>
  <c r="C200" i="15"/>
  <c r="D200" i="15" s="1"/>
  <c r="C167" i="15"/>
  <c r="D167" i="15" s="1"/>
  <c r="C18" i="15"/>
  <c r="D18" i="15" s="1"/>
  <c r="C34" i="15"/>
  <c r="C114" i="15"/>
  <c r="C130" i="15"/>
  <c r="D130" i="15" s="1"/>
  <c r="BR27" i="15"/>
  <c r="BT27" i="15" s="1"/>
  <c r="H105" i="11" s="1"/>
  <c r="BR5" i="15"/>
  <c r="BT5" i="15" s="1"/>
  <c r="C185" i="15"/>
  <c r="D185" i="15" s="1"/>
  <c r="C201" i="15"/>
  <c r="D201" i="15" s="1"/>
  <c r="C168" i="15"/>
  <c r="C19" i="15"/>
  <c r="D19" i="15" s="1"/>
  <c r="C35" i="15"/>
  <c r="D35" i="15" s="1"/>
  <c r="C51" i="15"/>
  <c r="D51" i="15" s="1"/>
  <c r="C67" i="15"/>
  <c r="C83" i="15"/>
  <c r="C99" i="15"/>
  <c r="C115" i="15"/>
  <c r="D115" i="15" s="1"/>
  <c r="C131" i="15"/>
  <c r="D131" i="15" s="1"/>
  <c r="C147" i="15"/>
  <c r="D147" i="15" s="1"/>
  <c r="C153" i="15"/>
  <c r="D153" i="15" s="1"/>
  <c r="C90" i="15"/>
  <c r="D90" i="15" s="1"/>
  <c r="C27" i="15"/>
  <c r="D27" i="15" s="1"/>
  <c r="BR25" i="15"/>
  <c r="BT25" i="15" s="1"/>
  <c r="C205" i="15"/>
  <c r="D205" i="15" s="1"/>
  <c r="C186" i="15"/>
  <c r="D186" i="15" s="1"/>
  <c r="C202" i="15"/>
  <c r="D202" i="15" s="1"/>
  <c r="C169" i="15"/>
  <c r="D169" i="15" s="1"/>
  <c r="C20" i="15"/>
  <c r="C36" i="15"/>
  <c r="D36" i="15" s="1"/>
  <c r="C52" i="15"/>
  <c r="D52" i="15" s="1"/>
  <c r="C68" i="15"/>
  <c r="C84" i="15"/>
  <c r="C100" i="15"/>
  <c r="D100" i="15" s="1"/>
  <c r="C116" i="15"/>
  <c r="D116" i="15" s="1"/>
  <c r="C132" i="15"/>
  <c r="D132" i="15" s="1"/>
  <c r="C148" i="15"/>
  <c r="C106" i="15"/>
  <c r="D106" i="15" s="1"/>
  <c r="C11" i="15"/>
  <c r="D11" i="15" s="1"/>
  <c r="BR24" i="15"/>
  <c r="BT24" i="15" s="1"/>
  <c r="C171" i="15"/>
  <c r="D171" i="15" s="1"/>
  <c r="C187" i="15"/>
  <c r="D187" i="15" s="1"/>
  <c r="C203" i="15"/>
  <c r="D203" i="15" s="1"/>
  <c r="C170" i="15"/>
  <c r="D170" i="15" s="1"/>
  <c r="C21" i="15"/>
  <c r="D21" i="15" s="1"/>
  <c r="C37" i="15"/>
  <c r="D37" i="15" s="1"/>
  <c r="C53" i="15"/>
  <c r="D53" i="15" s="1"/>
  <c r="C69" i="15"/>
  <c r="C85" i="15"/>
  <c r="C101" i="15"/>
  <c r="D101" i="15" s="1"/>
  <c r="C117" i="15"/>
  <c r="D117" i="15" s="1"/>
  <c r="C133" i="15"/>
  <c r="D133" i="15" s="1"/>
  <c r="C149" i="15"/>
  <c r="D149" i="15" s="1"/>
  <c r="C89" i="15"/>
  <c r="D89" i="15" s="1"/>
  <c r="C107" i="15"/>
  <c r="D107" i="15" s="1"/>
  <c r="BR23" i="15"/>
  <c r="BT23" i="15" s="1"/>
  <c r="C172" i="15"/>
  <c r="D172" i="15" s="1"/>
  <c r="C188" i="15"/>
  <c r="D188" i="15" s="1"/>
  <c r="C204" i="15"/>
  <c r="D204" i="15" s="1"/>
  <c r="C6" i="15"/>
  <c r="C22" i="15"/>
  <c r="C38" i="15"/>
  <c r="D38" i="15" s="1"/>
  <c r="C54" i="15"/>
  <c r="D54" i="15" s="1"/>
  <c r="C70" i="15"/>
  <c r="C86" i="15"/>
  <c r="D86" i="15" s="1"/>
  <c r="C102" i="15"/>
  <c r="D102" i="15" s="1"/>
  <c r="C118" i="15"/>
  <c r="D118" i="15" s="1"/>
  <c r="C134" i="15"/>
  <c r="D134" i="15" s="1"/>
  <c r="C150" i="15"/>
  <c r="D150" i="15" s="1"/>
  <c r="C154" i="15"/>
  <c r="D154" i="15" s="1"/>
  <c r="C193" i="15"/>
  <c r="D193" i="15" s="1"/>
  <c r="BR21" i="15"/>
  <c r="BT21" i="15" s="1"/>
  <c r="C173" i="15"/>
  <c r="D173" i="15" s="1"/>
  <c r="C189" i="15"/>
  <c r="D189" i="15" s="1"/>
  <c r="C156" i="15"/>
  <c r="C7" i="15"/>
  <c r="D7" i="15" s="1"/>
  <c r="C23" i="15"/>
  <c r="C39" i="15"/>
  <c r="D39" i="15" s="1"/>
  <c r="C55" i="15"/>
  <c r="D55" i="15" s="1"/>
  <c r="C71" i="15"/>
  <c r="C87" i="15"/>
  <c r="C103" i="15"/>
  <c r="C119" i="15"/>
  <c r="D119" i="15" s="1"/>
  <c r="C135" i="15"/>
  <c r="D135" i="15" s="1"/>
  <c r="C151" i="15"/>
  <c r="D151" i="15" s="1"/>
  <c r="C105" i="15"/>
  <c r="D105" i="15" s="1"/>
  <c r="C122" i="15"/>
  <c r="D122" i="15" s="1"/>
  <c r="C91" i="15"/>
  <c r="D91" i="15" s="1"/>
  <c r="C155" i="15"/>
  <c r="D155" i="15" s="1"/>
  <c r="BR20" i="15"/>
  <c r="BT20" i="15" s="1"/>
  <c r="C174" i="15"/>
  <c r="D174" i="15" s="1"/>
  <c r="C190" i="15"/>
  <c r="C157" i="15"/>
  <c r="D157" i="15" s="1"/>
  <c r="C8" i="15"/>
  <c r="D8" i="15" s="1"/>
  <c r="C24" i="15"/>
  <c r="D24" i="15" s="1"/>
  <c r="C40" i="15"/>
  <c r="D40" i="15" s="1"/>
  <c r="C56" i="15"/>
  <c r="D56" i="15" s="1"/>
  <c r="C72" i="15"/>
  <c r="D72" i="15" s="1"/>
  <c r="C88" i="15"/>
  <c r="D88" i="15" s="1"/>
  <c r="C104" i="15"/>
  <c r="C120" i="15"/>
  <c r="D120" i="15" s="1"/>
  <c r="C136" i="15"/>
  <c r="D136" i="15" s="1"/>
  <c r="C152" i="15"/>
  <c r="D152" i="15" s="1"/>
  <c r="C121" i="15"/>
  <c r="D121" i="15" s="1"/>
  <c r="C59" i="15"/>
  <c r="D59" i="15" s="1"/>
  <c r="BR19" i="15"/>
  <c r="BT19" i="15" s="1"/>
  <c r="C175" i="15"/>
  <c r="C191" i="15"/>
  <c r="D191" i="15" s="1"/>
  <c r="C158" i="15"/>
  <c r="D158" i="15" s="1"/>
  <c r="C9" i="15"/>
  <c r="D9" i="15" s="1"/>
  <c r="C25" i="15"/>
  <c r="D25" i="15" s="1"/>
  <c r="C41" i="15"/>
  <c r="D41" i="15" s="1"/>
  <c r="C57" i="15"/>
  <c r="D57" i="15" s="1"/>
  <c r="C73" i="15"/>
  <c r="D73" i="15" s="1"/>
  <c r="C137" i="15"/>
  <c r="D137" i="15" s="1"/>
  <c r="BR15" i="15"/>
  <c r="BT15" i="15" s="1"/>
  <c r="G17" i="12" s="1"/>
  <c r="BR16" i="15"/>
  <c r="BT16" i="15" s="1"/>
  <c r="G18" i="12" s="1"/>
  <c r="C176" i="15"/>
  <c r="D176" i="15" s="1"/>
  <c r="C192" i="15"/>
  <c r="D192" i="15" s="1"/>
  <c r="C159" i="15"/>
  <c r="D159" i="15" s="1"/>
  <c r="C10" i="15"/>
  <c r="D10" i="15" s="1"/>
  <c r="C26" i="15"/>
  <c r="D26" i="15" s="1"/>
  <c r="C42" i="15"/>
  <c r="D42" i="15" s="1"/>
  <c r="C58" i="15"/>
  <c r="D58" i="15" s="1"/>
  <c r="C74" i="15"/>
  <c r="D74" i="15" s="1"/>
  <c r="C138" i="15"/>
  <c r="D138" i="15" s="1"/>
  <c r="C123" i="15"/>
  <c r="D123" i="15" s="1"/>
  <c r="BR14" i="15"/>
  <c r="BT14" i="15" s="1"/>
  <c r="L60" i="11" s="1"/>
  <c r="C178" i="15"/>
  <c r="D178" i="15" s="1"/>
  <c r="C194" i="15"/>
  <c r="D194" i="15" s="1"/>
  <c r="C161" i="15"/>
  <c r="D161" i="15" s="1"/>
  <c r="C12" i="15"/>
  <c r="D12" i="15" s="1"/>
  <c r="C28" i="15"/>
  <c r="D28" i="15" s="1"/>
  <c r="C44" i="15"/>
  <c r="D44" i="15" s="1"/>
  <c r="C60" i="15"/>
  <c r="D60" i="15" s="1"/>
  <c r="C76" i="15"/>
  <c r="D76" i="15" s="1"/>
  <c r="C92" i="15"/>
  <c r="D92" i="15" s="1"/>
  <c r="C108" i="15"/>
  <c r="D108" i="15" s="1"/>
  <c r="C124" i="15"/>
  <c r="D124" i="15" s="1"/>
  <c r="C140" i="15"/>
  <c r="D140" i="15" s="1"/>
  <c r="C5" i="15"/>
  <c r="L148" i="11" s="1"/>
  <c r="CE19" i="15"/>
  <c r="F134" i="11"/>
  <c r="CG10" i="15"/>
  <c r="CE12" i="15"/>
  <c r="CE13" i="15"/>
  <c r="CG13" i="15" s="1"/>
  <c r="D47" i="15"/>
  <c r="D20" i="15"/>
  <c r="BS16" i="15"/>
  <c r="E2" i="15"/>
  <c r="BS7" i="15"/>
  <c r="D84" i="15"/>
  <c r="BS35" i="15"/>
  <c r="BS19" i="15"/>
  <c r="D79" i="15"/>
  <c r="D175" i="15"/>
  <c r="BS25" i="15"/>
  <c r="BS30" i="15"/>
  <c r="D31" i="15"/>
  <c r="D95" i="15"/>
  <c r="D184" i="15"/>
  <c r="D168" i="15"/>
  <c r="D49" i="15"/>
  <c r="D114" i="15"/>
  <c r="D82" i="15"/>
  <c r="D66" i="15"/>
  <c r="D34" i="15"/>
  <c r="D179" i="15"/>
  <c r="D99" i="15"/>
  <c r="D83" i="15"/>
  <c r="D67" i="15"/>
  <c r="K1" i="15"/>
  <c r="BT13" i="15"/>
  <c r="L61" i="11" s="1"/>
  <c r="BS23" i="15"/>
  <c r="BS34" i="15"/>
  <c r="BS21" i="15"/>
  <c r="BS10" i="15"/>
  <c r="BS32" i="15"/>
  <c r="BS9" i="15"/>
  <c r="D148" i="15"/>
  <c r="D190" i="15"/>
  <c r="D142" i="15"/>
  <c r="D126" i="15"/>
  <c r="D78" i="15"/>
  <c r="D46" i="15"/>
  <c r="D165" i="15"/>
  <c r="D85" i="15"/>
  <c r="D69" i="15"/>
  <c r="D139" i="15"/>
  <c r="BS12" i="15"/>
  <c r="BS27" i="15"/>
  <c r="BS15" i="15"/>
  <c r="BS5" i="15"/>
  <c r="BS20" i="15"/>
  <c r="D68" i="15"/>
  <c r="D103" i="15"/>
  <c r="D71" i="15"/>
  <c r="BS6" i="15"/>
  <c r="BS13" i="15"/>
  <c r="D156" i="15"/>
  <c r="D22" i="15"/>
  <c r="D45" i="15"/>
  <c r="D70" i="15"/>
  <c r="D6" i="15"/>
  <c r="D87" i="15"/>
  <c r="D23" i="15"/>
  <c r="D104" i="15"/>
  <c r="BS29" i="15"/>
  <c r="BS24" i="15"/>
  <c r="BS14" i="15"/>
  <c r="J13" i="11"/>
  <c r="L159" i="11"/>
  <c r="CE14" i="15"/>
  <c r="CE18" i="15"/>
  <c r="CE20" i="15"/>
  <c r="CE11" i="15"/>
  <c r="H12" i="12" l="1"/>
  <c r="I12" i="12" s="1"/>
  <c r="L75" i="11"/>
  <c r="L11" i="11"/>
  <c r="N11" i="11" s="1"/>
  <c r="L10" i="11"/>
  <c r="E205" i="15"/>
  <c r="F205" i="15" s="1"/>
  <c r="E184" i="15"/>
  <c r="F184" i="15" s="1"/>
  <c r="E200" i="15"/>
  <c r="F200" i="15" s="1"/>
  <c r="E165" i="15"/>
  <c r="F165" i="15" s="1"/>
  <c r="E150" i="15"/>
  <c r="E137" i="15"/>
  <c r="F137" i="15" s="1"/>
  <c r="E97" i="15"/>
  <c r="E87" i="15"/>
  <c r="F87" i="15" s="1"/>
  <c r="E75" i="15"/>
  <c r="F75" i="15" s="1"/>
  <c r="E63" i="15"/>
  <c r="F63" i="15" s="1"/>
  <c r="E46" i="15"/>
  <c r="F46" i="15" s="1"/>
  <c r="E42" i="15"/>
  <c r="F42" i="15" s="1"/>
  <c r="E10" i="15"/>
  <c r="F10" i="15" s="1"/>
  <c r="E112" i="15"/>
  <c r="F112" i="15" s="1"/>
  <c r="E66" i="15"/>
  <c r="F66" i="15" s="1"/>
  <c r="E13" i="15"/>
  <c r="F13" i="15" s="1"/>
  <c r="E204" i="15"/>
  <c r="F204" i="15" s="1"/>
  <c r="E101" i="15"/>
  <c r="E30" i="15"/>
  <c r="F30" i="15" s="1"/>
  <c r="E126" i="15"/>
  <c r="F126" i="15" s="1"/>
  <c r="E92" i="15"/>
  <c r="F92" i="15" s="1"/>
  <c r="E21" i="15"/>
  <c r="F21" i="15" s="1"/>
  <c r="E169" i="15"/>
  <c r="F169" i="15" s="1"/>
  <c r="E185" i="15"/>
  <c r="F185" i="15" s="1"/>
  <c r="E201" i="15"/>
  <c r="E166" i="15"/>
  <c r="E151" i="15"/>
  <c r="F151" i="15" s="1"/>
  <c r="E110" i="15"/>
  <c r="F110" i="15" s="1"/>
  <c r="E98" i="15"/>
  <c r="F98" i="15" s="1"/>
  <c r="E88" i="15"/>
  <c r="E76" i="15"/>
  <c r="F76" i="15" s="1"/>
  <c r="E64" i="15"/>
  <c r="F64" i="15" s="1"/>
  <c r="E47" i="15"/>
  <c r="E17" i="15"/>
  <c r="F17" i="15" s="1"/>
  <c r="E11" i="15"/>
  <c r="F11" i="15" s="1"/>
  <c r="E100" i="15"/>
  <c r="F100" i="15" s="1"/>
  <c r="E19" i="15"/>
  <c r="E172" i="15"/>
  <c r="F172" i="15" s="1"/>
  <c r="E138" i="15"/>
  <c r="F138" i="15" s="1"/>
  <c r="E91" i="15"/>
  <c r="F91" i="15" s="1"/>
  <c r="E67" i="15"/>
  <c r="F67" i="15" s="1"/>
  <c r="E14" i="15"/>
  <c r="F14" i="15" s="1"/>
  <c r="E139" i="15"/>
  <c r="F139" i="15" s="1"/>
  <c r="E80" i="15"/>
  <c r="F80" i="15" s="1"/>
  <c r="E135" i="15"/>
  <c r="F135" i="15" s="1"/>
  <c r="E170" i="15"/>
  <c r="E186" i="15"/>
  <c r="F186" i="15" s="1"/>
  <c r="E202" i="15"/>
  <c r="F202" i="15" s="1"/>
  <c r="E167" i="15"/>
  <c r="E152" i="15"/>
  <c r="E111" i="15"/>
  <c r="F111" i="15" s="1"/>
  <c r="E99" i="15"/>
  <c r="F99" i="15" s="1"/>
  <c r="E89" i="15"/>
  <c r="F89" i="15" s="1"/>
  <c r="E77" i="15"/>
  <c r="F77" i="15" s="1"/>
  <c r="E65" i="15"/>
  <c r="F65" i="15" s="1"/>
  <c r="E48" i="15"/>
  <c r="F48" i="15" s="1"/>
  <c r="E18" i="15"/>
  <c r="F18" i="15" s="1"/>
  <c r="E12" i="15"/>
  <c r="F12" i="15" s="1"/>
  <c r="E153" i="15"/>
  <c r="F153" i="15" s="1"/>
  <c r="E78" i="15"/>
  <c r="F78" i="15" s="1"/>
  <c r="E188" i="15"/>
  <c r="F188" i="15" s="1"/>
  <c r="E113" i="15"/>
  <c r="F113" i="15" s="1"/>
  <c r="E20" i="15"/>
  <c r="F20" i="15" s="1"/>
  <c r="E189" i="15"/>
  <c r="F189" i="15" s="1"/>
  <c r="E102" i="15"/>
  <c r="E15" i="15"/>
  <c r="F15" i="15" s="1"/>
  <c r="E85" i="15"/>
  <c r="F85" i="15" s="1"/>
  <c r="E171" i="15"/>
  <c r="F171" i="15" s="1"/>
  <c r="E187" i="15"/>
  <c r="F187" i="15" s="1"/>
  <c r="E203" i="15"/>
  <c r="F203" i="15" s="1"/>
  <c r="E168" i="15"/>
  <c r="F168" i="15" s="1"/>
  <c r="E90" i="15"/>
  <c r="F90" i="15" s="1"/>
  <c r="E29" i="15"/>
  <c r="E125" i="15"/>
  <c r="F125" i="15" s="1"/>
  <c r="E79" i="15"/>
  <c r="F79" i="15" s="1"/>
  <c r="E173" i="15"/>
  <c r="F173" i="15" s="1"/>
  <c r="E114" i="15"/>
  <c r="F114" i="15" s="1"/>
  <c r="E68" i="15"/>
  <c r="E44" i="15"/>
  <c r="F44" i="15" s="1"/>
  <c r="E154" i="15"/>
  <c r="F154" i="15" s="1"/>
  <c r="E31" i="15"/>
  <c r="E148" i="15"/>
  <c r="F148" i="15" s="1"/>
  <c r="E174" i="15"/>
  <c r="F174" i="15" s="1"/>
  <c r="E190" i="15"/>
  <c r="F190" i="15" s="1"/>
  <c r="E155" i="15"/>
  <c r="F155" i="15" s="1"/>
  <c r="E140" i="15"/>
  <c r="F140" i="15" s="1"/>
  <c r="E127" i="15"/>
  <c r="F127" i="15" s="1"/>
  <c r="E115" i="15"/>
  <c r="F115" i="15" s="1"/>
  <c r="E103" i="15"/>
  <c r="F103" i="15" s="1"/>
  <c r="E93" i="15"/>
  <c r="F93" i="15" s="1"/>
  <c r="E81" i="15"/>
  <c r="F81" i="15" s="1"/>
  <c r="E49" i="15"/>
  <c r="F49" i="15" s="1"/>
  <c r="E32" i="15"/>
  <c r="F32" i="15" s="1"/>
  <c r="E22" i="15"/>
  <c r="E16" i="15"/>
  <c r="F16" i="15" s="1"/>
  <c r="E95" i="15"/>
  <c r="F95" i="15" s="1"/>
  <c r="E34" i="15"/>
  <c r="E5" i="15"/>
  <c r="F5" i="15" s="1"/>
  <c r="E35" i="15"/>
  <c r="F35" i="15" s="1"/>
  <c r="E194" i="15"/>
  <c r="F194" i="15" s="1"/>
  <c r="E69" i="15"/>
  <c r="F69" i="15" s="1"/>
  <c r="E195" i="15"/>
  <c r="F195" i="15" s="1"/>
  <c r="E120" i="15"/>
  <c r="F120" i="15" s="1"/>
  <c r="E27" i="15"/>
  <c r="F27" i="15" s="1"/>
  <c r="E71" i="15"/>
  <c r="F71" i="15" s="1"/>
  <c r="E147" i="15"/>
  <c r="F147" i="15" s="1"/>
  <c r="E198" i="15"/>
  <c r="F198" i="15" s="1"/>
  <c r="E9" i="15"/>
  <c r="F9" i="15" s="1"/>
  <c r="E175" i="15"/>
  <c r="F175" i="15" s="1"/>
  <c r="E191" i="15"/>
  <c r="E156" i="15"/>
  <c r="F156" i="15" s="1"/>
  <c r="E141" i="15"/>
  <c r="F141" i="15" s="1"/>
  <c r="E128" i="15"/>
  <c r="E116" i="15"/>
  <c r="F116" i="15" s="1"/>
  <c r="E104" i="15"/>
  <c r="F104" i="15" s="1"/>
  <c r="E94" i="15"/>
  <c r="F94" i="15" s="1"/>
  <c r="E82" i="15"/>
  <c r="F82" i="15" s="1"/>
  <c r="E50" i="15"/>
  <c r="F50" i="15" s="1"/>
  <c r="E33" i="15"/>
  <c r="F33" i="15" s="1"/>
  <c r="E23" i="15"/>
  <c r="F23" i="15" s="1"/>
  <c r="E6" i="15"/>
  <c r="F6" i="15" s="1"/>
  <c r="E117" i="15"/>
  <c r="F117" i="15" s="1"/>
  <c r="E83" i="15"/>
  <c r="F83" i="15" s="1"/>
  <c r="E24" i="15"/>
  <c r="F24" i="15" s="1"/>
  <c r="E52" i="15"/>
  <c r="F52" i="15" s="1"/>
  <c r="E107" i="15"/>
  <c r="E26" i="15"/>
  <c r="F26" i="15" s="1"/>
  <c r="E145" i="15"/>
  <c r="F145" i="15" s="1"/>
  <c r="E37" i="15"/>
  <c r="F37" i="15" s="1"/>
  <c r="E180" i="15"/>
  <c r="F180" i="15" s="1"/>
  <c r="E109" i="15"/>
  <c r="F109" i="15" s="1"/>
  <c r="E55" i="15"/>
  <c r="F55" i="15" s="1"/>
  <c r="E134" i="15"/>
  <c r="F134" i="15" s="1"/>
  <c r="E7" i="15"/>
  <c r="F7" i="15" s="1"/>
  <c r="E182" i="15"/>
  <c r="F182" i="15" s="1"/>
  <c r="E8" i="15"/>
  <c r="F8" i="15" s="1"/>
  <c r="E176" i="15"/>
  <c r="F176" i="15" s="1"/>
  <c r="E192" i="15"/>
  <c r="F192" i="15" s="1"/>
  <c r="E157" i="15"/>
  <c r="F157" i="15" s="1"/>
  <c r="E142" i="15"/>
  <c r="F142" i="15" s="1"/>
  <c r="E129" i="15"/>
  <c r="F129" i="15" s="1"/>
  <c r="E105" i="15"/>
  <c r="F105" i="15" s="1"/>
  <c r="E51" i="15"/>
  <c r="F51" i="15" s="1"/>
  <c r="E159" i="15"/>
  <c r="F159" i="15" s="1"/>
  <c r="E53" i="15"/>
  <c r="F53" i="15" s="1"/>
  <c r="E108" i="15"/>
  <c r="F108" i="15" s="1"/>
  <c r="E146" i="15"/>
  <c r="F146" i="15" s="1"/>
  <c r="E28" i="15"/>
  <c r="F28" i="15" s="1"/>
  <c r="E197" i="15"/>
  <c r="F197" i="15" s="1"/>
  <c r="E43" i="15"/>
  <c r="F43" i="15" s="1"/>
  <c r="E123" i="15"/>
  <c r="F123" i="15" s="1"/>
  <c r="E45" i="15"/>
  <c r="F45" i="15" s="1"/>
  <c r="E177" i="15"/>
  <c r="F177" i="15" s="1"/>
  <c r="E193" i="15"/>
  <c r="F193" i="15" s="1"/>
  <c r="E158" i="15"/>
  <c r="F158" i="15" s="1"/>
  <c r="E143" i="15"/>
  <c r="F143" i="15" s="1"/>
  <c r="E130" i="15"/>
  <c r="F130" i="15" s="1"/>
  <c r="E118" i="15"/>
  <c r="F118" i="15" s="1"/>
  <c r="E106" i="15"/>
  <c r="F106" i="15" s="1"/>
  <c r="E96" i="15"/>
  <c r="F96" i="15" s="1"/>
  <c r="E56" i="15"/>
  <c r="F56" i="15" s="1"/>
  <c r="E25" i="15"/>
  <c r="F25" i="15" s="1"/>
  <c r="E131" i="15"/>
  <c r="F131" i="15" s="1"/>
  <c r="E57" i="15"/>
  <c r="F57" i="15" s="1"/>
  <c r="E179" i="15"/>
  <c r="F179" i="15" s="1"/>
  <c r="E58" i="15"/>
  <c r="F58" i="15" s="1"/>
  <c r="E196" i="15"/>
  <c r="F196" i="15" s="1"/>
  <c r="E59" i="15"/>
  <c r="F59" i="15" s="1"/>
  <c r="E122" i="15"/>
  <c r="F122" i="15" s="1"/>
  <c r="E61" i="15"/>
  <c r="F61" i="15" s="1"/>
  <c r="E178" i="15"/>
  <c r="F178" i="15" s="1"/>
  <c r="E144" i="15"/>
  <c r="F144" i="15" s="1"/>
  <c r="E119" i="15"/>
  <c r="F119" i="15" s="1"/>
  <c r="E36" i="15"/>
  <c r="F36" i="15" s="1"/>
  <c r="E132" i="15"/>
  <c r="F132" i="15" s="1"/>
  <c r="E54" i="15"/>
  <c r="F54" i="15" s="1"/>
  <c r="E121" i="15"/>
  <c r="F121" i="15" s="1"/>
  <c r="E84" i="15"/>
  <c r="F84" i="15" s="1"/>
  <c r="E73" i="15"/>
  <c r="F73" i="15" s="1"/>
  <c r="E41" i="15"/>
  <c r="F41" i="15" s="1"/>
  <c r="E160" i="15"/>
  <c r="F160" i="15" s="1"/>
  <c r="E70" i="15"/>
  <c r="F70" i="15" s="1"/>
  <c r="E133" i="15"/>
  <c r="F133" i="15" s="1"/>
  <c r="E38" i="15"/>
  <c r="F38" i="15" s="1"/>
  <c r="E181" i="15"/>
  <c r="F181" i="15" s="1"/>
  <c r="E72" i="15"/>
  <c r="F72" i="15" s="1"/>
  <c r="E163" i="15"/>
  <c r="F163" i="15" s="1"/>
  <c r="E161" i="15"/>
  <c r="F161" i="15" s="1"/>
  <c r="E39" i="15"/>
  <c r="F39" i="15" s="1"/>
  <c r="E40" i="15"/>
  <c r="F40" i="15" s="1"/>
  <c r="E162" i="15"/>
  <c r="F162" i="15" s="1"/>
  <c r="E60" i="15"/>
  <c r="F60" i="15" s="1"/>
  <c r="E183" i="15"/>
  <c r="F183" i="15" s="1"/>
  <c r="E199" i="15"/>
  <c r="F199" i="15" s="1"/>
  <c r="E164" i="15"/>
  <c r="F164" i="15" s="1"/>
  <c r="E149" i="15"/>
  <c r="F149" i="15" s="1"/>
  <c r="E136" i="15"/>
  <c r="F136" i="15" s="1"/>
  <c r="E124" i="15"/>
  <c r="F124" i="15" s="1"/>
  <c r="E86" i="15"/>
  <c r="F86" i="15" s="1"/>
  <c r="E74" i="15"/>
  <c r="F74" i="15" s="1"/>
  <c r="E62" i="15"/>
  <c r="F62" i="15" s="1"/>
  <c r="F68" i="15"/>
  <c r="F170" i="15"/>
  <c r="F128" i="15"/>
  <c r="F29" i="15"/>
  <c r="F107" i="15"/>
  <c r="F34" i="15"/>
  <c r="F101" i="15"/>
  <c r="F167" i="15"/>
  <c r="F19" i="15"/>
  <c r="F191" i="15"/>
  <c r="F166" i="15"/>
  <c r="F201" i="15"/>
  <c r="L65" i="11"/>
  <c r="F102" i="15"/>
  <c r="F47" i="15"/>
  <c r="L56" i="11"/>
  <c r="G15" i="12" s="1"/>
  <c r="L21" i="11"/>
  <c r="L120" i="11" s="1"/>
  <c r="F31" i="15"/>
  <c r="F88" i="15"/>
  <c r="F150" i="15"/>
  <c r="F22" i="15"/>
  <c r="F152" i="15"/>
  <c r="F97" i="15"/>
  <c r="L20" i="11"/>
  <c r="L79" i="11" s="1"/>
  <c r="L80" i="11" s="1"/>
  <c r="L81" i="11" s="1"/>
  <c r="L19" i="11"/>
  <c r="L109" i="11" s="1"/>
  <c r="L111" i="11" s="1"/>
  <c r="L64" i="11"/>
  <c r="L22" i="11"/>
  <c r="L84" i="11" s="1"/>
  <c r="L85" i="11" s="1"/>
  <c r="L86" i="11" s="1"/>
  <c r="F18" i="12" s="1"/>
  <c r="L23" i="11"/>
  <c r="L156" i="11" s="1"/>
  <c r="L40" i="11"/>
  <c r="L48" i="11"/>
  <c r="L143" i="11"/>
  <c r="L147" i="11"/>
  <c r="L133" i="11"/>
  <c r="L122" i="11"/>
  <c r="L158" i="11"/>
  <c r="L12" i="11"/>
  <c r="N12" i="11" s="1"/>
  <c r="D5" i="15"/>
  <c r="L123" i="11"/>
  <c r="L134" i="11"/>
  <c r="L36" i="11"/>
  <c r="L44" i="11"/>
  <c r="G12" i="12"/>
  <c r="F12" i="12"/>
  <c r="D20" i="12"/>
  <c r="D26" i="12" s="1"/>
  <c r="I26" i="12" s="1"/>
  <c r="J14" i="11"/>
  <c r="L13" i="11"/>
  <c r="N13" i="11" s="1"/>
  <c r="I34" i="12"/>
  <c r="G34" i="12"/>
  <c r="F34" i="12"/>
  <c r="L113" i="11" l="1"/>
  <c r="H13" i="12" s="1"/>
  <c r="I13" i="12" s="1"/>
  <c r="L52" i="11"/>
  <c r="L53" i="11" s="1"/>
  <c r="L54" i="11" s="1"/>
  <c r="L63" i="11" s="1"/>
  <c r="N10" i="11"/>
  <c r="I25" i="12"/>
  <c r="I23" i="12"/>
  <c r="F15" i="12"/>
  <c r="F17" i="12"/>
  <c r="H17" i="12" s="1"/>
  <c r="I17" i="12" s="1"/>
  <c r="L69" i="11"/>
  <c r="L70" i="11" s="1"/>
  <c r="F14" i="12" s="1"/>
  <c r="H14" i="12" s="1"/>
  <c r="I14" i="12" s="1"/>
  <c r="L72" i="11"/>
  <c r="H18" i="12"/>
  <c r="I18" i="12" s="1"/>
  <c r="L57" i="11"/>
  <c r="L131" i="11"/>
  <c r="L66" i="11"/>
  <c r="H15" i="12"/>
  <c r="I15" i="12" s="1"/>
  <c r="L145" i="11"/>
  <c r="L17" i="11"/>
  <c r="L45" i="11" s="1"/>
  <c r="L46" i="11" s="1"/>
  <c r="L47" i="11" s="1"/>
  <c r="L49" i="11" s="1"/>
  <c r="L18" i="11"/>
  <c r="L37" i="11" s="1"/>
  <c r="L38" i="11" s="1"/>
  <c r="L39" i="11" s="1"/>
  <c r="L41" i="11" s="1"/>
  <c r="L16" i="11"/>
  <c r="L29" i="11" s="1"/>
  <c r="L30" i="11" s="1"/>
  <c r="L31" i="11" s="1"/>
  <c r="L33" i="11" s="1"/>
  <c r="G20" i="12"/>
  <c r="L14" i="11"/>
  <c r="N14" i="11" s="1"/>
  <c r="N15" i="11" s="1"/>
  <c r="N18" i="11" s="1"/>
  <c r="J15" i="11"/>
  <c r="L15" i="11" s="1"/>
  <c r="L128" i="11"/>
  <c r="G21" i="12"/>
  <c r="L153" i="11"/>
  <c r="L121" i="11" l="1"/>
  <c r="L124" i="11" s="1"/>
  <c r="L125" i="11" s="1"/>
  <c r="F39" i="12" s="1"/>
  <c r="H39" i="12" s="1"/>
  <c r="I39" i="12" s="1"/>
  <c r="L132" i="11"/>
  <c r="L146" i="11"/>
  <c r="L149" i="11" s="1"/>
  <c r="L150" i="11" s="1"/>
  <c r="L157" i="11"/>
  <c r="L130" i="11"/>
  <c r="L154" i="11"/>
  <c r="L155" i="11"/>
  <c r="L129" i="11"/>
  <c r="L137" i="11" l="1"/>
  <c r="L73" i="11"/>
  <c r="L74" i="11" s="1"/>
  <c r="L76" i="11" s="1"/>
  <c r="L135" i="11"/>
  <c r="L136" i="11" s="1"/>
  <c r="L160" i="11"/>
  <c r="L161" i="11" s="1"/>
  <c r="L162" i="11" s="1"/>
  <c r="F20" i="12" l="1"/>
  <c r="H20" i="12" s="1"/>
  <c r="I20" i="12" s="1"/>
  <c r="F21" i="12"/>
  <c r="H21" i="12" s="1"/>
  <c r="I21" i="12" s="1"/>
  <c r="I44" i="12" l="1"/>
  <c r="I50" i="12" s="1"/>
  <c r="I92" i="12" s="1"/>
  <c r="I98" i="12" s="1"/>
  <c r="I127" i="12" s="1"/>
  <c r="I128" i="12" l="1"/>
  <c r="BW10" i="15"/>
  <c r="BW11" i="15" s="1"/>
  <c r="BW12" i="15" s="1"/>
  <c r="BW13" i="15" s="1"/>
  <c r="BW14" i="15" l="1"/>
  <c r="BW16" i="15" s="1"/>
  <c r="BX15" i="15"/>
  <c r="BY15" i="15"/>
  <c r="BW15" i="15"/>
  <c r="BX16" i="15" l="1"/>
  <c r="BX17" i="15" s="1"/>
  <c r="BY16" i="15"/>
  <c r="BY17" i="15" s="1"/>
  <c r="BW17" i="15"/>
  <c r="BZ31" i="15" s="1"/>
  <c r="J42" i="12" l="1"/>
  <c r="J32" i="12"/>
  <c r="J41" i="12"/>
  <c r="K41" i="12" s="1"/>
  <c r="L41" i="12" s="1"/>
  <c r="J23" i="12"/>
  <c r="K23" i="12" s="1"/>
  <c r="L23" i="12" s="1"/>
  <c r="J40" i="12"/>
  <c r="K40" i="12" s="1"/>
  <c r="L40" i="12" s="1"/>
  <c r="J20" i="12"/>
  <c r="K20" i="12" s="1"/>
  <c r="L20" i="12" s="1"/>
  <c r="J17" i="12"/>
  <c r="K17" i="12" s="1"/>
  <c r="L17" i="12" s="1"/>
  <c r="J38" i="12"/>
  <c r="K38" i="12" s="1"/>
  <c r="L38" i="12" s="1"/>
  <c r="J10" i="12"/>
  <c r="K10" i="12" s="1"/>
  <c r="L10" i="12" s="1"/>
  <c r="J37" i="12"/>
  <c r="K37" i="12" s="1"/>
  <c r="L37" i="12" s="1"/>
  <c r="J11" i="12"/>
  <c r="K11" i="12" s="1"/>
  <c r="L11" i="12" s="1"/>
  <c r="J35" i="12"/>
  <c r="K35" i="12" s="1"/>
  <c r="L35" i="12" s="1"/>
  <c r="J12" i="12"/>
  <c r="K12" i="12" s="1"/>
  <c r="L12" i="12" s="1"/>
  <c r="J24" i="12"/>
  <c r="K24" i="12" s="1"/>
  <c r="L24" i="12" s="1"/>
  <c r="J15" i="12"/>
  <c r="K15" i="12" s="1"/>
  <c r="L15" i="12" s="1"/>
  <c r="J26" i="12"/>
  <c r="K26" i="12" s="1"/>
  <c r="L26" i="12" s="1"/>
  <c r="J27" i="12"/>
  <c r="K27" i="12" s="1"/>
  <c r="L27" i="12" s="1"/>
  <c r="J7" i="12"/>
  <c r="K7" i="12" s="1"/>
  <c r="L7" i="12" s="1"/>
  <c r="J30" i="12"/>
  <c r="K30" i="12" s="1"/>
  <c r="L30" i="12" s="1"/>
  <c r="J39" i="12"/>
  <c r="K39" i="12" s="1"/>
  <c r="L39" i="12" s="1"/>
  <c r="J13" i="12"/>
  <c r="K13" i="12" s="1"/>
  <c r="L13" i="12" s="1"/>
  <c r="J25" i="12"/>
  <c r="K25" i="12" s="1"/>
  <c r="L25" i="12" s="1"/>
  <c r="J9" i="12"/>
  <c r="K9" i="12" s="1"/>
  <c r="L9" i="12" s="1"/>
  <c r="J28" i="12"/>
  <c r="K28" i="12" s="1"/>
  <c r="L28" i="12" s="1"/>
  <c r="J29" i="12"/>
  <c r="K29" i="12" s="1"/>
  <c r="L29" i="12" s="1"/>
  <c r="J34" i="12"/>
  <c r="K34" i="12" s="1"/>
  <c r="L34" i="12" s="1"/>
  <c r="J31" i="12"/>
  <c r="K31" i="12" s="1"/>
  <c r="L31" i="12" s="1"/>
  <c r="J14" i="12"/>
  <c r="K14" i="12" s="1"/>
  <c r="L14" i="12" s="1"/>
  <c r="K42" i="12"/>
  <c r="L42" i="12" s="1"/>
  <c r="K32" i="12"/>
  <c r="L32" i="12" s="1"/>
  <c r="J21" i="12"/>
  <c r="K21" i="12" s="1"/>
  <c r="L21" i="12" s="1"/>
  <c r="J18" i="12"/>
  <c r="K18" i="12" s="1"/>
  <c r="L18" i="12" s="1"/>
  <c r="L44" i="12" l="1"/>
  <c r="H19" i="32" s="1"/>
  <c r="L50" i="12" l="1"/>
  <c r="L92" i="12" s="1"/>
  <c r="L98" i="12" s="1"/>
  <c r="L127" i="12" s="1"/>
  <c r="H24" i="32" s="1"/>
  <c r="D28" i="32" l="1"/>
  <c r="M26" i="32"/>
  <c r="B26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L7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ที่ความหนา 3 ซมต้อง คูน  0.60   จาก 5 ซม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Windows8.1</author>
    <author>HP</author>
    <author>User</author>
    <author>D</author>
    <author>user</author>
    <author>acer</author>
  </authors>
  <commentList>
    <comment ref="H11" authorId="0" shapeId="0" xr:uid="{00000000-0006-0000-1200-000001000000}">
      <text>
        <r>
          <rPr>
            <sz val="9"/>
            <color indexed="81"/>
            <rFont val="Tahoma"/>
            <family val="2"/>
          </rPr>
          <t xml:space="preserve">สืบจากแหล่งผลิต
</t>
        </r>
      </text>
    </comment>
    <comment ref="D12" authorId="0" shapeId="0" xr:uid="{00000000-0006-0000-1200-000002000000}">
      <text>
        <r>
          <rPr>
            <sz val="9"/>
            <color indexed="81"/>
            <rFont val="Tahoma"/>
            <family val="2"/>
          </rPr>
          <t xml:space="preserve">ระยะทาจากแหล่ง ถึง กึ่งกลางโครงการก่อสร้าง
</t>
        </r>
      </text>
    </comment>
    <comment ref="F12" authorId="0" shapeId="0" xr:uid="{00000000-0006-0000-1200-000003000000}">
      <text>
        <r>
          <rPr>
            <sz val="9"/>
            <color indexed="81"/>
            <rFont val="Tahoma"/>
            <family val="2"/>
          </rPr>
          <t>ค่าขนส่งรถสิบล้อ</t>
        </r>
      </text>
    </comment>
    <comment ref="F14" authorId="0" shapeId="0" xr:uid="{00000000-0006-0000-1200-000004000000}">
      <text>
        <r>
          <rPr>
            <sz val="9"/>
            <color indexed="81"/>
            <rFont val="Tahoma"/>
            <family val="2"/>
          </rPr>
          <t xml:space="preserve">ค่ายุบตัวตามหลักเกณฑ์
</t>
        </r>
      </text>
    </comment>
    <comment ref="H20" authorId="0" shapeId="0" xr:uid="{00000000-0006-0000-1200-000005000000}">
      <text>
        <r>
          <rPr>
            <sz val="9"/>
            <color indexed="81"/>
            <rFont val="Tahoma"/>
            <family val="2"/>
          </rPr>
          <t xml:space="preserve">สืบจากแหล่งผลิต
</t>
        </r>
      </text>
    </comment>
    <comment ref="D21" authorId="0" shapeId="0" xr:uid="{00000000-0006-0000-1200-000006000000}">
      <text>
        <r>
          <rPr>
            <sz val="9"/>
            <color indexed="81"/>
            <rFont val="Tahoma"/>
            <family val="2"/>
          </rPr>
          <t xml:space="preserve">ระยะทาจากแหล่ง ถึง กึ่งกลางโครงการก่อสร้าง
</t>
        </r>
      </text>
    </comment>
    <comment ref="F21" authorId="0" shapeId="0" xr:uid="{00000000-0006-0000-1200-000007000000}">
      <text>
        <r>
          <rPr>
            <sz val="9"/>
            <color indexed="81"/>
            <rFont val="Tahoma"/>
            <family val="2"/>
          </rPr>
          <t>ค่าขนส่งรถสิบล้อ</t>
        </r>
      </text>
    </comment>
    <comment ref="F23" authorId="0" shapeId="0" xr:uid="{00000000-0006-0000-1200-000008000000}">
      <text>
        <r>
          <rPr>
            <sz val="9"/>
            <color indexed="81"/>
            <rFont val="Tahoma"/>
            <family val="2"/>
          </rPr>
          <t xml:space="preserve">ค่ายุบตัวตามหลักเกณฑ์
</t>
        </r>
      </text>
    </comment>
    <comment ref="H29" authorId="0" shapeId="0" xr:uid="{00000000-0006-0000-1200-000009000000}">
      <text>
        <r>
          <rPr>
            <sz val="9"/>
            <color indexed="81"/>
            <rFont val="Tahoma"/>
            <family val="2"/>
          </rPr>
          <t xml:space="preserve">สืบจากแหล่งผลิต
</t>
        </r>
      </text>
    </comment>
    <comment ref="F30" authorId="0" shapeId="0" xr:uid="{00000000-0006-0000-1200-00000A000000}">
      <text>
        <r>
          <rPr>
            <sz val="9"/>
            <color indexed="81"/>
            <rFont val="Tahoma"/>
            <family val="2"/>
          </rPr>
          <t xml:space="preserve">เปิดตารางค่าขนส่งรถสิบล้อ
</t>
        </r>
      </text>
    </comment>
    <comment ref="H37" authorId="0" shapeId="0" xr:uid="{00000000-0006-0000-1200-00000B000000}">
      <text>
        <r>
          <rPr>
            <sz val="9"/>
            <color indexed="81"/>
            <rFont val="Tahoma"/>
            <family val="2"/>
          </rPr>
          <t xml:space="preserve">สืบจากแหล่งผลิต
</t>
        </r>
      </text>
    </comment>
    <comment ref="D38" authorId="0" shapeId="0" xr:uid="{00000000-0006-0000-1200-00000C000000}">
      <text>
        <r>
          <rPr>
            <sz val="9"/>
            <color indexed="81"/>
            <rFont val="Tahoma"/>
            <family val="2"/>
          </rPr>
          <t xml:space="preserve">ระยะทาจากแหล่ง ถึง กึ่งกลางโครงการก่อสร้าง
</t>
        </r>
      </text>
    </comment>
    <comment ref="F38" authorId="0" shapeId="0" xr:uid="{00000000-0006-0000-1200-00000D000000}">
      <text>
        <r>
          <rPr>
            <sz val="9"/>
            <color indexed="81"/>
            <rFont val="Tahoma"/>
            <family val="2"/>
          </rPr>
          <t>ค่าขนส่งรถสิบล้อ</t>
        </r>
      </text>
    </comment>
    <comment ref="F40" authorId="0" shapeId="0" xr:uid="{00000000-0006-0000-1200-00000E000000}">
      <text>
        <r>
          <rPr>
            <sz val="9"/>
            <color indexed="81"/>
            <rFont val="Tahoma"/>
            <family val="2"/>
          </rPr>
          <t xml:space="preserve">ค่ายุบตัวตามหลักเกณฑ์
</t>
        </r>
      </text>
    </comment>
    <comment ref="F54" authorId="1" shapeId="0" xr:uid="{00000000-0006-0000-1200-00000F000000}">
      <text>
        <r>
          <rPr>
            <b/>
            <sz val="9"/>
            <color indexed="81"/>
            <rFont val="Tahoma"/>
            <family val="2"/>
          </rPr>
          <t xml:space="preserve">หนา15cm.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7" authorId="0" shapeId="0" xr:uid="{00000000-0006-0000-1200-000010000000}">
      <text>
        <r>
          <rPr>
            <sz val="9"/>
            <color indexed="81"/>
            <rFont val="Tahoma"/>
            <family val="2"/>
          </rPr>
          <t xml:space="preserve">ระยะทางขนส่ง L/4
</t>
        </r>
      </text>
    </comment>
    <comment ref="F57" authorId="0" shapeId="0" xr:uid="{00000000-0006-0000-1200-000011000000}">
      <text>
        <r>
          <rPr>
            <sz val="9"/>
            <color indexed="81"/>
            <rFont val="Tahoma"/>
            <family val="2"/>
          </rPr>
          <t xml:space="preserve">จากตารางค่าดำเนินการ 
</t>
        </r>
      </text>
    </comment>
    <comment ref="H60" authorId="2" shapeId="0" xr:uid="{00000000-0006-0000-1200-000012000000}">
      <text>
        <r>
          <rPr>
            <sz val="9"/>
            <color indexed="10"/>
            <rFont val="Tahoma"/>
            <family val="2"/>
          </rPr>
          <t>ดูตารางดำเนินการ
ค่าแบบข้างติดตาวยาว 2 ข้าง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1" authorId="2" shapeId="0" xr:uid="{00000000-0006-0000-1200-000013000000}">
      <text>
        <r>
          <rPr>
            <b/>
            <sz val="9"/>
            <color indexed="81"/>
            <rFont val="Tahoma"/>
            <family val="2"/>
          </rPr>
          <t>ดูตารางดำเนินการ
ค่าปูผิวคอนกรีต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2" authorId="2" shapeId="0" xr:uid="{00000000-0006-0000-1200-000014000000}">
      <text>
        <r>
          <rPr>
            <b/>
            <sz val="9"/>
            <color indexed="81"/>
            <rFont val="Tahoma"/>
            <family val="2"/>
          </rPr>
          <t>ดูตารางดำเนินการ
ค่าบ่มผิวทางคอนกรีต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3" authorId="3" shapeId="0" xr:uid="{00000000-0006-0000-1200-000015000000}">
      <text>
        <r>
          <rPr>
            <sz val="8"/>
            <color indexed="81"/>
            <rFont val="Tahoma"/>
            <family val="2"/>
          </rPr>
          <t xml:space="preserve">RB 19 ยาว 0.50
@ 0.50 ม.
</t>
        </r>
      </text>
    </comment>
    <comment ref="H74" authorId="3" shapeId="0" xr:uid="{00000000-0006-0000-1200-000016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D75" authorId="4" shapeId="0" xr:uid="{00000000-0006-0000-1200-000017000000}">
      <text>
        <r>
          <rPr>
            <b/>
            <sz val="9"/>
            <color indexed="81"/>
            <rFont val="Tahoma"/>
            <family val="2"/>
          </rPr>
          <t>0.15x4.00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5" authorId="3" shapeId="0" xr:uid="{00000000-0006-0000-1200-000018000000}">
      <text>
        <r>
          <rPr>
            <sz val="8"/>
            <color indexed="81"/>
            <rFont val="Tahoma"/>
            <family val="2"/>
          </rPr>
          <t xml:space="preserve">ราคาตามคำแนะนำในหลักเกณฑ์
</t>
        </r>
      </text>
    </comment>
    <comment ref="H76" authorId="3" shapeId="0" xr:uid="{00000000-0006-0000-1200-000019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77" authorId="3" shapeId="0" xr:uid="{00000000-0006-0000-1200-00001A000000}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(ค่าหยอดยางรอยต่อคอนกรีต)</t>
        </r>
      </text>
    </comment>
    <comment ref="H79" authorId="3" shapeId="0" xr:uid="{00000000-0006-0000-1200-00001B000000}">
      <text>
        <r>
          <rPr>
            <sz val="8"/>
            <color indexed="81"/>
            <rFont val="Tahoma"/>
            <family val="2"/>
          </rPr>
          <t xml:space="preserve">งานไม้แบบอย่างง่าย
</t>
        </r>
      </text>
    </comment>
    <comment ref="D85" authorId="3" shapeId="0" xr:uid="{00000000-0006-0000-1200-00001C000000}">
      <text>
        <r>
          <rPr>
            <sz val="8"/>
            <color indexed="10"/>
            <rFont val="Tahoma"/>
            <family val="2"/>
          </rPr>
          <t>RB 19 ยาว 0.50
@ 0.50 ม.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6" authorId="3" shapeId="0" xr:uid="{00000000-0006-0000-1200-00001D000000}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(ค่าตัดรอยต่อคอนกรีตและหยอดยาง)</t>
        </r>
      </text>
    </comment>
    <comment ref="H87" authorId="3" shapeId="0" xr:uid="{00000000-0006-0000-1200-00001E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88" authorId="3" shapeId="0" xr:uid="{00000000-0006-0000-1200-00001F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F95" authorId="0" shapeId="0" xr:uid="{00000000-0006-0000-1200-000020000000}">
      <text>
        <r>
          <rPr>
            <sz val="9"/>
            <color indexed="81"/>
            <rFont val="Tahoma"/>
            <family val="2"/>
          </rPr>
          <t xml:space="preserve">ค่าเสื่อมราคางานขุดดินด้วยเครื่องจักร งานชลประทาน
</t>
        </r>
      </text>
    </comment>
    <comment ref="D101" authorId="5" shapeId="0" xr:uid="{00000000-0006-0000-1200-000021000000}">
      <text>
        <r>
          <rPr>
            <sz val="9"/>
            <color indexed="81"/>
            <rFont val="Tahoma"/>
            <family val="2"/>
          </rPr>
          <t xml:space="preserve">ค่าขนส่งรถบรรทุกสิบล้อ บาท/ตัน ตามราคาน้ำมันปัจจุบัน
</t>
        </r>
      </text>
    </comment>
    <comment ref="F109" authorId="0" shapeId="0" xr:uid="{00000000-0006-0000-1200-000022000000}">
      <text>
        <r>
          <rPr>
            <sz val="9"/>
            <color indexed="81"/>
            <rFont val="Tahoma"/>
            <family val="2"/>
          </rPr>
          <t xml:space="preserve">ค่าเสื่อมราคางานขุดดินด้วยเครื่องจักร งานชลประทาน
</t>
        </r>
      </text>
    </comment>
    <comment ref="D115" authorId="5" shapeId="0" xr:uid="{00000000-0006-0000-1200-000023000000}">
      <text>
        <r>
          <rPr>
            <sz val="9"/>
            <color indexed="81"/>
            <rFont val="Tahoma"/>
            <family val="2"/>
          </rPr>
          <t xml:space="preserve">ค่าขนส่งรถบรรทุกสิบล้อ บาท/ตัน ตามราคาน้ำมันปัจจุบัน
</t>
        </r>
      </text>
    </comment>
    <comment ref="H123" authorId="0" shapeId="0" xr:uid="{00000000-0006-0000-1200-000024000000}">
      <text>
        <r>
          <rPr>
            <sz val="9"/>
            <color indexed="81"/>
            <rFont val="Tahoma"/>
            <family val="2"/>
          </rPr>
          <t xml:space="preserve">ค่าเสื่อมราคางานขุดดินด้วยเครื่องจักร งานชลประทาน
</t>
        </r>
      </text>
    </comment>
  </commentList>
</comments>
</file>

<file path=xl/sharedStrings.xml><?xml version="1.0" encoding="utf-8"?>
<sst xmlns="http://schemas.openxmlformats.org/spreadsheetml/2006/main" count="7125" uniqueCount="1407">
  <si>
    <t>ที่</t>
  </si>
  <si>
    <t>รายการ</t>
  </si>
  <si>
    <t>Factor F</t>
  </si>
  <si>
    <t>ข้อมูลประกอบการประมาณราคา</t>
  </si>
  <si>
    <t>บาท/ลบ.ม.</t>
  </si>
  <si>
    <t>ระยะขนส่ง</t>
  </si>
  <si>
    <t xml:space="preserve"> =</t>
  </si>
  <si>
    <t xml:space="preserve">ระยะขนส่ง                  </t>
  </si>
  <si>
    <t>ลูกรัง</t>
  </si>
  <si>
    <t>บาท/ตัน</t>
  </si>
  <si>
    <t xml:space="preserve"> บาท/ตัน</t>
  </si>
  <si>
    <t xml:space="preserve">ระยะขนส่ง      </t>
  </si>
  <si>
    <t xml:space="preserve">ระยะขนส่ง        </t>
  </si>
  <si>
    <t xml:space="preserve">ระยะขนส่ง       </t>
  </si>
  <si>
    <t>รายการราคาค่างานต่อหน่วย</t>
  </si>
  <si>
    <t>=</t>
  </si>
  <si>
    <t xml:space="preserve"> บาท/ตร.ม.</t>
  </si>
  <si>
    <t xml:space="preserve">        ผิวทาง (ขนทิ้ง)</t>
  </si>
  <si>
    <t>ค่าตัวแปร</t>
  </si>
  <si>
    <t xml:space="preserve"> บาท/ลบ.ม.</t>
  </si>
  <si>
    <t>หมายเหตุ</t>
  </si>
  <si>
    <t xml:space="preserve">          - ราคน้ำมันโซล่า เฉลี่ย</t>
  </si>
  <si>
    <t>บาท / ลิตร</t>
  </si>
  <si>
    <t>ชื่อสายทาง</t>
  </si>
  <si>
    <t>จำนวน</t>
  </si>
  <si>
    <t>หน่วย</t>
  </si>
  <si>
    <t>ราคาวัสดุ-ค่าแรง-ต่อหน่วย</t>
  </si>
  <si>
    <t>จำนวนเงิน</t>
  </si>
  <si>
    <t>วัสดุ</t>
  </si>
  <si>
    <t>ค่าแรง</t>
  </si>
  <si>
    <t>รวม</t>
  </si>
  <si>
    <t>(บาท)</t>
  </si>
  <si>
    <t>งานปรับปรุงโครงสร้างทาง</t>
  </si>
  <si>
    <t>ตร.ม.</t>
  </si>
  <si>
    <t>ลบ.ม.</t>
  </si>
  <si>
    <t>งานผิวทาง</t>
  </si>
  <si>
    <t xml:space="preserve"> -  Asphaltic  Concrete  (ปูบน Prime  Coat)</t>
  </si>
  <si>
    <t xml:space="preserve"> -  Asphaltic  Concrete  (ปูบน Tack  Coat)</t>
  </si>
  <si>
    <t>งานตีเส้นจราจร</t>
  </si>
  <si>
    <t>งานจราจรสงเคราะห์</t>
  </si>
  <si>
    <t>ชุด</t>
  </si>
  <si>
    <t>หลัก</t>
  </si>
  <si>
    <t>รหัสสายทาง</t>
  </si>
  <si>
    <t>สถานที่ตั้ง</t>
  </si>
  <si>
    <t>กม.</t>
  </si>
  <si>
    <t xml:space="preserve">   รายการ</t>
  </si>
  <si>
    <t xml:space="preserve"> ซม.</t>
  </si>
  <si>
    <t>บาท</t>
  </si>
  <si>
    <t xml:space="preserve">ชื่อสายทาง     </t>
  </si>
  <si>
    <t xml:space="preserve">สายทาง </t>
  </si>
  <si>
    <t xml:space="preserve">สถานที่ตั้ง </t>
  </si>
  <si>
    <t>ม. )</t>
  </si>
  <si>
    <t>4.1 สีเทอร์โมพลาสติก</t>
  </si>
  <si>
    <t>เมตร</t>
  </si>
  <si>
    <t>5.1 งานปรับปรุง</t>
  </si>
  <si>
    <t>5.2 งานติดตั้ง</t>
  </si>
  <si>
    <t xml:space="preserve">         - สายทางอยู่ในเขตพื้นที่  </t>
  </si>
  <si>
    <t xml:space="preserve">หินคลุก      </t>
  </si>
  <si>
    <t xml:space="preserve"> บาท/ลบ.ม.(หลวม)</t>
  </si>
  <si>
    <t>ความหนา</t>
  </si>
  <si>
    <t xml:space="preserve"> ตร.ม./ตัน )</t>
  </si>
  <si>
    <t>A =   ราคายางแอสฟัลท์ (AC 60 - 70 ) ที่ แหล่งบวกด้วยค่าขนส่งถึงที่ตั้งโรงงานผสมแอสฟัลติกคอนกรีต (บาท/ตัน)</t>
  </si>
  <si>
    <t>B  =  ราคาหินปากโม่บวกด้วยค่าขนส่งจากปากโม่ ถึงที่ตั้งโรงงานผสมแอสฟัลติกคอนกรีต หรือจุดกองรวม (บาท/ลบ.ม.)</t>
  </si>
  <si>
    <t xml:space="preserve"> บาท/ลบ.ม.(แน่น)</t>
  </si>
  <si>
    <t>ค่าบรรทุก</t>
  </si>
  <si>
    <t xml:space="preserve">น้ำมันโซล่าเฉลี่ย </t>
  </si>
  <si>
    <t>บาท/ลิตร</t>
  </si>
  <si>
    <t>หินฝุ่น</t>
  </si>
  <si>
    <t>(งบประมาณ 100 %) ดอกเบี้ยเงินกู้</t>
  </si>
  <si>
    <t>%</t>
  </si>
  <si>
    <t>ค่าขนส่งหิน</t>
  </si>
  <si>
    <t>เงินล่วงหน้าจ่าย</t>
  </si>
  <si>
    <t xml:space="preserve">ค่าขนส่งยาง  </t>
  </si>
  <si>
    <t>ดอกเบี้ยเงินฝาก</t>
  </si>
  <si>
    <t>Traffic  Factor</t>
  </si>
  <si>
    <t>เงินประกันผลงาน</t>
  </si>
  <si>
    <t>ภาษีมูลค่าเพิ่ม ( VAT )</t>
  </si>
  <si>
    <t>ราคาน้ำมันโซล่าเฉลี่ย</t>
  </si>
  <si>
    <t>อยู่ในพื้นที่</t>
  </si>
  <si>
    <t>ฝนตกปกติ</t>
  </si>
  <si>
    <t>ฝนตกชุก</t>
  </si>
  <si>
    <t>ตารางสรุปค่าดำเนินการและค่าเสื่อมราคา</t>
  </si>
  <si>
    <t>รวมค่างาน (บาท)</t>
  </si>
  <si>
    <t>ปกติ</t>
  </si>
  <si>
    <t xml:space="preserve"> 1. วัสดุคัดเลือก ลูกรังรองพื้นทาง</t>
  </si>
  <si>
    <t xml:space="preserve">           ขุด-ขน</t>
  </si>
  <si>
    <t>ลบ.ม.(หลวม)</t>
  </si>
  <si>
    <t xml:space="preserve">           ผสม (ผสมกับวัสดุอื่น  ๆ)</t>
  </si>
  <si>
    <t>ลบ.ม.(แน่น)</t>
  </si>
  <si>
    <t xml:space="preserve">           บดทับ</t>
  </si>
  <si>
    <t xml:space="preserve"> 2. งานพื้นทาง (หินคลุก)</t>
  </si>
  <si>
    <t xml:space="preserve">           ผสม  (Blend)</t>
  </si>
  <si>
    <t xml:space="preserve"> 3. งานขุดรื้อคันทางเดิมแล้วบดทับ</t>
  </si>
  <si>
    <t xml:space="preserve">           ลูกรัง       10  ซม.</t>
  </si>
  <si>
    <t xml:space="preserve">           หินคลุก    10  ซม.</t>
  </si>
  <si>
    <t xml:space="preserve">           ผิว AC  5  ซม. (ขนทิ้ง)</t>
  </si>
  <si>
    <t xml:space="preserve"> 4. งานราดยางไพร์มโค้ท</t>
  </si>
  <si>
    <t xml:space="preserve"> 5. งานราดยางแทคโค้ท</t>
  </si>
  <si>
    <t xml:space="preserve"> 6. งานผิวทางแอสฟัลติกคอนกรีต</t>
  </si>
  <si>
    <t>ตัน</t>
  </si>
  <si>
    <t>7. ค่าแรงงาน  Cape Seal</t>
  </si>
  <si>
    <t xml:space="preserve">           Chip  Seal</t>
  </si>
  <si>
    <t>ตร.ม</t>
  </si>
  <si>
    <t xml:space="preserve">            Fog   Spray</t>
  </si>
  <si>
    <t xml:space="preserve">            Slurry  Seal</t>
  </si>
  <si>
    <t>FACTOR D</t>
  </si>
  <si>
    <t>ความหนา(มม.)</t>
  </si>
  <si>
    <t>Factor สำหรับงานบำรุงทาง (สำหรับงานซ่อมสร้างผิวลาดยาง)</t>
  </si>
  <si>
    <t>ตาราง FACTOR F งานทาง</t>
  </si>
  <si>
    <t>ระยะเวลาการเบิกจ่าย</t>
  </si>
  <si>
    <t xml:space="preserve">  เดือน</t>
  </si>
  <si>
    <t>คำนวนค่า Factor F</t>
  </si>
  <si>
    <t>ค่างาน(ทุน)</t>
  </si>
  <si>
    <t>เวลาทำการ</t>
  </si>
  <si>
    <t>ค่า</t>
  </si>
  <si>
    <t>ดอก</t>
  </si>
  <si>
    <t>กำไร</t>
  </si>
  <si>
    <t>รวมในรูป</t>
  </si>
  <si>
    <t xml:space="preserve">ภาษี </t>
  </si>
  <si>
    <t>ล้านบาท</t>
  </si>
  <si>
    <t>เดือน</t>
  </si>
  <si>
    <t>อำนวยการ</t>
  </si>
  <si>
    <t>เบี้ย</t>
  </si>
  <si>
    <t>Factor</t>
  </si>
  <si>
    <t>(ปกติ)</t>
  </si>
  <si>
    <t>รถบรรทุกสิบล้อ + รถลากพ่วง</t>
  </si>
  <si>
    <t>บาท/ตร.ม.</t>
  </si>
  <si>
    <t xml:space="preserve">  - ค่าวัสดุที่แหล่ง</t>
  </si>
  <si>
    <t xml:space="preserve">  - ค่าเสื่อมราคาขุดตัก</t>
  </si>
  <si>
    <t xml:space="preserve">  - ค่าขนส่ง</t>
  </si>
  <si>
    <t xml:space="preserve">  - ค่าเสื่อมราคาบดทับ</t>
  </si>
  <si>
    <t>แห่ง</t>
  </si>
  <si>
    <t>ราคาแอสฟัลติกที่เลือก</t>
  </si>
  <si>
    <t xml:space="preserve">   5.1.1 หลักแนวโค้ง ค.ส.ล.</t>
  </si>
  <si>
    <t xml:space="preserve">   5.1.2 หลักกิโลเมตร</t>
  </si>
  <si>
    <t xml:space="preserve">   5.2.1 ป้ายกำหนดน้ำหนักบรรทุก</t>
  </si>
  <si>
    <t xml:space="preserve">   5.2.2 ป้ายจราจรแบบ บ1.</t>
  </si>
  <si>
    <t xml:space="preserve">   5.2.3 ป้ายจราจรแบบ บ2.</t>
  </si>
  <si>
    <t xml:space="preserve">   5.2.4 ป้ายจราจร บ3 - บ55</t>
  </si>
  <si>
    <t>ปุ่ม</t>
  </si>
  <si>
    <t xml:space="preserve">   5.1.3 ป้ายจราจร</t>
  </si>
  <si>
    <t xml:space="preserve">   5.1.4 GUARD RAIL</t>
  </si>
  <si>
    <t>ยาง CSS-1</t>
  </si>
  <si>
    <t>ยาง AC 60-70</t>
  </si>
  <si>
    <t>ยาง CRS-2</t>
  </si>
  <si>
    <t>หิน3/4"</t>
  </si>
  <si>
    <t>หิน1/2"</t>
  </si>
  <si>
    <t>หิน3/8"</t>
  </si>
  <si>
    <t>หินผสมแอสฟัลต์</t>
  </si>
  <si>
    <t>ข้อมูลแหล่งวัสดุและระยะทางขนส่ง</t>
  </si>
  <si>
    <t>ใช้</t>
  </si>
  <si>
    <t>1.006 เมื่อปริมาณจราจรน้อยกว่า 1000 คัน/วัน</t>
  </si>
  <si>
    <t>1.013 เมื่อปริมาณจราจรมากกว่า 1000 คัน/วัน</t>
  </si>
  <si>
    <t xml:space="preserve"> 1 เมื่อใช้รถรถบรรทุก 10 ล้อ ในการขนส่งวัสดุ</t>
  </si>
  <si>
    <t>ดอกเบี้ยเงินกู้</t>
  </si>
  <si>
    <t>(งบประมาณ 100 %)</t>
  </si>
  <si>
    <t>ยอดยกไป</t>
  </si>
  <si>
    <t>ยอดยกมา</t>
  </si>
  <si>
    <t>ฝนตกชุก 1</t>
  </si>
  <si>
    <t xml:space="preserve">ฝนตกชุก 2 </t>
  </si>
  <si>
    <t>ฝนตกชุก 2</t>
  </si>
  <si>
    <t>ราคาน้ำมันโซล่า เฉลี่ย</t>
  </si>
  <si>
    <r>
      <t xml:space="preserve">ตารางค่าขนส่งค่าวัสดุก่อสร้าง </t>
    </r>
    <r>
      <rPr>
        <sz val="16"/>
        <color indexed="10"/>
        <rFont val="AngsanaUPC"/>
        <family val="1"/>
        <charset val="222"/>
      </rPr>
      <t xml:space="preserve"> รถบรรทุกสิบล้อ</t>
    </r>
  </si>
  <si>
    <r>
      <t xml:space="preserve">ตารางค่าขนส่งค่าวัสดุก่อสร้าง  </t>
    </r>
    <r>
      <rPr>
        <sz val="16"/>
        <color indexed="10"/>
        <rFont val="AngsanaUPC"/>
        <family val="1"/>
        <charset val="222"/>
      </rPr>
      <t>รถบรรทุกสิบล้อ + รถลากพ่วง</t>
    </r>
  </si>
  <si>
    <t xml:space="preserve">     งานปูลาดและบดทับผิว  AC หนา 5 ซม.</t>
  </si>
  <si>
    <t xml:space="preserve">     บนผิวไพร์มโค้ท</t>
  </si>
  <si>
    <t xml:space="preserve">     บนผิวแทคโค้ท</t>
  </si>
  <si>
    <t xml:space="preserve">     ค่าผสมวัสดุแอสฟัลติกคอนกรีต</t>
  </si>
  <si>
    <t xml:space="preserve"> 2 เมื่อใช้รถบรรทุก 10 ล้อ + รถลากพ่วง ในการขนส่งวัสดุ</t>
  </si>
  <si>
    <t xml:space="preserve">Factor F  </t>
  </si>
  <si>
    <t xml:space="preserve">Factor F </t>
  </si>
  <si>
    <t>8. Pavement In-Place Recycling</t>
  </si>
  <si>
    <t xml:space="preserve">           ขุดลึก 20 ซม.</t>
  </si>
  <si>
    <t>วัสดุคัดเลือก</t>
  </si>
  <si>
    <t>9. งานถางป่าขุดต่อ</t>
  </si>
  <si>
    <t xml:space="preserve">     ขนาดกลาง</t>
  </si>
  <si>
    <t>10.งานตัดแต่งขั้นบันได</t>
  </si>
  <si>
    <t xml:space="preserve">  - ค่าผสม</t>
  </si>
  <si>
    <t>สรุปประมาณราคาค่าบำรุงรักษาทาง</t>
  </si>
  <si>
    <t xml:space="preserve">ชื่อสายทาง   </t>
  </si>
  <si>
    <t xml:space="preserve">ชนิดผิวทาง   </t>
  </si>
  <si>
    <t xml:space="preserve">ถึง  กม. </t>
  </si>
  <si>
    <t>Factor  F</t>
  </si>
  <si>
    <t>รวมค่างานก่อสร้าง</t>
  </si>
  <si>
    <t xml:space="preserve">   หมายเหตุ</t>
  </si>
  <si>
    <t xml:space="preserve"> - เงินล่วงหน้าจ่าย </t>
  </si>
  <si>
    <t xml:space="preserve"> - ดอกเบี้ยเงินกู้      </t>
  </si>
  <si>
    <t xml:space="preserve"> - เงินประกันผลงานหัก </t>
  </si>
  <si>
    <t xml:space="preserve"> - พื้นที่</t>
  </si>
  <si>
    <t>สรุป</t>
  </si>
  <si>
    <t xml:space="preserve">ระยะทางดำเนินการ       </t>
  </si>
  <si>
    <t>เฉลี่ยราคา  กม.ละ</t>
  </si>
  <si>
    <t>11.งานดินตัด - ขึ้นรูปคันทาง</t>
  </si>
  <si>
    <t xml:space="preserve">     ดิน - ขุดตัด</t>
  </si>
  <si>
    <t>ลบ.ม (ปกติ)</t>
  </si>
  <si>
    <t>12. งานดินคันทาง</t>
  </si>
  <si>
    <t xml:space="preserve">     ขุด - ขน</t>
  </si>
  <si>
    <t xml:space="preserve">      บดทับ</t>
  </si>
  <si>
    <t>ดินถม</t>
  </si>
  <si>
    <t>1. งานวัสดุดินถม ( จากการขนส่ง )</t>
  </si>
  <si>
    <t>2. งานวัสดุคัดเลือก</t>
  </si>
  <si>
    <t>3. งานลูกรัง</t>
  </si>
  <si>
    <t>4. งานพื้นทาง</t>
  </si>
  <si>
    <t xml:space="preserve">        ขุดรื้อหินคลุก</t>
  </si>
  <si>
    <t xml:space="preserve">อัตราการใช้ยาง </t>
  </si>
  <si>
    <t>ลิตร/ตร.ม.</t>
  </si>
  <si>
    <t xml:space="preserve">        N  =  ค่างาน Pavement In-Place Recycling</t>
  </si>
  <si>
    <t xml:space="preserve">        A  =  ปริมาณยางแอสฟัลต์</t>
  </si>
  <si>
    <t xml:space="preserve"> ตัน/ตร.ม.</t>
  </si>
  <si>
    <t xml:space="preserve">        Y  =  ราคายางแอสฟัลต์บวกค่าขนส่ง</t>
  </si>
  <si>
    <t xml:space="preserve">        S  =  ปริมาณปูนซีเมนต์</t>
  </si>
  <si>
    <t xml:space="preserve">        C  =  ราคาปริมาณปูนซีเมนต์บวกค่าขนส่ง</t>
  </si>
  <si>
    <t>ม.</t>
  </si>
  <si>
    <t xml:space="preserve"> กก./ลบ.ม.</t>
  </si>
  <si>
    <t xml:space="preserve">  - ค่าปูนซีเมนต์ + ค่าขนส่ง                                                    </t>
  </si>
  <si>
    <t xml:space="preserve">  - ปริมาณปูนซีเมนต์ต่อตารางเมตร</t>
  </si>
  <si>
    <t xml:space="preserve">          รวมค่างาน Pavement In-Place Recycling</t>
  </si>
  <si>
    <t xml:space="preserve">        N  =   [ Operating Cost + AY + SC ]</t>
  </si>
  <si>
    <t>ซีเมนต์</t>
  </si>
  <si>
    <t xml:space="preserve">อัตราการยุบตัว  </t>
  </si>
  <si>
    <t>5. งานขุดซ่อมผิวทางเดิม (Deep  Patch)</t>
  </si>
  <si>
    <t xml:space="preserve">  - ค่าวัสดุ</t>
  </si>
  <si>
    <t xml:space="preserve">       รวมค่าวัสดุ</t>
  </si>
  <si>
    <t xml:space="preserve">  - ค่าดำเนินการและค่าเสื่อมราคางานขุดรื้อพื้นทางเดิมแล้วบดทับ</t>
  </si>
  <si>
    <t xml:space="preserve">                รวมค่าวัสดุและขนส่ง</t>
  </si>
  <si>
    <t xml:space="preserve">                รวมค่าวัสดุและค่าแรงเป็นเงิน</t>
  </si>
  <si>
    <t xml:space="preserve">               รวมค่าวัสดุและขนส่ง</t>
  </si>
  <si>
    <t xml:space="preserve">               รวมค่าวัสดุและค่าแรงเป็นเงิน</t>
  </si>
  <si>
    <t xml:space="preserve">  - ค่าวัสดุหินคลุก</t>
  </si>
  <si>
    <t xml:space="preserve">                รวมค่าวัสดุ</t>
  </si>
  <si>
    <t xml:space="preserve">  - Tack Coat</t>
  </si>
  <si>
    <t xml:space="preserve">  - Hot Mix</t>
  </si>
  <si>
    <t xml:space="preserve">  - ค่าดำเนินการและค่าเสื่อมราคางาน Tack Coat ปูลาดและบดทับ</t>
  </si>
  <si>
    <t xml:space="preserve">  - ราคายางจากโรงงาน</t>
  </si>
  <si>
    <t xml:space="preserve">                รวมค่ายาง</t>
  </si>
  <si>
    <t xml:space="preserve">        ความลึกในการขุดกัด                              =</t>
  </si>
  <si>
    <t xml:space="preserve">        Operating Cost                                  =</t>
  </si>
  <si>
    <t xml:space="preserve">        ปริมาณซีเมนต์ที่ใช้ (โดยน้ำหนัก)                  =</t>
  </si>
  <si>
    <t xml:space="preserve">        หน่วยน้ำหนักของวัสดุพื้นทางที่ขุดกัด             =</t>
  </si>
  <si>
    <t xml:space="preserve">   5.2.13 ป้ายจราจรแบบ ต71 - ต73</t>
  </si>
  <si>
    <t xml:space="preserve">   5.2.14 ป้ายจราจรแบบ ต74</t>
  </si>
  <si>
    <t xml:space="preserve">   5.2.15 ป้ายจราจรแบบ ต76</t>
  </si>
  <si>
    <t xml:space="preserve">   5.2.16 ป้ายจราจรแบบ ต77</t>
  </si>
  <si>
    <t xml:space="preserve">   5.2.17 ป้ายจราจรแบบ ต78</t>
  </si>
  <si>
    <t xml:space="preserve">   5.2.18 ป้ายจราจรแบบ น1</t>
  </si>
  <si>
    <t xml:space="preserve">   5.2.19 ป้ายจราจรแบบ น2 ( 1 แผ่นป้าย )</t>
  </si>
  <si>
    <t xml:space="preserve">   5.2.20 ป้ายจราจรแบบ น2 ( 2 แผ่นป้าย )</t>
  </si>
  <si>
    <t xml:space="preserve">   5.2.21 ป้ายจราจรแบบ น2 ( 3 แผ่นป้าย )</t>
  </si>
  <si>
    <t xml:space="preserve">   5.2.22 ป้ายจราจรแบบ น3</t>
  </si>
  <si>
    <t xml:space="preserve">   5.2.23 ป้ายจราจรแบบ น4</t>
  </si>
  <si>
    <t xml:space="preserve">   5.2.24 ป้ายจราจรแบบ น5</t>
  </si>
  <si>
    <t xml:space="preserve">7. งานปะซ่อมผิวทางเดิม (Skin Patch) </t>
  </si>
  <si>
    <t>8. งานไพร์มโค้ท</t>
  </si>
  <si>
    <t>9. งานเทคโค้ท</t>
  </si>
  <si>
    <t>10. งาน Pavement In-Place Recycling</t>
  </si>
  <si>
    <t xml:space="preserve">   10.1 สูตรค่างาน Pavement In-Place Recycling </t>
  </si>
  <si>
    <t xml:space="preserve">  10.2 ข้อมูลประกอบการคิดค่างาน</t>
  </si>
  <si>
    <t xml:space="preserve">11. งานผิวทางแอสฟัลติคคอนกรีต  </t>
  </si>
  <si>
    <t xml:space="preserve">   5.2.29 ป้ายจราจรแบบ </t>
  </si>
  <si>
    <t xml:space="preserve">   5.2.30 ป้ายจราจรแบบ </t>
  </si>
  <si>
    <t xml:space="preserve">   5.2.31 ป้ายจราจรแบบ </t>
  </si>
  <si>
    <t xml:space="preserve">          ค่างาน Pavement In-Place Recycling</t>
  </si>
  <si>
    <t xml:space="preserve">  - ค่าเสื่อมราคาบดทับหินคลุกปรับระดับ</t>
  </si>
  <si>
    <t xml:space="preserve"> - ปริมาณงาน Asphalt Concrete ทั้งโครงการ</t>
  </si>
  <si>
    <t xml:space="preserve"> - ค่าติดตั้งเครื่องผสม = 250,000</t>
  </si>
  <si>
    <t xml:space="preserve">   (ยางAC + ค่าขนส่ง) x 0.052</t>
  </si>
  <si>
    <t xml:space="preserve">   (หินผสม + ค่าขนส่ง) x 0.74</t>
  </si>
  <si>
    <t xml:space="preserve">  - ค่าดำเนินการ + ค่าเสื่อมผสมแอสฟัลติกคอนกรีต</t>
  </si>
  <si>
    <t xml:space="preserve"> - ค่าขนส่งแอสฟัลติกคอนกรีตในสายทาง ระยะทาง </t>
  </si>
  <si>
    <t xml:space="preserve">   ค่าใช้จ่ายรวม    </t>
  </si>
  <si>
    <t xml:space="preserve">   ค่างานต้นทุน</t>
  </si>
  <si>
    <t xml:space="preserve"> ซม.                (</t>
  </si>
  <si>
    <t xml:space="preserve"> 11.1 กรณีปริมาณงานน้อยกว่าหรือเท่ากับ 10,000 ตัน</t>
  </si>
  <si>
    <t xml:space="preserve"> 11.2 กรณีปริมาณงานมากกว่า 10,000 ตัน</t>
  </si>
  <si>
    <t xml:space="preserve">        ขุดรื้อรองพื้นทาง(ลูกรัง)</t>
  </si>
  <si>
    <t xml:space="preserve">  - ค่าดำเนินการ,ค่าเสื่อมราคาผสมและบดทับ (หินคลุกใหม่)</t>
  </si>
  <si>
    <t xml:space="preserve">  - ค่าดำเนินการ,ค่าเสื่อมราคาผสมและบดทับรองพื้นทาง(หินคลุกเดิม+หินคลุกใหม่)</t>
  </si>
  <si>
    <t xml:space="preserve">   5.2.7 ป้ายจราจร ต61</t>
  </si>
  <si>
    <t xml:space="preserve">   5.2.9 ป้ายจราจรแบบ ต64,ต67</t>
  </si>
  <si>
    <t xml:space="preserve">   5.2.10 ป้ายจราจรแบบ ต65,ต68</t>
  </si>
  <si>
    <t xml:space="preserve">   5.2.11 ป้ายจราจรแบบ ต69</t>
  </si>
  <si>
    <t xml:space="preserve">   5.2.12 ป้ายจราจรแบบ ต70</t>
  </si>
  <si>
    <t xml:space="preserve">   5.2.6 ป้ายจราจร ต28-ต30,ต57,ต62</t>
  </si>
  <si>
    <t xml:space="preserve"> - ค่าขนส่งอุปกรณ์ 80 ตัน ระยะทางขนส่ง 100 กม.</t>
  </si>
  <si>
    <t>ฝนตกชุก 1*</t>
  </si>
  <si>
    <t>ฝนตกชุก 2**</t>
  </si>
  <si>
    <t>ราคากลาง (บาท)</t>
  </si>
  <si>
    <t>ราคาต่อหน่วย</t>
  </si>
  <si>
    <t>แบบที่ 9</t>
  </si>
  <si>
    <t xml:space="preserve">  =</t>
  </si>
  <si>
    <t>คิดเป็นราคาค่าก่อสร้าง</t>
  </si>
  <si>
    <t>รวมเป็นราคาค่าก่อสร้างประมาณ</t>
  </si>
  <si>
    <t>คิดเป็นราคากลาง</t>
  </si>
  <si>
    <t>รูปแบบที่ 2</t>
  </si>
  <si>
    <t xml:space="preserve">   5.2.32 ป้ายจราจรแบบ </t>
  </si>
  <si>
    <t xml:space="preserve">   5.2.33 หลักแนวโค้ง ค.ส.ล.</t>
  </si>
  <si>
    <t xml:space="preserve">   5.2.34 หลักกิโลเมตร</t>
  </si>
  <si>
    <t xml:space="preserve">   5.2.35 หลักเขตทาง</t>
  </si>
  <si>
    <t xml:space="preserve">   5.2.36 หลักนำทาง</t>
  </si>
  <si>
    <t xml:space="preserve">   5.2.37 Guard  Rail บริเวณทางโค้งหรือคอสะพาน</t>
  </si>
  <si>
    <t xml:space="preserve">   5.2.38 Guard  Rail บริเวณทางตรง</t>
  </si>
  <si>
    <t xml:space="preserve">   5.2.39 ตีเส้นทางรถไฟตัดผ่าน</t>
  </si>
  <si>
    <t xml:space="preserve">   5.2.40 ติดตั้งปุ่มสะท้อนแสง ( 2 หน้า )</t>
  </si>
  <si>
    <t xml:space="preserve">   5.2.41 ติดตั้งสัญญาณไฟกระพริบ</t>
  </si>
  <si>
    <t xml:space="preserve">   5.2.42 ปรับปรุงสะพาน คสล</t>
  </si>
  <si>
    <t xml:space="preserve">   5.2.44 Timber Barricade</t>
  </si>
  <si>
    <t xml:space="preserve">   5.2.43 ป้ายจราจรระหว่างการก่อสร้าง</t>
  </si>
  <si>
    <t>129..04</t>
  </si>
  <si>
    <t>424..00</t>
  </si>
  <si>
    <t>67.49.</t>
  </si>
  <si>
    <t>278..90</t>
  </si>
  <si>
    <t xml:space="preserve"> 12.1 กรณีปริมาณงานน้อยกว่าหรือเท่ากับ 10,000 ตัน</t>
  </si>
  <si>
    <t xml:space="preserve"> 12.2 กรณีปริมาณงานมากกว่า 10,000 ตัน</t>
  </si>
  <si>
    <t xml:space="preserve">12. งานผิวทางพาราแอสฟัลติคคอนกรีต  </t>
  </si>
  <si>
    <t xml:space="preserve">   (ยาง PARA AC + ค่าขนส่ง) x 0.052</t>
  </si>
  <si>
    <t xml:space="preserve">  - ค่าดำเนินการ + ค่าเสื่อมผสมแอสฟัลติกคอนกรีต x 1.10</t>
  </si>
  <si>
    <t>SOLAR STREET LED-LIGHT สูง 6 เมตร</t>
  </si>
  <si>
    <t>โคมไฟ LED ขนาดไม่น้อยกว่า 30 W</t>
  </si>
  <si>
    <t>LED Chip Life Span 50,000 ชั่วโมง</t>
  </si>
  <si>
    <t>แผงโซล่าเซลล์ แบบ Polycrystalline 12 V 60W</t>
  </si>
  <si>
    <t>แบตเตอรี่ชนิด Lithum-lon 12 V 30 AH</t>
  </si>
  <si>
    <t>มุมกระจายแสง 120 องศา</t>
  </si>
  <si>
    <t>ได้มาตราฐาน IP65</t>
  </si>
  <si>
    <t>ติดตั้งในเสาไฟสูง 6 เมตร ศก.4" สูง 6 ม.</t>
  </si>
  <si>
    <t>ฐานคอนกรีต คสล.</t>
  </si>
  <si>
    <t>ต.แม่กา อ.เมือง จ.พะเยา</t>
  </si>
  <si>
    <t>ที่แหล่งหน้างาน จ.พะเยา</t>
  </si>
  <si>
    <t>กรุงเทพฯ</t>
  </si>
  <si>
    <t>ป้ายโครงการ</t>
  </si>
  <si>
    <t>ตารางเมตร</t>
  </si>
  <si>
    <t>ยาง PARA AC</t>
  </si>
  <si>
    <t>,ต31-ต56,ต56-ต60,ต75</t>
  </si>
  <si>
    <t>องค์การบริหารส่วนจังหวัดพะเยา</t>
  </si>
  <si>
    <t>.</t>
  </si>
  <si>
    <t>รายละเอียดตามประมาณการและแบบแปลนของ องค์การบริหารส่วนจังหวัดพะเยา</t>
  </si>
  <si>
    <t>(นายณฐพงศ์   มหาวัน  )</t>
  </si>
  <si>
    <t>วิศวกรโยธาชำนาญการ</t>
  </si>
  <si>
    <t>(นายธานินทร์   สักลอ  )</t>
  </si>
  <si>
    <t>หัวหน้าฝ่ายสำรวจและออกแบบ</t>
  </si>
  <si>
    <t>STA</t>
  </si>
  <si>
    <t>ทางเท้าซ้าย</t>
  </si>
  <si>
    <t>ผิวจราจรซ้าย</t>
  </si>
  <si>
    <t>เกาะกลาง</t>
  </si>
  <si>
    <t>ผิวจราจรขวา</t>
  </si>
  <si>
    <t>ทางเท้าขวา</t>
  </si>
  <si>
    <t>พะเยาซีเมนต์บล็อค</t>
  </si>
  <si>
    <t xml:space="preserve"> 7-11</t>
  </si>
  <si>
    <t>ที่ว่าการอำเภอเมือง หน้า วพ.พะเยา</t>
  </si>
  <si>
    <t>โรงจอดรถที่ว่าการอำเภอเมือง หน้า วพ.พะเยา</t>
  </si>
  <si>
    <t>ตู้ ATM ศาลาพักผู้โดยสาร</t>
  </si>
  <si>
    <t>สะพานลอย</t>
  </si>
  <si>
    <t>ป้ายศูนย์ฯ ตึก รพ.พะเยา</t>
  </si>
  <si>
    <t>ประตูกาดต้นสัก ป้าย รพ.พะเยา</t>
  </si>
  <si>
    <t>ป้าย อบจ. รพ.พะเยา</t>
  </si>
  <si>
    <t>กาดต้นสัก รพ.พะเยา</t>
  </si>
  <si>
    <t>ไปรษณีย์ ประตูออก รพ.พะเยา</t>
  </si>
  <si>
    <t>ประตูข้างกาชาด ตึกสูง รพ.พย.</t>
  </si>
  <si>
    <t>สนง.กาชาด ตึกสูง รพ. พย.</t>
  </si>
  <si>
    <t>ร้านข้าวเส้น ข้าวซอย รพ.พะเยา</t>
  </si>
  <si>
    <t>ซอยชฏาธาร ทางน้ำข้ามถนน</t>
  </si>
  <si>
    <t>แขวง เจริญภัณฑ์ค้าส่ง</t>
  </si>
  <si>
    <t>โรงน้ำแข็ง</t>
  </si>
  <si>
    <t>คลีนิคหมอเดชาธร</t>
  </si>
  <si>
    <t>โบสถ์คริสต์</t>
  </si>
  <si>
    <t>ประตูโบสถ์คริสต์</t>
  </si>
  <si>
    <t>ร้านรองเท้ามือ 2</t>
  </si>
  <si>
    <t>ตึกแถวโรงแรมอันเจริญ</t>
  </si>
  <si>
    <t>ตึกแถว So good</t>
  </si>
  <si>
    <t>ฮิมกว๊าน คาร์แคร์ อู่</t>
  </si>
  <si>
    <t>โรงแรม m2</t>
  </si>
  <si>
    <t>ธารธารา ร้านหมอฟัน</t>
  </si>
  <si>
    <t>1.2 งานรื้อคันหินเดิม(ขนทิ้ง)</t>
  </si>
  <si>
    <t>พื้นที่ ผิวลาดยาง</t>
  </si>
  <si>
    <t>กว้างทางเท้า</t>
  </si>
  <si>
    <t>พื้นที่ทางเท้าเฉลี่ย</t>
  </si>
  <si>
    <t>กว้างทางเท้าเฉลี่ย</t>
  </si>
  <si>
    <t>บ่อ</t>
  </si>
  <si>
    <t>ประมาณการค่าก่อสร้าง</t>
  </si>
  <si>
    <r>
      <t>ประมาณราคาค่าก่อสร้าง</t>
    </r>
    <r>
      <rPr>
        <sz val="14"/>
        <rFont val="Cordia New"/>
        <family val="2"/>
      </rPr>
      <t xml:space="preserve">  </t>
    </r>
  </si>
  <si>
    <t xml:space="preserve">เจ้าของโครงการ </t>
  </si>
  <si>
    <t>สถานที่ก่อสร้าง</t>
  </si>
  <si>
    <t>องค์การบริหารส่วนจังหวัดพะเยา ต.บ้านต๋อม อ.เมือง จ.พะเยา</t>
  </si>
  <si>
    <t>แบบเลขที่</t>
  </si>
  <si>
    <t>ตามแบบขององค์การบริหารส่วนจังหวัดพะเยา</t>
  </si>
  <si>
    <t>ประมาณราคาเมื่อวันที่</t>
  </si>
  <si>
    <t xml:space="preserve">   พฤษภาคม 2566</t>
  </si>
  <si>
    <t>ลำดับ</t>
  </si>
  <si>
    <t xml:space="preserve">      ราคาวัสดุสิ่งของ</t>
  </si>
  <si>
    <t xml:space="preserve">           ค่าแรงงาน</t>
  </si>
  <si>
    <t>ค่าวัสดุและ</t>
  </si>
  <si>
    <t>ราคา/หน่วย</t>
  </si>
  <si>
    <t>แรงงาน</t>
  </si>
  <si>
    <t>งานโครงสร้าง</t>
  </si>
  <si>
    <t>งานคอนกรีต 1 : 2: 4</t>
  </si>
  <si>
    <t>งานไม้เแบบ</t>
  </si>
  <si>
    <t>.-  ไม้แบบคิด 50%</t>
  </si>
  <si>
    <t>ลบ.ฟ.</t>
  </si>
  <si>
    <t>.-  ไม้เคร่า</t>
  </si>
  <si>
    <t>.-  ตะปู</t>
  </si>
  <si>
    <t>กก.</t>
  </si>
  <si>
    <t>ท่อน</t>
  </si>
  <si>
    <t>ลวดเชื่อม,ใบตัด</t>
  </si>
  <si>
    <t>เหมา</t>
  </si>
  <si>
    <t>สีกันสนิม</t>
  </si>
  <si>
    <t>รวมค่าวัสดุ</t>
  </si>
  <si>
    <t>ขอบบ่อพัก</t>
  </si>
  <si>
    <t>ฝาตะแกรง</t>
  </si>
  <si>
    <t>เหล็กฉาก 75x75 x6 mm.</t>
  </si>
  <si>
    <t>เหล็ก แบน 3"หนา  9 มม.</t>
  </si>
  <si>
    <t>งานก่อสร้างทางเท้า+บ่อพักน้ำ</t>
  </si>
  <si>
    <t>งานอื่นๆ</t>
  </si>
  <si>
    <t>3.1 ดินถมบดอัดแน่น</t>
  </si>
  <si>
    <t>3.2 ทรายรองพื้นบดอัดแน่น</t>
  </si>
  <si>
    <t>แบบสรุปข้อมูลวัสดุ และค่าดำเนินการ  งานก่อสร้างทาง  สะพาน  และท่อเหลี่ยม</t>
  </si>
  <si>
    <t>ชื่อโครงการก่อสร้าง</t>
  </si>
  <si>
    <t>หน่วยงานเจ้าของโครงการ</t>
  </si>
  <si>
    <t>อยู่ในท้องที่จังหวัด</t>
  </si>
  <si>
    <t>พะเยา</t>
  </si>
  <si>
    <t>เขตฝนตก</t>
  </si>
  <si>
    <t>ราคาน้ำมันโซล่า</t>
  </si>
  <si>
    <t>บาท /ลิตร</t>
  </si>
  <si>
    <t>เงินประกันผลงานหัก</t>
  </si>
  <si>
    <t>ค่าภาษีมูลค่าเพิ่ม (VAT)</t>
  </si>
  <si>
    <t>คำนวณราคากลางเมื่อวันที่</t>
  </si>
  <si>
    <t>ลำดับที่</t>
  </si>
  <si>
    <t>ชนิดของวัสดุ</t>
  </si>
  <si>
    <t xml:space="preserve">ค่าวัสดุ </t>
  </si>
  <si>
    <t xml:space="preserve">ระยะขนส่ง </t>
  </si>
  <si>
    <t xml:space="preserve">ค่าขนส่ง </t>
  </si>
  <si>
    <t xml:space="preserve">ค่าขนขึ้นลง </t>
  </si>
  <si>
    <t>ค่าตัด / ดัด</t>
  </si>
  <si>
    <t xml:space="preserve">รวม </t>
  </si>
  <si>
    <t>ขนส่งด้วยรถบรรทุก</t>
  </si>
  <si>
    <t>(กม.)</t>
  </si>
  <si>
    <t>การอ้างอิงราคา หรือ แหล่งวัสดุ</t>
  </si>
  <si>
    <t>เหล็ก  RB  ø  6  มม.</t>
  </si>
  <si>
    <t>บ./ตัน</t>
  </si>
  <si>
    <t>รถบรรทุก 10 ล้อ + ลากพ่วง</t>
  </si>
  <si>
    <t>จาก พาณิชย์ จ.พะเยา</t>
  </si>
  <si>
    <t>เหล็ก  RB  ø  9  มม.</t>
  </si>
  <si>
    <t>เหล็ก  RB  ø  19  มม.</t>
  </si>
  <si>
    <t>เหล็ก  DB  ø  12  มม. SD40</t>
  </si>
  <si>
    <t xml:space="preserve">Wire Mesh  ø 4 มม. </t>
  </si>
  <si>
    <t>บ./ตร.ม.</t>
  </si>
  <si>
    <t>รถบรรทุก 10 ล้อ</t>
  </si>
  <si>
    <t>สืบราคา</t>
  </si>
  <si>
    <t xml:space="preserve"> @ 0.10 x 0.30m.#</t>
  </si>
  <si>
    <t>ร้านเชียงรายตะแกรงเหล็ก</t>
  </si>
  <si>
    <t>ลวดผูกเหล็ก</t>
  </si>
  <si>
    <t>บ./กก.</t>
  </si>
  <si>
    <t xml:space="preserve">คอนกรีตผสมเสร็จ </t>
  </si>
  <si>
    <t>St. 240 ksc. (cube)</t>
  </si>
  <si>
    <t>หินคลุก</t>
  </si>
  <si>
    <t>บ./ลบ.ม.</t>
  </si>
  <si>
    <t>หินย่อยผสมคอนกรีต</t>
  </si>
  <si>
    <t>ทรายผสมคอนกรีต</t>
  </si>
  <si>
    <t>ทรายหยาบ</t>
  </si>
  <si>
    <t>จาก แหล่ง อ.เชียงคำ จ.พะเยา</t>
  </si>
  <si>
    <t xml:space="preserve">ไม้กระบาก   1" x 8" </t>
  </si>
  <si>
    <t xml:space="preserve">ไม้คร่าว   1 1"/2 x 3"      </t>
  </si>
  <si>
    <t>ไม้ค้ำยัน  ø  3" x 3.00  ม.</t>
  </si>
  <si>
    <t>ต้น</t>
  </si>
  <si>
    <t>เหล็กฉาก  L 50 x 50 x 4  มม.</t>
  </si>
  <si>
    <t>ท่อพีวีซีØ2" ชั้น 8.5 ยาว 4 เมตร</t>
  </si>
  <si>
    <t>ท่อกลมขนาด  ø  0.40 ม. ชั้น 3</t>
  </si>
  <si>
    <t>ท่อกลมขนาด  ø  0.60 ม. ชั้น 3</t>
  </si>
  <si>
    <t>แผ่นพื้นสำเร็จรูป ยาว 3 เมตร</t>
  </si>
  <si>
    <t>ตะปู ขนาด 3"</t>
  </si>
  <si>
    <t>ไม้แบบ</t>
  </si>
  <si>
    <r>
      <t xml:space="preserve">ไม้แบบสำหรับงานทั่วไป </t>
    </r>
    <r>
      <rPr>
        <sz val="14"/>
        <rFont val="TH SarabunPSK"/>
        <family val="2"/>
      </rPr>
      <t>=  ไม้แบบ (1) พื้นที่ 1 ตารางเมตร</t>
    </r>
  </si>
  <si>
    <t>คิดจากพื้นที่</t>
  </si>
  <si>
    <t>ไม้กระบากหรือไม้ยางหรือเทียบเท่า</t>
  </si>
  <si>
    <t>ลบ.ฟ. @</t>
  </si>
  <si>
    <t>ไม้คร่าว</t>
  </si>
  <si>
    <t xml:space="preserve">ไม้ค้ำยันแบบ </t>
  </si>
  <si>
    <t>ต้น @</t>
  </si>
  <si>
    <t xml:space="preserve">ตะปู   </t>
  </si>
  <si>
    <t>กก. @</t>
  </si>
  <si>
    <t>เนื่องจากใช้งานได้ 4 ครั้ง คิดจาก</t>
  </si>
  <si>
    <t>/</t>
  </si>
  <si>
    <t>น้ำมันทาผิวไม้</t>
  </si>
  <si>
    <r>
      <t xml:space="preserve">ไม้แบบสำหรับงานอย่างง่าย </t>
    </r>
    <r>
      <rPr>
        <sz val="14"/>
        <rFont val="TH SarabunPSK"/>
        <family val="2"/>
      </rPr>
      <t>=  ไม้แบบ (2) พื้นที่ 1 ตารางเมตร</t>
    </r>
  </si>
  <si>
    <t>เนื่องจากใช้งานได้ 5 ครั้ง คิดจาก</t>
  </si>
  <si>
    <t>รายละเอียดการคำนวณค่างานต้นทุนต่อหน่วย  งานก่อสร้างทาง สะพาน และท่อเหลี่ยม</t>
  </si>
  <si>
    <t>ชื่อโครงการ</t>
  </si>
  <si>
    <t>สถานที่</t>
  </si>
  <si>
    <t>หน่วยงานรับผิดชอบ</t>
  </si>
  <si>
    <t xml:space="preserve">    </t>
  </si>
  <si>
    <t>กำหนดราคากลางเมื่อ</t>
  </si>
  <si>
    <t>*ราคาน้ำมันดีเซล บาท/ลิตร</t>
  </si>
  <si>
    <t>งานถางป่าขุดตอ</t>
  </si>
  <si>
    <t>ค่าดำเนินการ + ค่าเสื่อมราคา (ขนาดเบา)</t>
  </si>
  <si>
    <t>บาท / ตร.ม.</t>
  </si>
  <si>
    <t>ค่างานต้นทุน</t>
  </si>
  <si>
    <t xml:space="preserve">งานพื้นทางหินคลุก (Crushed Rock Soil Aggregate  Type Base)  </t>
  </si>
  <si>
    <t>ค่าวัสดุจากปากโม่(รวมค่าตัก)</t>
  </si>
  <si>
    <t xml:space="preserve">ส่วนยุบตัว  </t>
  </si>
  <si>
    <t>x</t>
  </si>
  <si>
    <t>ค่าดำเนินการ + ค่าเสื่อมราคา (ผสม)</t>
  </si>
  <si>
    <t>ค่าดำเนินการ + ค่าเสื่อมราคา (บดทับ )</t>
  </si>
  <si>
    <t>ค่าใช้จ่ายรวม</t>
  </si>
  <si>
    <t>งานทรายรองใต้ผิวทางคอนกรีต  (Sand  Cushion  Under  Concrete  Pavement)</t>
  </si>
  <si>
    <t>ค่าวัสดุจากแหล่ง (ทรายคอนกรีต)</t>
  </si>
  <si>
    <t>ค่าดำเนินการ + ค่าเสื่อมราคา (บดทับ  75 % ) (งานดินคันทาง:บดทับ)</t>
  </si>
  <si>
    <t xml:space="preserve">งานไหล่ทางลูกรังปรับเกลี่ย (Soil Aggregate  Shoulder)  </t>
  </si>
  <si>
    <t>2/3</t>
  </si>
  <si>
    <t>ค่าวัสดุจากแหล่ง</t>
  </si>
  <si>
    <t>ค่าขนส่ง (รถ 6 ล้อ)</t>
  </si>
  <si>
    <t>ค่าดำเนินการ + ค่าเสื่อมราคา ( ขุด - ขน )</t>
  </si>
  <si>
    <t>ค่าดำเนินการปรับเกลี่ยด้วยแรงคน</t>
  </si>
  <si>
    <t>ผิวทางปอร์ตแลนด์ซีเมนต์คอนกรีต  (Portland  Cement  Concrete  Pavement)</t>
  </si>
  <si>
    <t>หนา</t>
  </si>
  <si>
    <t>ซม.</t>
  </si>
  <si>
    <t>ขนาดกว้าง</t>
  </si>
  <si>
    <t>ยาว</t>
  </si>
  <si>
    <t>ปริมาณงานทั้งโครงการ</t>
  </si>
  <si>
    <t xml:space="preserve">ค่าติดตั้งเครื่องผสม  =  </t>
  </si>
  <si>
    <t>กรณีที่ปริมาณงานทั้งโครงการน้อยกว่า 5,000 ลบ.ม. ให้ใช้ปริมาณงาน 5,000 ลบ.ม.</t>
  </si>
  <si>
    <t>ค่าคอนกรีต + ค่าติดตั้งเครื่องผสม</t>
  </si>
  <si>
    <t>+</t>
  </si>
  <si>
    <t>(กำหนดให้ใช้คอนกรีตผสมเสร็จ St. 240 ksc. (cube)</t>
  </si>
  <si>
    <t xml:space="preserve"> ตร.ม.</t>
  </si>
  <si>
    <t>ปริมาตรคอนกรีต</t>
  </si>
  <si>
    <t>@</t>
  </si>
  <si>
    <t>ค่าขนส่งคอนกรีต................กม. (ปกติคิดให้ L/4) (งานผิวทางคอนกรีต : ค่าขนส่งคอนกรีต)</t>
  </si>
  <si>
    <t>ค่าตะแกรงเหล็ก</t>
  </si>
  <si>
    <t>ค่าวางตะแกรงเหล็ก</t>
  </si>
  <si>
    <t>ค่าแบบเหล็ก (ค่าแบบข้างติดตามยาว 2 ข้าง)</t>
  </si>
  <si>
    <t>ค่าปูผิวคอนกรีต  (ค่าปูผิวคอนกรีต)</t>
  </si>
  <si>
    <t>ค่าบ่ม (ค่าบ่มผิวทางคอนกรีต)</t>
  </si>
  <si>
    <t>ค่าขัดหยาบ</t>
  </si>
  <si>
    <t>รอยต่อเผื่อขยายตามขวาง  Expantion  Joint)</t>
  </si>
  <si>
    <t>3/3</t>
  </si>
  <si>
    <t>คิดจากความยาว</t>
  </si>
  <si>
    <t xml:space="preserve"> ม.</t>
  </si>
  <si>
    <t>ค่าเหล็ก Dowel Bar</t>
  </si>
  <si>
    <t>บาท/กก.</t>
  </si>
  <si>
    <t>Metalcap+ทาสี+จาระบี</t>
  </si>
  <si>
    <t>JOINT FILLER</t>
  </si>
  <si>
    <t>JOINT SEALER</t>
  </si>
  <si>
    <t>ลิตร</t>
  </si>
  <si>
    <t xml:space="preserve">ค่าหยอดยาง </t>
  </si>
  <si>
    <t>แผ่นพลาสติก</t>
  </si>
  <si>
    <t>บาท/เมตร</t>
  </si>
  <si>
    <t>รอยต่อเผื่อหดตามขวาง  (Contraction  Joint)</t>
  </si>
  <si>
    <t>ค่าตัด Joint และหยอดยาง</t>
  </si>
  <si>
    <t>ทาสี + จาระบี</t>
  </si>
  <si>
    <t>งานท่อกลมคอนกรีตเสริมเหล็ก (R.C.Pipe Curverts) ขนาด Ø 0.40 ม.</t>
  </si>
  <si>
    <t>4/4</t>
  </si>
  <si>
    <t>ขุดดิน</t>
  </si>
  <si>
    <t xml:space="preserve">ลบ.ม. </t>
  </si>
  <si>
    <t>บาท/ม.</t>
  </si>
  <si>
    <t>ค่าแผ่นพื้นสำเร็จรูป</t>
  </si>
  <si>
    <t>ค่าท่อ</t>
  </si>
  <si>
    <t>ทรายถม</t>
  </si>
  <si>
    <t>ค่าขนส่งคิดจากการขนโดยรถบรรทุก 10 ล้อ เที่ยวละ 13 ตัน</t>
  </si>
  <si>
    <t>ค่าขนท่อขึ้น - ลง คิดเที่ยวละ 300 บาท</t>
  </si>
  <si>
    <t>ค่าขนส่ง</t>
  </si>
  <si>
    <t>กม.= (</t>
  </si>
  <si>
    <t>X13)</t>
  </si>
  <si>
    <t>+300</t>
  </si>
  <si>
    <t>บาท/เที่ยวค่าขนส่ง</t>
  </si>
  <si>
    <t>ค่าขนส่งเฉลี่ย</t>
  </si>
  <si>
    <t>/ 32</t>
  </si>
  <si>
    <t>ค่าวาง และกลบกลับ = 140  บาท/ม.</t>
  </si>
  <si>
    <t>งานท่อกลมคอนกรีตเสริมเหล็ก (R.C.Pipe Curverts) ขนาด Ø 0.60 ม.</t>
  </si>
  <si>
    <t>/ 24</t>
  </si>
  <si>
    <t>ค่าวาง และกลบกลับ = 345  บาท/ม.</t>
  </si>
  <si>
    <t>งานบ่อพักคอนกรีตเสริมเหล็ก (R.C.MANHOLE) ขนาด 1.10x1.10 ม. หนา 0.15 ม. สูงเฉลี่ย 1.60 ม. ฝาบ่อคสล.หนา 0.15 ม.</t>
  </si>
  <si>
    <t>งานขุดดินด้วยเครื่องจักร</t>
  </si>
  <si>
    <t>คอนกรีตหยาบ 1:3:5</t>
  </si>
  <si>
    <t>คอนกรีต ค.2 240 ksc.</t>
  </si>
  <si>
    <t>เหล็กเสริม RB 9 มม. @0.20#</t>
  </si>
  <si>
    <t>ไม้แบบ (ไม้แบบทั่วไป)</t>
  </si>
  <si>
    <t>เหล็กฉาก 50x50x4 มม.</t>
  </si>
  <si>
    <t>บาท/ท่อน</t>
  </si>
  <si>
    <t>ท่อพีวีซี 2 นิ้ว ชั้น 8.5</t>
  </si>
  <si>
    <t>ค่างานต้นทุนบ่อพัก จำนวน 1 บ่อ</t>
  </si>
  <si>
    <t>รางวี ค.ส.ล. ขนาด 0.60x1.00 เมตร หนา 0.15 เมตร</t>
  </si>
  <si>
    <t>คอนกรีต  280 ksc.</t>
  </si>
  <si>
    <t xml:space="preserve">เหล็กเสริม RB 6 มม. </t>
  </si>
  <si>
    <t>เหล็กเสริม RB 9 มม</t>
  </si>
  <si>
    <t xml:space="preserve">เหล็ก  DB 12 mm. </t>
  </si>
  <si>
    <t>Joint Sealer</t>
  </si>
  <si>
    <t>ค่างานต้นทุนรางวี ค.ส.ล.  จำนวน 1 เมตร</t>
  </si>
  <si>
    <t>งานดินถมบดอัดแน่น</t>
  </si>
  <si>
    <t>3.3 งานเทคอนกรีตทางเท้าหนา 0.10 ม.</t>
  </si>
  <si>
    <t>3.4 งานผิวทางเท้าคอนกรีตพิมพ์ลาย</t>
  </si>
  <si>
    <t>กว้างผิวจราจรซ้าย</t>
  </si>
  <si>
    <t>กว้างผิวจราจรซ้าย(เฉลี่ย)</t>
  </si>
  <si>
    <t>พื้นที่</t>
  </si>
  <si>
    <t>กว้างผิวจราจรขวา</t>
  </si>
  <si>
    <t>กว้างผิวจราจรขวา(ฉลี่ย)</t>
  </si>
  <si>
    <t>รวมผิวจราจรเดิม</t>
  </si>
  <si>
    <t>ผิว U-turn</t>
  </si>
  <si>
    <r>
      <t>ประเภทงาน</t>
    </r>
    <r>
      <rPr>
        <sz val="14"/>
        <rFont val="AngsanaUPC"/>
        <family val="1"/>
        <charset val="222"/>
      </rPr>
      <t xml:space="preserve">            </t>
    </r>
  </si>
  <si>
    <r>
      <t>เจ้าของโครงการ</t>
    </r>
    <r>
      <rPr>
        <sz val="14"/>
        <rFont val="AngsanaUPC"/>
        <family val="1"/>
        <charset val="222"/>
      </rPr>
      <t xml:space="preserve">       </t>
    </r>
  </si>
  <si>
    <r>
      <t>รหัสสายทาง</t>
    </r>
    <r>
      <rPr>
        <sz val="14"/>
        <rFont val="AngsanaUPC"/>
        <family val="1"/>
        <charset val="222"/>
      </rPr>
      <t xml:space="preserve">                              </t>
    </r>
  </si>
  <si>
    <r>
      <t xml:space="preserve">สถานที่ตั้ง </t>
    </r>
    <r>
      <rPr>
        <sz val="14"/>
        <rFont val="AngsanaUPC"/>
        <family val="1"/>
        <charset val="222"/>
      </rPr>
      <t xml:space="preserve">             </t>
    </r>
  </si>
  <si>
    <r>
      <t xml:space="preserve">ลักษณะสายทางเดิม   </t>
    </r>
    <r>
      <rPr>
        <sz val="14"/>
        <rFont val="AngsanaUPC"/>
        <family val="1"/>
        <charset val="222"/>
      </rPr>
      <t xml:space="preserve">    </t>
    </r>
  </si>
  <si>
    <t xml:space="preserve">   5.2.5 ป้ายจราจรแบบ ต1-ต27,ต31-ต56,ต58-ต60,ต75</t>
  </si>
  <si>
    <t xml:space="preserve">   5.2.25 ป้ายจราจรแบบ น6 </t>
  </si>
  <si>
    <t xml:space="preserve">   5.2.26 ป้ายจราจรแบบ น7 - น20</t>
  </si>
  <si>
    <t>0+000</t>
  </si>
  <si>
    <t>ทางหลวงหมายเลข 1 ตอน ทางเดิมเข้าเมืองพะเยา ต.บ้านต๋อม อ.เมืองพะเยา จ.พะเยา</t>
  </si>
  <si>
    <t>ทางหลวงหมายเลข 1 ตอนเดิมเข้าเมืองพะเยา  ต.บ้านต๋อม อ.เมือง จ.พะเยา</t>
  </si>
  <si>
    <t xml:space="preserve">ขยายผิวทางกว้างข้างละ </t>
  </si>
  <si>
    <t>0+684</t>
  </si>
  <si>
    <t>0+949</t>
  </si>
  <si>
    <t>ระยะทางรวม</t>
  </si>
  <si>
    <t>0+655</t>
  </si>
  <si>
    <t>0+895</t>
  </si>
  <si>
    <t>1+465</t>
  </si>
  <si>
    <t>1+440</t>
  </si>
  <si>
    <t>ระยะทางดำเนินการรวม</t>
  </si>
  <si>
    <t>ผิวจราจร 7.50</t>
  </si>
  <si>
    <t>ผิวทาง u-turn+ทางร่วม</t>
  </si>
  <si>
    <t xml:space="preserve">กว้างรวมผิวจราจรข้างละ             </t>
  </si>
  <si>
    <t>10.50</t>
  </si>
  <si>
    <t>ช่วง  3 ซ้ายทาง  กม.</t>
  </si>
  <si>
    <t>ช่วง  4 ขวาทาง  กม.</t>
  </si>
  <si>
    <t>1.3 งานรื้อทางเท้า คสล.หนา 0.10 ม.  เดิม (ขนทิ้ง)</t>
  </si>
  <si>
    <t>1.4 งานขุดรื้อดินเดิม (ขนทิ้ง)</t>
  </si>
  <si>
    <t xml:space="preserve">หรือมีพื้นที่ผิวทางรวมทางร่วมทางแยก พร้อมช่วงจุดกลับรถไม่น้อยกว่า </t>
  </si>
  <si>
    <t>2.2 Prime  Coat</t>
  </si>
  <si>
    <t>รวมผิวเดิม</t>
  </si>
  <si>
    <t>ผิวใหม่</t>
  </si>
  <si>
    <t>รวมเดิม+ใหม่</t>
  </si>
  <si>
    <t>ระยะทางดำเนินการซ่อมสร้าง ฯ รวม 2 ช่วง</t>
  </si>
  <si>
    <t>2.3 Tack  Coat</t>
  </si>
  <si>
    <t>2.4 Asphaltic  Concrete</t>
  </si>
  <si>
    <t>1.5 งานปรับพื้นเดิมแล้วบดทับ</t>
  </si>
  <si>
    <t>แอสฟัลท์ติกคอนกรีต</t>
  </si>
  <si>
    <t>พิกัด เริ่มต้น N 2122632  E 592254 สิ้นสุด N 2121319 E 592758</t>
  </si>
  <si>
    <t>พิกัด เริ่มต้น N 2122662  E 592225  สิ้นสุด N 2121338  E 592720</t>
  </si>
  <si>
    <t xml:space="preserve"> พย.ถ.10060</t>
  </si>
  <si>
    <t xml:space="preserve">            </t>
  </si>
  <si>
    <t>โครงการปรับปรุงโครงสร้างพื้นฐานเพื่อการท่องเที่ยวเชิงสร้างสรรค์</t>
  </si>
  <si>
    <t>ซ่อมสร้างและขยายผิวจราจรถนน ทางหลวงหมายเลข 1 ตอนเดิมเข้าเมืองพะเยา  ต.บ้านต๋อม อ.เมืองพะเยา จ.พะเยา</t>
  </si>
  <si>
    <t>ข้อ 4.3  ทางม้าลาย</t>
  </si>
  <si>
    <t>ย้ายเสาฟ้าฟ้าแสงสว่าง(ไฟกิ่งถนน)</t>
  </si>
  <si>
    <t>ข้อ 5.1 งานย้ายเสาไฟฟ้าแสงสว่าง</t>
  </si>
  <si>
    <t>งานทาสีคันหินทางเท้า+พื้นที่บังคับ</t>
  </si>
  <si>
    <t>ข้อ 5.2 งานทาสีคันหินทางเท้า+พื้นที่บังคับ</t>
  </si>
  <si>
    <t>ข้อ 5.3 งานทางเชื่อมอาคาร</t>
  </si>
  <si>
    <t>(สีน้ำพลาสติก)</t>
  </si>
  <si>
    <t>เทคอนกรีตเชื่อมทาง + ทางเชื่อมอาคาร</t>
  </si>
  <si>
    <t xml:space="preserve"> พื้นที่สีเทอร์โมพลาสติก(ทางม้าลาย)</t>
  </si>
  <si>
    <t>ประมาณการค่าก่อสร้าง      (ชี้แจงรายละเอียด ข้อ 4.3,ข้อ 5.1,ข้อ 5.2 ข้อ 5.3)</t>
  </si>
  <si>
    <t xml:space="preserve">ทางเชื่อม จุดละ 4*2.5 =10  ตร.ม. </t>
  </si>
  <si>
    <t xml:space="preserve">จำนวน 50  จุด@  10= 500  ตร.ม. </t>
  </si>
  <si>
    <t xml:space="preserve"> พื้นที่ 2400*0.33 =792  ตร.ม. </t>
  </si>
  <si>
    <t xml:space="preserve">  ฐานตุ้มไฟ้ฟา+bolt  ต้นละ 1,500 บาท</t>
  </si>
  <si>
    <t xml:space="preserve">  สายไฟ้ฟา  ต้นละ 1,500 บาท</t>
  </si>
  <si>
    <t xml:space="preserve">  ค่าแรงยกย้าย+ประกอบติดตั้ง  ต้นละ 2,000  บาท</t>
  </si>
  <si>
    <t xml:space="preserve">   ทาสีพื้นที่  9.00   ตร.ม.</t>
  </si>
  <si>
    <t>1.1 งานขุดล้อมพร้อมขนย้ายต้นไม้</t>
  </si>
  <si>
    <t>1.6 งาน Pavement In-Place Recycling</t>
  </si>
  <si>
    <t>1.8 หินคลุกบดอัดแน่นหนา 0.20 ม.</t>
  </si>
  <si>
    <t>1.7 งานหินคลุกปรับระดับ(หลวม)หนาเฉลี่ย 0.03  ม.</t>
  </si>
  <si>
    <t>3.6 งานติดตั้งเหล็กฉากบ่อพัก +ฝาตะแกรงเหล็ก(ใหม่)</t>
  </si>
  <si>
    <t>3.8  งานคันหินเตี้ยหล่อในที่</t>
  </si>
  <si>
    <t>4.2 ทางม้าลาย</t>
  </si>
  <si>
    <t>5.1 งานย้ายเสาไฟฟ้าแสงสว่าง(ไฟกิ่งถนน)</t>
  </si>
  <si>
    <t>5.2 งานทาสีคันหินทางเท้า</t>
  </si>
  <si>
    <t>5.3งานทางเชื่อมอาคาร+เชื่อมทางร่วมทางแยก</t>
  </si>
  <si>
    <t>5.4 งานไฟสัญญาณไฟกระพริบระบบโซลาร์เซลล์</t>
  </si>
  <si>
    <t>5.5 งานรื้อย้าย ประตูน้ำประปา</t>
  </si>
  <si>
    <t>5.6 งานรื้อย้ายป้ายเดิม+ติดตั้งใหม่</t>
  </si>
  <si>
    <t>3.7  งานคันหินทางเท้าหล่อในที่</t>
  </si>
  <si>
    <t>คิดจากความหนาผิวคอนกรีต    =</t>
  </si>
  <si>
    <t>ลบ.ม./บ่อ</t>
  </si>
  <si>
    <t>ส่วนขยาย x  1.70</t>
  </si>
  <si>
    <t>ค่าทุบคอนกรีตเดิม = 400./ลบ.ม.</t>
  </si>
  <si>
    <t>ค่าทุบคอนกรีตเดิม =.............x 400.</t>
  </si>
  <si>
    <t>บาท/บ่อ</t>
  </si>
  <si>
    <t>ค่าดำเนินการ+ค่าเสื่อม -หินผุ ดันและตัก=.............x ...............</t>
  </si>
  <si>
    <t>ค่าขนทิ้ง...1.กม.......x…............</t>
  </si>
  <si>
    <t>ปริมาตรคอนกรีต  1  บ่อ 1.00x4 ด้าน สูง 0.35 ม.</t>
  </si>
  <si>
    <t>3.5 งานตัดรื้อคอนกรีตบ่อพัก+ฝา คสล.(เดิม)</t>
  </si>
  <si>
    <t>ปริมาตรคอนกรีต (คิดพื้นที่หน้าตัดได้ 0.126  ลบม/ม.)</t>
  </si>
  <si>
    <t>จากตารางค่าตักหิน= 41.26</t>
  </si>
  <si>
    <t>จากตารางค่าขนส่ง</t>
  </si>
  <si>
    <t>ลบ.ม./ยาว 1 เมตร</t>
  </si>
  <si>
    <t>ส่วนขยาย x  1.70 (หลวมพร้อมขน)</t>
  </si>
  <si>
    <t>คิดจากปริมาตรคันหิน</t>
  </si>
  <si>
    <t>ค่าทุบคอนกรีตเดิม =.............x 500.</t>
  </si>
  <si>
    <t>รวมค่าวัสดุ นำไปใช้</t>
  </si>
  <si>
    <t>เทียบดู</t>
  </si>
  <si>
    <t>นำไปใช้เป็นราคากลาง</t>
  </si>
  <si>
    <t xml:space="preserve">  </t>
  </si>
  <si>
    <t xml:space="preserve">คิดจากความหนาผิวคอนกรีต </t>
  </si>
  <si>
    <t>เซนติเมตร</t>
  </si>
  <si>
    <t>ปริมาตรคอนกรีต (คิดพื้นที่หน้าตัดได้ 0.10ลบม/ตร.ม.)</t>
  </si>
  <si>
    <t>ลบ.ม./ตร.ม.</t>
  </si>
  <si>
    <t>ค่าทุบคอนกรีตเดิม =.....ปริมาตร...x 400</t>
  </si>
  <si>
    <t>จากตารางค่าตักหิน= 41.71</t>
  </si>
  <si>
    <t>เหล็กแผ่น 100  มม.x10 มม.หนัก (98.1กก./ฝา) x35 บาท/กก.</t>
  </si>
  <si>
    <t>เหล็กแผ่น 50  มม.x6 มม.หนัก 44.75กก./ฝา) x35 บาท/กก.</t>
  </si>
  <si>
    <t>ค่าแรงเชื่อม   กก.ละ 12  บาท</t>
  </si>
  <si>
    <t>ค่าทาสีสนิม 2 ชั้น (1.05+1.90) =2.95  ตร.ม.....</t>
  </si>
  <si>
    <t>ค่าทาสีสนิม 1 ชั้น (1.05+1.90) =2.95  ตร.ม.....</t>
  </si>
  <si>
    <t>ค่าต้นทุนฝาเหล็ก 1  ฝา</t>
  </si>
  <si>
    <t>เหล็กฉาก 50*50*6 มม.ยาว 4.00 ม. หนักรวม 17.8 กก./( 1 บ่อ)</t>
  </si>
  <si>
    <t>ค่าต้นทุนฝาเหล็ก 1  ฝา+เหล็กฉาก 1 บ่อ</t>
  </si>
  <si>
    <t>3.10  งานบ่อพักน้ำก่อสร้างใหม่</t>
  </si>
  <si>
    <t>3.9  งานคันหินปิดหลังทางเท้าหล่อในที่</t>
  </si>
  <si>
    <t>คิดจากความยาว 10  ม.</t>
  </si>
  <si>
    <t>ค่างานต้นทุน 10  เมตร</t>
  </si>
  <si>
    <t>ค่างานต้นทุน 1  เมตร</t>
  </si>
  <si>
    <t>ขุดแต่งดิน พื้นที่ 1.00  ลบ.ม.x…..21.84</t>
  </si>
  <si>
    <t xml:space="preserve">  0.20*0.50*10= 1.00 ลบ.ม.</t>
  </si>
  <si>
    <t>ไม้แบบ = 9.16 ตร.ม.</t>
  </si>
  <si>
    <t>ไม้แบบอย่างง่าย</t>
  </si>
  <si>
    <t>ค่าตัด / ดัด/แรง</t>
  </si>
  <si>
    <t>เหล็ก 9  มม. 40 กก./ 10.00 ม.</t>
  </si>
  <si>
    <t>เหล็ก 6  มม.  11.1กก./ 10.00 ม.</t>
  </si>
  <si>
    <t>คอนกรีต 240   = 1.09 ลบ.ม.</t>
  </si>
  <si>
    <t>คอนกรีต 240   = 1.60 ลบ.ม.</t>
  </si>
  <si>
    <t>พร้อมค่าแรง</t>
  </si>
  <si>
    <t>ขุดแต่งดิน พื้นที่ ............  ลบ.ม.x…..21.84</t>
  </si>
  <si>
    <t>คอนกรีต 240   = .225 ลบ.ม.</t>
  </si>
  <si>
    <t>ไม้แบบ = 3.00 ตร.ม.</t>
  </si>
  <si>
    <t>เหล็ก 9  มม. 20 กก./ 10.00 ม.</t>
  </si>
  <si>
    <t>เหล็ก 6  มม.  6.6 กก./ 10.00 ม.</t>
  </si>
  <si>
    <t>ประมาณราคา</t>
  </si>
  <si>
    <t>งานบ่อพักน้ำ คสล.  ขนาด dia.0.40 ม.</t>
  </si>
  <si>
    <t>คิดจำนวน 1 บ่อ</t>
  </si>
  <si>
    <t>ดินขุด</t>
  </si>
  <si>
    <t>งานทรายหยาบ</t>
  </si>
  <si>
    <t>งานคอนกรีตหยาบ</t>
  </si>
  <si>
    <t>งานคอนกรีต</t>
  </si>
  <si>
    <t>เหล็ก RB9</t>
  </si>
  <si>
    <t>เหล็ก DB-12</t>
  </si>
  <si>
    <t>งานไม้แบบ</t>
  </si>
  <si>
    <t>เหล็กฉาก 2"หนา 4มม.</t>
  </si>
  <si>
    <t>ทาสีกันสนิม</t>
  </si>
  <si>
    <t>ท่อ pvc. 2"</t>
  </si>
  <si>
    <t>ม</t>
  </si>
  <si>
    <t>รวมค่าวัสดุและแรงงาน</t>
  </si>
  <si>
    <t>นำไปใช้</t>
  </si>
  <si>
    <t xml:space="preserve"> -107-</t>
  </si>
  <si>
    <t>ตารางคำนวณหาค่าวัสดุมวลรวมต่อหน่วยของงานก่อสร้าง</t>
  </si>
  <si>
    <t>ราคารวม</t>
  </si>
  <si>
    <t>วัสดุมวลรวมของงานคอนกรีตส่วนผสมต่างๆ</t>
  </si>
  <si>
    <t xml:space="preserve"> </t>
  </si>
  <si>
    <t>คอนกรีตส่วนผสม 1 : 3 : 5 (คอนกรีตหยาบ)</t>
  </si>
  <si>
    <t xml:space="preserve">   มอก.80/2517</t>
  </si>
  <si>
    <t xml:space="preserve"> - ทรายหยาบ</t>
  </si>
  <si>
    <t xml:space="preserve"> - หินเบอร์ 1-2</t>
  </si>
  <si>
    <t xml:space="preserve"> - น้ำผสมคอนกรีต</t>
  </si>
  <si>
    <t xml:space="preserve">                      รวมคอนกรีต  1 : 3 : 5 </t>
  </si>
  <si>
    <t xml:space="preserve">  *</t>
  </si>
  <si>
    <t xml:space="preserve">   มอก.15/2514</t>
  </si>
  <si>
    <t>คอนกรีตส่วนผสม 1 : 2 : 4</t>
  </si>
  <si>
    <t xml:space="preserve">                      รวมคอนกรีต  1 : 2 : 4</t>
  </si>
  <si>
    <t xml:space="preserve"> เมษายน 2549</t>
  </si>
  <si>
    <t xml:space="preserve"> -108-</t>
  </si>
  <si>
    <t>ตารางแสดงวิธีการคำนวณหาค่าวัสดุมวลรวมต่อหน่วยของงานก่อสร้างประเภทต่างๆ</t>
  </si>
  <si>
    <t>วัสดุมวลรวมของงานคอนกรีตตามมาตรฐานกรมโยธาธิการฯ</t>
  </si>
  <si>
    <t xml:space="preserve">                      รวมคอนกรีต ค.1</t>
  </si>
  <si>
    <t xml:space="preserve">                      รวมคอนกรีต ค.2</t>
  </si>
  <si>
    <t xml:space="preserve">                      รวมคอนกรีต ค.3</t>
  </si>
  <si>
    <t xml:space="preserve">                      รวมคอนกรีต ค.4</t>
  </si>
  <si>
    <t xml:space="preserve"> -109-</t>
  </si>
  <si>
    <t>วัสดุมวลรวมของงานคอนกรีตผสมเสร็จ (ด้วยรถผสมปูน)</t>
  </si>
  <si>
    <t xml:space="preserve"> ระยะทาง ไม่เกิน</t>
  </si>
  <si>
    <t xml:space="preserve">  คอนกรีตกำลังอัดประลัยมีอายุ 28 วัน(กก./ตร.ซม.)</t>
  </si>
  <si>
    <t>15 กิโลเมตร</t>
  </si>
  <si>
    <t xml:space="preserve">   - รูปลูกบาศก์ 180 กก./ตร.ซม.และรูปทรงกระบอก 140 กก./ตร.ซม.</t>
  </si>
  <si>
    <t>ราคาของสำนัก</t>
  </si>
  <si>
    <t xml:space="preserve">   - รูปลูกบาศก์ 210 กก./ตร.ซม.และรูปทรงกระบอก 180 กก./ตร.ซม.</t>
  </si>
  <si>
    <t>ดัชนีฯ</t>
  </si>
  <si>
    <t xml:space="preserve">   - รูปลูกบาศก์ 240 กก./ตร.ซม.และรูปทรงกระบอก 210 กก./ตร.ซม.</t>
  </si>
  <si>
    <t>"</t>
  </si>
  <si>
    <t xml:space="preserve">   - รูปลูกบาศก์ 280 กก./ตร.ซม.และรูปทรงกระบอก 240 กก./ตร.ซม.</t>
  </si>
  <si>
    <t xml:space="preserve">   - รูปลูกบาศก์ 320 กก./ตร.ซม.และรูปทรงกระบอก 280 กก./ตร.ซม.</t>
  </si>
  <si>
    <t xml:space="preserve">   - รูปลูกบาศก์ 350 กก./ตร.ซม.และรูปทรงกระบอก300 กก./ตร.ซม.</t>
  </si>
  <si>
    <t xml:space="preserve">   - รูปลูกบาศก์ 380 กก./ตร.ซม.และรูปทรงกระบอก 320 กก./ตร.ซม.</t>
  </si>
  <si>
    <t xml:space="preserve">   - รูปลูกบาศก์ 400 กก./ตร.ซม.และรูปทรงกระบอก 350 กก./ตร.ซม.</t>
  </si>
  <si>
    <t>วัสดุมวลรวมของงานคอนกรีตเททับหน้าพื้นสำเร็จรูป</t>
  </si>
  <si>
    <t xml:space="preserve">    รวมคอนกรีตเททับหน้าพื้นสำเร็จรูป</t>
  </si>
  <si>
    <t xml:space="preserve"> - เหล็กเสริม RB dir 6 มม.</t>
  </si>
  <si>
    <t xml:space="preserve"> - ลวดผูกเหล็กเสริม</t>
  </si>
  <si>
    <t xml:space="preserve">    รวมคอนกรีตเททับหน้าพื้นสำเร็จรูปเสริมเหล็ก</t>
  </si>
  <si>
    <t xml:space="preserve"> - เหล็กเสริม RB dir 9 มม.</t>
  </si>
  <si>
    <t xml:space="preserve"> -110-</t>
  </si>
  <si>
    <t>วัสดุมวลรวมของงานคอนกรีตเสาเอ็นและคานทับหลัง</t>
  </si>
  <si>
    <t xml:space="preserve"> - ปูนซีเมนต์ผสม(Silica Cement)</t>
  </si>
  <si>
    <t xml:space="preserve"> - ไม้แบบหล่อคอนกรีต+ตะปู</t>
  </si>
  <si>
    <t xml:space="preserve">    รวมคอนกรีตเสาเอ็นและคานทับหลัง ค.ส.ล.</t>
  </si>
  <si>
    <t>วัสดุมวลรวมของน้ำยากันซึมผสมต่อคอนกรีต</t>
  </si>
  <si>
    <t xml:space="preserve">  น้ำยากันซึมผสมต่อคอนกรีต</t>
  </si>
  <si>
    <t xml:space="preserve"> - น้ำยากันซึม SIKA</t>
  </si>
  <si>
    <t xml:space="preserve">    รวมน้ำยากันซึมผสมต่อคอนกรีต</t>
  </si>
  <si>
    <t>วัสดุมวลรวมของไม้แบบหล่อคอนกรีตต่อ 1 ตารางเมตร</t>
  </si>
  <si>
    <t xml:space="preserve">  ไม้แบบหล่อคอนกรีตทั่วไปเฉลี่ยใช้งาน 50 %</t>
  </si>
  <si>
    <t xml:space="preserve"> - ไม้กระบากขนาด 1" x 6"- 8" ยาว 2.50 - 6.00 เมตร</t>
  </si>
  <si>
    <t xml:space="preserve"> - ไม้ยางขนาด 1.1/2" x 3" ยาว 2.50 - 6.00 เมตร</t>
  </si>
  <si>
    <t xml:space="preserve"> -  ตะปู</t>
  </si>
  <si>
    <t xml:space="preserve">    รวมไม้แบบหล่อคอนกรีตเฉลี่ยใช้งาน 50 %</t>
  </si>
  <si>
    <t xml:space="preserve">  ไม้แบบหล่อคอนกรีตทั่วไปเฉลี่ยใช้งาน 60 %</t>
  </si>
  <si>
    <t xml:space="preserve">    รวมไม้แบบหล่อคอนกรีตเฉลี่ยใช้งาน 60 %</t>
  </si>
  <si>
    <t xml:space="preserve">  ไม้แบบหล่อคอนกรีตทั่วไปเฉลี่ยใช้งาน 80 %</t>
  </si>
  <si>
    <t xml:space="preserve">    รวมไม้แบบหล่อคอนกรีตเฉลี่ยใช้งาน 80 %</t>
  </si>
  <si>
    <t xml:space="preserve"> -111-</t>
  </si>
  <si>
    <t>วัสดุมวลรวมของงานก่อผนังด้วยวัสดุชนิดต่างๆ</t>
  </si>
  <si>
    <t xml:space="preserve">  แนวปูนก่อหนา</t>
  </si>
  <si>
    <t>ผนังก่อสามัญ(อิฐมอญ)ครึ่งแผ่นอิฐ</t>
  </si>
  <si>
    <t xml:space="preserve"> 1 - 2  ซม.</t>
  </si>
  <si>
    <t xml:space="preserve"> - อิฐสามัญ(อิฐมอญ)ขนาด 3.5 x 7 x 16 ซม.</t>
  </si>
  <si>
    <t>ก้อน</t>
  </si>
  <si>
    <t xml:space="preserve"> - ปูนขาว</t>
  </si>
  <si>
    <t xml:space="preserve">               รวมผนังก่ออิฐสามัญครึ่งแผ่นอิฐ</t>
  </si>
  <si>
    <t>ผนังก่อสามัญ(อิฐมอญ)เต็มแผ่นอิฐ</t>
  </si>
  <si>
    <t>ผนังก่อดินเผาชนิดไม่รับน้ำหนัก(อิฐ 2 รู)ครึ่งแผ่นอิฐ</t>
  </si>
  <si>
    <t xml:space="preserve"> - อิฐดินเผาชนิด 2 รูขนาด 3 x 7 x 16 ซม.</t>
  </si>
  <si>
    <t xml:space="preserve">               รวมผนังก่ออิฐไม่รับน้ำหนักครึ่งแผ่น</t>
  </si>
  <si>
    <t>ผนังก่อดินเผาชนิดไม่รับน้ำหนัก (อิฐ 2 รู)  เต็มแผ่นอิฐ</t>
  </si>
  <si>
    <t xml:space="preserve">               รวมผนังก่ออิฐไม่รับน้ำหนักเต็มแผ่น</t>
  </si>
  <si>
    <t xml:space="preserve"> -112-</t>
  </si>
  <si>
    <t>ผนังก่ออิฐดินเผาชนิดทนไฟ</t>
  </si>
  <si>
    <t xml:space="preserve"> - อิฐดินเผาชนิดทนไฟขนาด 11.5 x 23 x 7.6 ซม.</t>
  </si>
  <si>
    <t xml:space="preserve"> - ปูนซีเมนต์ผสม (Silica Cement)</t>
  </si>
  <si>
    <t xml:space="preserve">               รวมผนังก่ออิฐชนิดทนไฟ</t>
  </si>
  <si>
    <t>ผนังก่อซีเมนต์บล๊อกเต็มแผ่นขนาด 0.07x0.19x0.39 ม.</t>
  </si>
  <si>
    <t xml:space="preserve"> - ซีเมนต์บล็อค (12.5 แผ่น +4%)</t>
  </si>
  <si>
    <t xml:space="preserve">            รวมผนังก่อซีเมนต์บล๊อกหนา 7 ซม.</t>
  </si>
  <si>
    <t>ผนังก่อซีเมนต์บล๊อกขนาด 0.09x0.19x0.39 ม.</t>
  </si>
  <si>
    <t xml:space="preserve">           รวมผนังก่อซีเมนต์บล๊อกหนา 9 ซม.</t>
  </si>
  <si>
    <t xml:space="preserve"> - ซีเมนต์บล็อคชนิดระบายอากาศ (12.5 แผ่น +4%)</t>
  </si>
  <si>
    <t xml:space="preserve">    รวมผนังก่อซีเมนต์บล๊อกชนิดระบายอากาศ</t>
  </si>
  <si>
    <t xml:space="preserve"> -113-</t>
  </si>
  <si>
    <t>วัสดุมวลรวมของงานบุผนังด้วยวัสดุสำเร็จรูปต่างๆ</t>
  </si>
  <si>
    <t xml:space="preserve"> - ทรายละเอียด</t>
  </si>
  <si>
    <t xml:space="preserve"> - น้ำผสมปูน</t>
  </si>
  <si>
    <t xml:space="preserve">    รวมปูนทรายรองพื้น(สำหรับปูแผ่นผนังสำเร็จรูป)</t>
  </si>
  <si>
    <t xml:space="preserve">    รวมปูนฉาบผิวเรียบ</t>
  </si>
  <si>
    <t xml:space="preserve">    รวมปูนฉาบผิวซีเมนต์ขัดมันเรียบ</t>
  </si>
  <si>
    <t xml:space="preserve">    รวมปูนฉาบผิวซีเมนต์ขัดมันเรียบผสมน้ำยากันซึม</t>
  </si>
  <si>
    <t xml:space="preserve">    รวมปูนฉาบผิวสลัดปูนปาดด้วยเกรียง</t>
  </si>
  <si>
    <t xml:space="preserve"> -114-</t>
  </si>
  <si>
    <t xml:space="preserve"> - ปูนซีเมนต์ขาว</t>
  </si>
  <si>
    <t xml:space="preserve"> - กรวดน้ำจืด</t>
  </si>
  <si>
    <t xml:space="preserve"> - สีฝุ่น</t>
  </si>
  <si>
    <t xml:space="preserve">    รวมค่าวัสดุฉาบปูนผิวกรวดล้าง</t>
  </si>
  <si>
    <t xml:space="preserve"> - หินเกล็ด</t>
  </si>
  <si>
    <t xml:space="preserve">    รวมค่าวัสดุฉาบปูนผิวหินล้าง</t>
  </si>
  <si>
    <t>ผนังบุกระเบื้องเคลือบขาวขนาด 4"x4"</t>
  </si>
  <si>
    <t xml:space="preserve"> - กระเบื้องเคลือบขาว 4"x4"(เผื่อ = 100+5 แผ่น)</t>
  </si>
  <si>
    <t>แผ่น</t>
  </si>
  <si>
    <t xml:space="preserve"> - ปูนซีเมนต์ขาวยาแนว</t>
  </si>
  <si>
    <t xml:space="preserve"> - WAX</t>
  </si>
  <si>
    <t xml:space="preserve">    รวมผนังบุกระเบื้องเคลือบขาว 4"x4"</t>
  </si>
  <si>
    <t>ผนังบุกระเบื้องเคลือบสีธรรมดาขนาด 4"x4"</t>
  </si>
  <si>
    <t xml:space="preserve"> - กระเบื้องเคลือบสี 4"x4"(เผื่อ = 100+5 แผ่น)</t>
  </si>
  <si>
    <t xml:space="preserve">    รวมผนังบุกระเบื้องเคลือบสี 4"x4"</t>
  </si>
  <si>
    <t xml:space="preserve"> -115-</t>
  </si>
  <si>
    <t>ผนังบุกระเบื้องเคลือบขาวขนาด 8"x8"</t>
  </si>
  <si>
    <t xml:space="preserve"> - กระเบื้องเคลือบขาว 8"x8"(25+3 แผ่น)</t>
  </si>
  <si>
    <t xml:space="preserve"> - ปูนซีเมนต์ผสม  (Silica Cement)</t>
  </si>
  <si>
    <t xml:space="preserve">    รวมผนังบุกระเบื้องเคลือบขาว 8"x8"</t>
  </si>
  <si>
    <t>ผนังบุกระเบื้องเคลือบสีธรรมดาขนาด 8"x8"</t>
  </si>
  <si>
    <t xml:space="preserve"> - กระเบื้องเคลือบสี 8"x8"(25+3 แผ่น)</t>
  </si>
  <si>
    <t xml:space="preserve"> 25 แผ่น/1 ม.</t>
  </si>
  <si>
    <t xml:space="preserve">    รวมผนังบุกระเบื้องเคลือบสีธรรมดา 8"x8"</t>
  </si>
  <si>
    <t>ผนังบุกระเบื้องเคลือบสีมีลวดลายขนาด 8"x8"</t>
  </si>
  <si>
    <t xml:space="preserve"> - กระเบื้องเคลือบสีลวดลาย 8"x8"(25+3 แผ่น)</t>
  </si>
  <si>
    <t xml:space="preserve">    รวมผนังบุกระเบื้องเคลือบสีมีลวดลาย 8"x8"</t>
  </si>
  <si>
    <t>ผนังบุกระเบื้องเซรามิคเคลือบสีธรรมดาขนาด 8"x10"</t>
  </si>
  <si>
    <t xml:space="preserve"> - กระเบื้องเซรามิคสีธรรมดา 8"x10"(20+3 แผ่น)</t>
  </si>
  <si>
    <t xml:space="preserve">    รวมผนังบุกระเบื้องเซรามิคสีธรรมดา 8"x10"</t>
  </si>
  <si>
    <t xml:space="preserve"> -116-</t>
  </si>
  <si>
    <t>ผนังบุกระเบื้องเซรามิคเคลือบสีมีลวดลายขนาด 8"x10"</t>
  </si>
  <si>
    <t xml:space="preserve"> - กระเบื้องเซรามิคสีมีลวดลาย 8"x10"(20+3 แผ่น)</t>
  </si>
  <si>
    <t xml:space="preserve">    รวมผนังบุกระเบื้องเซรามิคสีมีลวดลาย 8"x10"</t>
  </si>
  <si>
    <t>ผนังบุกระเบื้องเซรามิคเคลือบสีธรรมดาขนาด 12"x12"</t>
  </si>
  <si>
    <t xml:space="preserve"> - กระเบื้องแซรามิคสีธรรมดา 12"x12"(11+3 แผ่น)</t>
  </si>
  <si>
    <t xml:space="preserve">    รวมผนังบุกระเบื้องเซรามิคสีธรรมดา 12"x12"</t>
  </si>
  <si>
    <t>ผนังบุกระเบื้องเซรามิคเคลือบสีมีลวดลายขนาด 12"x12"</t>
  </si>
  <si>
    <t xml:space="preserve"> - กระเบื้องแซรามิคสีมีลวดลาย 12"x12"(11+3 แผ่น)</t>
  </si>
  <si>
    <t xml:space="preserve">    รวมผนังบุกระเบื้องเซรามิคสีมีลวดลาย 12"x12"</t>
  </si>
  <si>
    <t>ผนังบุกระเบื้องเซรามิคไม่เคลือบผิวขนาด 4"x8"</t>
  </si>
  <si>
    <t xml:space="preserve"> - กระเบื้องเซรามิคไม่เคลือบผิว 4"x8"(50+5 แผ่น)</t>
  </si>
  <si>
    <t xml:space="preserve"> - ปูนซีเมนต์ขาวยาแนว + สีฝุ่น</t>
  </si>
  <si>
    <t xml:space="preserve">    รวมผนังบุกระเบื้องเซรามิคไม่เคลือบผิว 4"x8"</t>
  </si>
  <si>
    <t xml:space="preserve"> -117-</t>
  </si>
  <si>
    <t>ผนังบุแผ่นหินอ่อนในประเทศขนาด 2x30x60 ซม.</t>
  </si>
  <si>
    <t xml:space="preserve"> - แผ่นหินอ่อนสีเทา-ขาว</t>
  </si>
  <si>
    <t>เผื่อ 6%</t>
  </si>
  <si>
    <t xml:space="preserve"> - อุปกรณ์ขอยึดแผ่น</t>
  </si>
  <si>
    <t xml:space="preserve">    รวมผนังบุแผ่นหินอ่อนสีเทา-ขาว</t>
  </si>
  <si>
    <t>ผนังบุแผ่นหินแกรนิตในประเทศขนาด 2x30x60 ซม.</t>
  </si>
  <si>
    <t xml:space="preserve"> - แผ่นหินแกรนิตสีเทา-ดำ</t>
  </si>
  <si>
    <t xml:space="preserve"> - ปูนซีเมนต์ขาวยาแนว+สีฝุ่น</t>
  </si>
  <si>
    <t xml:space="preserve">    รวมผนังบุแผ่นหินแกรนิตสีเทา-ดำ</t>
  </si>
  <si>
    <t>ผนังบุกระเบื้องแผ่นหินขัดขนาด 12"x12"</t>
  </si>
  <si>
    <t xml:space="preserve"> - กระเบื้องแผ่นหินขัด 12"x12"(11+3 แผ่น)</t>
  </si>
  <si>
    <t xml:space="preserve">    รวมผนังบุกระเบื้องแผ่นหินขัด 12"x12"</t>
  </si>
  <si>
    <t>ผนังบุกระเบื้องดินเผาด่านเกวียนขนาด 4"x4"</t>
  </si>
  <si>
    <t xml:space="preserve"> - กระเบื้องดินเผาด่านเกวียน 4"x4"(เผื่อ = 100+5 แผ่น)</t>
  </si>
  <si>
    <t xml:space="preserve">    รวมผนังบุกระเบื้องดินเผาด่านเกวียน 4"x4"</t>
  </si>
  <si>
    <t xml:space="preserve"> -118-</t>
  </si>
  <si>
    <t>วัสดุมวลรวมของงานทำผนังเบาด้วยวัสดุสำเร็จรูปต่างๆ</t>
  </si>
  <si>
    <t xml:space="preserve">   ฝาไม้ยางตีซ้อนเกล็ดทางนอน 1/2"x6"โครงคร่าวไม้ยางวาง</t>
  </si>
  <si>
    <t>ตั้งขนาด 1-1/2"x3" ระยะห่าง c/c 0.50 เมตร</t>
  </si>
  <si>
    <t xml:space="preserve"> - ฝาไม้ยางใสลบมุม ขนาด 1/2"x 6"(เผื่อ 10%)</t>
  </si>
  <si>
    <t xml:space="preserve"> - โครงคร่าวไม้ยางใส ขนาด 1-1/2"x 3"(เผื่อ 10%)</t>
  </si>
  <si>
    <t xml:space="preserve"> - ตะปู</t>
  </si>
  <si>
    <t xml:space="preserve">    รวมวัสดุทำฝาไม้ยางซ้อนเกล็ดทางนอน</t>
  </si>
  <si>
    <t xml:space="preserve">   ฝาไม้ยางตีทับเกล็ดทางตั้ง 1/2"x6"โครงคร่าวไม้ยางวางทาง</t>
  </si>
  <si>
    <t>นอนขนาด 1-1/2"x3" ระยะห่าง c/c 0.50 เมตร</t>
  </si>
  <si>
    <t xml:space="preserve">    รวมวัสดุทำฝาไม้ยางตีทับเกล็ดทางตั้ง</t>
  </si>
  <si>
    <t xml:space="preserve">   ฝาไม้ยางตีซ้อนเกล็ดทางนอน 1/2"x6"โครงคร่าวไม้เนื้อแข็ง</t>
  </si>
  <si>
    <t>วางตั้งขนาด 1-1/2"x3" ระยะห่าง c/c 0.50 เมตร</t>
  </si>
  <si>
    <t xml:space="preserve"> - โครงคร่าวไม้เนื้อแข็งใส ขนาด 1-1/2"x 3"(เผื่อ 10%)</t>
  </si>
  <si>
    <t xml:space="preserve">   ฝาไม้ยางตีทับเกล็ดทางตั้ง 1/2"x6"โครงคร่าวไม้เนื้อแข็งวาง</t>
  </si>
  <si>
    <t>ทางนอนขนาด 1-1/2"x3" ระยะห่าง c/c 0.50 เมตร</t>
  </si>
  <si>
    <t xml:space="preserve"> - ฝาไม้ยางใสลบมุม ขนาด 1/2"x 6"</t>
  </si>
  <si>
    <t xml:space="preserve">   ฝาผนังไม้แดงบังใบเซาะร่อง V ขนาด 1/2"x 4" โครงคร่าว</t>
  </si>
  <si>
    <t>ไม้เนื้อแข็งขนาด 1-1/2"x3" ระยะห่าง c/c 0.50 เมตร</t>
  </si>
  <si>
    <t xml:space="preserve"> - ไม้แดงใส บังใบ เซาะร่อง V ขนาด 1/2"x 4"</t>
  </si>
  <si>
    <t>เผื่อ 10%</t>
  </si>
  <si>
    <t xml:space="preserve">    รวมวัสดุทำฝาผนังไม้แดงเซาะร่อง V บุด้านเดียว</t>
  </si>
  <si>
    <t xml:space="preserve"> -119-</t>
  </si>
  <si>
    <t xml:space="preserve">   ฝาผนังไม้สักบังใบเซาะร่อง V  ขนาด 1/2"x 4"  โครงคร่าว</t>
  </si>
  <si>
    <t xml:space="preserve"> - ไม้สักใสบังใบเซาะร่อง V ขนาด 1/2"x 4"</t>
  </si>
  <si>
    <t xml:space="preserve">    รวมวัสดุทำฝาผนังไม้สักเซาะร่อง V บุด้านเดียว</t>
  </si>
  <si>
    <t xml:space="preserve">   ฝาผนังไม้มะค่าบังใบเซาะร่อง V ขนาด 1/2"x 4"โครงคร่าว</t>
  </si>
  <si>
    <t xml:space="preserve"> - ไม้มะค่าใสบังใบเซาะร่อง V ขนาด 1/2"x 4"</t>
  </si>
  <si>
    <t xml:space="preserve">    รวมวัสดุทำฝาผนังไม้มะค่าเซาะร่อง V บุด้านเดียว</t>
  </si>
  <si>
    <t xml:space="preserve">  ผนังไม้อัดยางหนา 4 มม. 4'x8' โครงคร่าวไม้ยาง 1-1/2"x 3"</t>
  </si>
  <si>
    <t>ระยะห่าง c/c 0.40x0.60 เมตร # บุด้านเดียว</t>
  </si>
  <si>
    <t xml:space="preserve"> - ไม้อัดยางหนา 4 มม. ขนาด 4'x 8' (ใช้ภายใน)</t>
  </si>
  <si>
    <t>1 แผ่นคิด 2.40 ตร.ม.</t>
  </si>
  <si>
    <t xml:space="preserve"> - โครงคร่าวไม้ยางใส 3 ด้าน ขนาด 1-1/2"x 3"</t>
  </si>
  <si>
    <t xml:space="preserve">    รวมวัสดุทำผนังไม้อัดยางหนา 4 มม.บุด้านเดียว</t>
  </si>
  <si>
    <t xml:space="preserve">  ผนังไม้อัดยางหนา 4 มม. 4'x8' โครงคร่าวไม้เนื้อแข็งขนาด</t>
  </si>
  <si>
    <t>1-1/2"x 3" ระยะห่าง c/c 0.40x0.60 เมตร # บุด้านเดียว</t>
  </si>
  <si>
    <t xml:space="preserve"> - โครงคร่าวไม้เนื้อแข็งใส 3 ด้าน ขนาด 1-1/2"x 3"</t>
  </si>
  <si>
    <t xml:space="preserve">  ผนังไม้อัดยางหนา 6 มม. 4'x8' โครงคร่าวไม้ยาง 1-1/2"x 3"</t>
  </si>
  <si>
    <t xml:space="preserve"> - ไม้อัดยางหนา 6 มม. ขนาด 4'x 8' (ใช้ภายใน)</t>
  </si>
  <si>
    <t xml:space="preserve">    รวมวัสดุทำผนังไม้อัดยางหนา 6 มม.บุด้านเดียว</t>
  </si>
  <si>
    <t xml:space="preserve"> -120-</t>
  </si>
  <si>
    <t xml:space="preserve">  ผนังไม้อัดยางหนา 6 มม. 4'x8' โครงคร่าวไม้เนื้อแข็งขนาด</t>
  </si>
  <si>
    <t xml:space="preserve">  ผนังไม้อัดยางหนา 10 มม.4'x8' โครงคร่าวไม้ยาง 1-1/2"x 3"</t>
  </si>
  <si>
    <t xml:space="preserve"> - ไม้อัดยางหนา 10 มม. ขนาด 4'x 8' (ใช้ภายใน)</t>
  </si>
  <si>
    <t xml:space="preserve">    รวมวัสดุทำผนังไม้อัดยางหนา 10 มม.บุด้านเดียว</t>
  </si>
  <si>
    <t xml:space="preserve">  ผนังไม้อัดยางหนา 10 มม.4'x8' โครงคร่าวไม้เนื้อแข็งขนาด</t>
  </si>
  <si>
    <t>ระยะห่าง c/c 0.40x0.60 เมตร # บุสองด้าน</t>
  </si>
  <si>
    <t xml:space="preserve"> - โครงคร่าวไม้ยางใส 2 ด้าน ขนาด 1-1/2"x 3"</t>
  </si>
  <si>
    <t xml:space="preserve">    รวมวัสดุทำผนังไม้อัดยางหนา 4 มม.บุสองด้าน</t>
  </si>
  <si>
    <t>1-1/2"x 3" ระยะห่าง c/c 0.40x0.60 เมตร # บุสองด้าน</t>
  </si>
  <si>
    <t xml:space="preserve"> - โครงคร่าวไม้เนื้อแข็งใส 2 ด้าน ขนาด 1-1/2"x 3"</t>
  </si>
  <si>
    <t xml:space="preserve"> -121-</t>
  </si>
  <si>
    <t xml:space="preserve">    รวมวัสดุทำผนังไม้อัดยางหนา 6 มม.บุสองด้าน</t>
  </si>
  <si>
    <t xml:space="preserve">    รวมวัสดุทำผนังไม้อัดยางหนา 10 มม.บุสองด้าน</t>
  </si>
  <si>
    <t xml:space="preserve">  ผนังไม้อัดสักหนา 4 มม.4'x8' โครงคร่าวไม้ยาง 1-1/2"x 3"</t>
  </si>
  <si>
    <t xml:space="preserve"> - ไม้อัดสักหนา 4 มม. ขนาด 4'x 8' (ใช้ภายใน)</t>
  </si>
  <si>
    <t xml:space="preserve">    รวมวัสดุทำผนังไม้อัดสักหนา 4 มม.บุด้านเดียว</t>
  </si>
  <si>
    <t xml:space="preserve"> -122-</t>
  </si>
  <si>
    <t xml:space="preserve">  ผนังไม้อัดสักหนา 4 มม. 4'x8' โครงคร่าวไม้เนื้อแข็งขนาด</t>
  </si>
  <si>
    <t xml:space="preserve">  ผนังไม้อัดสักหนา 6 มม. 4'x8' โครงคร่าวไม้ยาง 1-1/2"x 3"</t>
  </si>
  <si>
    <t xml:space="preserve"> - ไม้อัดสักหนา 6 มม. ขนาด 4'x 8' (ใช้ภายใน)</t>
  </si>
  <si>
    <t xml:space="preserve">    รวมวัสดุทำผนังไม้อัดสักหนา 6 มม.บุด้านเดียว</t>
  </si>
  <si>
    <t xml:space="preserve">  ผนังไม้อัดสักหนา 6 มม. 4'x8' โครงคร่าวไม้เนื้อแข็งขนาด</t>
  </si>
  <si>
    <t xml:space="preserve">  ผนังไม้อัดสักหนา 10 มม.4'x8' โครงคร่าวไม้ยาง 1-1/2"x 3"</t>
  </si>
  <si>
    <t xml:space="preserve"> - ไม้อัดสักหนา 10 มม. ขนาด 4'x 8' (ใช้ภายใน)</t>
  </si>
  <si>
    <t xml:space="preserve">    รวมวัสดุทำผนังไม้อัดสักหนา 10 มม.บุด้านเดียว</t>
  </si>
  <si>
    <t xml:space="preserve">  ผนังไม้อัดสักหนา 10 มม.4'x8' โครงคร่าวไม้เนื้อแข็งขนาด</t>
  </si>
  <si>
    <t xml:space="preserve"> -123-</t>
  </si>
  <si>
    <t xml:space="preserve">  ผนังไม้อัดสักหนา 4 มม. 4'x8' โครงคร่าวไม้ยาง 1-1/2"x 3"</t>
  </si>
  <si>
    <t xml:space="preserve">    รวมวัสดุทำผนังไม้อัดสักหนา 4 มม.บุสองด้าน</t>
  </si>
  <si>
    <t xml:space="preserve">    รวมวัสดุทำผนังไม้อัดสักหนา 6 มม.บุสองด้าน</t>
  </si>
  <si>
    <t xml:space="preserve">  ผนังไม้อัดสักหนา 10 มม. 4'x8' โครงคร่าวไม้ยาง 1-1/2"x 3"</t>
  </si>
  <si>
    <t xml:space="preserve">    รวมวัสดุทำผนังไม้อัดสักหนา 10 มม.บุสองด้าน</t>
  </si>
  <si>
    <t xml:space="preserve"> -124-</t>
  </si>
  <si>
    <t xml:space="preserve">  ผนังไม้อัดสักหนา 10 มม. 4'x8' โครงคร่าวไม้เนื้อแข็งขนาด</t>
  </si>
  <si>
    <t xml:space="preserve">     ผนังกระเบื้องแผ่นเรียบหนา 6 มม. ขนาด 1.20 x 2.40 ม.</t>
  </si>
  <si>
    <t>โครงคร่าวไม้ยาง 1-1/2"x 3" @ 0.40x0.60 ม. # บุด้านเดียว</t>
  </si>
  <si>
    <t xml:space="preserve"> - กระเบื้องแผ่นเรียบหนา 6 มม. ขนาด 1.20 x 2.40 ม. </t>
  </si>
  <si>
    <t>รวมวัสดุผนังกระเบื้องแผ่นเรียบหนา 6 มม.บุด้านเดียว</t>
  </si>
  <si>
    <t>โครงคร่าวไม้เนื้อแข็ง1-1/2"x 3"@ 0.40x0.60 ม.# บุด้านเดียว</t>
  </si>
  <si>
    <t xml:space="preserve">     ผนังกระเบื้องแผ่นเรียบหนา 8 มม. ขนาด 1.20 x 2.40 ม.</t>
  </si>
  <si>
    <t xml:space="preserve"> - กระเบื้องแผ่นเรียบหนา 8 มม. ขนาด 1.20 x 2.40 ม. </t>
  </si>
  <si>
    <t>รวมวัสดุผนังกระเบื้องแผ่นเรียบหนา 8 มม.บุด้านเดียว</t>
  </si>
  <si>
    <t xml:space="preserve"> -125-</t>
  </si>
  <si>
    <t>โครงคร่าวไม้ยาง 1-1/2"x 3" @ 0.40x0.60 ม. # บุสองด้าน</t>
  </si>
  <si>
    <t>รวมวัสดุผนังกระเบื้องแผ่นเรียบหนา 6 มม.บุสองด้าน</t>
  </si>
  <si>
    <t>โครงคร่าวไม้เนื้อแข็ง1-1/2"x 3"@ 0.40x0.60 ม.# บุสองด้าน</t>
  </si>
  <si>
    <t>รวมวัสดุผนังกระเบื้องแผ่นเรียบหนา 8 มม.บุสองด้าน</t>
  </si>
  <si>
    <t xml:space="preserve">     ผนังแผ่นยิบซั่มบอร์ด หนา 9 มม. ขนาด 1.20 x 2.40 ม.</t>
  </si>
  <si>
    <t xml:space="preserve"> - แผ่นยิบซั่มบอร์ดหนา 9 มม. ขนาด 1.20 x 2.40 ม. </t>
  </si>
  <si>
    <t xml:space="preserve"> - ฉาบรอยต่อ</t>
  </si>
  <si>
    <t>รวมวัสดุผนังแผ่นยิบซั่มบอร์ดหนา 9 มม.บุด้านเดียว</t>
  </si>
  <si>
    <t xml:space="preserve"> -126-</t>
  </si>
  <si>
    <t xml:space="preserve">     ผนังแผ่นยิบซั่มบอร์ด หนา 12 มม. ขนาด 1.20 x 2.40 ม.</t>
  </si>
  <si>
    <t xml:space="preserve"> - แผ่นยิบซั่มบอร์ดหนา 12 มม. ขนาด 1.20 x 2.40 ม. </t>
  </si>
  <si>
    <t>รวมวัสดุผนังแผ่นยิบซั่มบอร์ดหนา 12 มม.บุด้านเดียว</t>
  </si>
  <si>
    <t>รวมวัสดุผนังแผ่นยิบซั่มบอร์ดหนา 9 มม.บุสองด้าน</t>
  </si>
  <si>
    <t xml:space="preserve"> -127-</t>
  </si>
  <si>
    <t>รวมวัสดุผนังแผ่นยิบซั่มบอร์ดหนา 12 มม.บุสองด้าน</t>
  </si>
  <si>
    <t xml:space="preserve">     ผนังแผ่นยิบซั่มบอร์ด  หนา  9 มม. ขนาด 1.20 x 2.40 ม.</t>
  </si>
  <si>
    <t>โครงคร่าวเหล็กชุบสังกะสี@ 0.60 ม. บุสองด้าน(TG-WALL)</t>
  </si>
  <si>
    <t xml:space="preserve"> - โครงคร่าวเหล็กชุบสังกะสี(92 x 0.55 มม.)</t>
  </si>
  <si>
    <t xml:space="preserve"> - ตะปูเกลียว</t>
  </si>
  <si>
    <t xml:space="preserve"> - ค่าแรงงานติดตั้งผนังทั้งหมด</t>
  </si>
  <si>
    <t>รวมงานทำผนังแผ่นยิบซั่มบอร์ดหนา 9 มม.บุสองด้าน</t>
  </si>
  <si>
    <t xml:space="preserve">  *รวมค่าแรง</t>
  </si>
  <si>
    <t>รวมงานทำผนังแผ่นยิบซั่มบอร์ดหนา 12 มม.บุสองด้าน</t>
  </si>
  <si>
    <t xml:space="preserve">     ผนังแผ่นยิบซั่มบอร์ด หนา 15 มม. ขนาด 1.20 x 2.40 ม.</t>
  </si>
  <si>
    <t xml:space="preserve"> -128-</t>
  </si>
  <si>
    <t>วัสดุมวลรวมของงานปูพื้นด้วยวัสดุสำเร็จรูปต่างๆ</t>
  </si>
  <si>
    <t xml:space="preserve">    รวมปูนทรายรองพื้น(สำหรับปูแผ่นพื้นสำเร็จรูป)</t>
  </si>
  <si>
    <t xml:space="preserve">    รวมปูนทรายรองพื้นผิวซีเมนต์ขัดมัน</t>
  </si>
  <si>
    <t xml:space="preserve"> - น้ำยากันซึม</t>
  </si>
  <si>
    <t xml:space="preserve">    รวมปูนทรายรองพื้นผิวซีเมนต์ขัดมันผสมกันซึม</t>
  </si>
  <si>
    <t xml:space="preserve">    รวมวัสดุทำพื้นผิวกรวดล้าง</t>
  </si>
  <si>
    <t xml:space="preserve">    รวมวัสดุทำพื้นผิวหินล้าง</t>
  </si>
  <si>
    <t xml:space="preserve"> -129-</t>
  </si>
  <si>
    <t xml:space="preserve"> - หินเกล็ดเบอร์ 2.5+ 3+4</t>
  </si>
  <si>
    <t xml:space="preserve">    รวมวัสดุทำพื้นผิวหินขัดเบอร์ 2.5+3+4</t>
  </si>
  <si>
    <t xml:space="preserve"> - หินเกล็ดเบอร์ 2.5+3+4</t>
  </si>
  <si>
    <t xml:space="preserve"> - เส้น PVC แบ่งแนว</t>
  </si>
  <si>
    <t xml:space="preserve">  รวมวัสดุทำพื้นผิวหินขัดเบอร์ 1+2+3 มีเส้น PVC แบ่งแนว</t>
  </si>
  <si>
    <t>พื้นปูกระเบื้องเคลือบขาวขนาด 4"x4"</t>
  </si>
  <si>
    <t xml:space="preserve"> - กระเบื้องเคลือบขาว 4"x4"(100+5 แผ่น)</t>
  </si>
  <si>
    <t xml:space="preserve">    รวมพื้นปูกระเบื้องเคลือบขาว 4"x4"</t>
  </si>
  <si>
    <t>พื้นปูกระเบื้องเคลือบสีธรรมดาขนาด 4"x4"</t>
  </si>
  <si>
    <t xml:space="preserve"> - กระเบื้องเคลือบสี 4"x4"(100+5 แผ่น)</t>
  </si>
  <si>
    <t xml:space="preserve">    รวมพื้นปูกระเบื้องเคลือบสี 4"x4"</t>
  </si>
  <si>
    <t xml:space="preserve"> -130-</t>
  </si>
  <si>
    <t>พื้นปูกระเบื้องเคลือบขาวขนาด 8"x8"</t>
  </si>
  <si>
    <t xml:space="preserve">    รวมพื้นปูกระเบื้องเคลือบขาว 8"x8"</t>
  </si>
  <si>
    <t>พื้นปูกระเบื้องเคลือบสีธรรมดาขนาด 8"x8"</t>
  </si>
  <si>
    <t xml:space="preserve">    รวมพื้นปูกระเบื้องเคลือบสีธรรมดา 8"x8"</t>
  </si>
  <si>
    <t>พื้นปูกระเบื้องเคลือบสีมีลวดลายขนาด 8"x8"</t>
  </si>
  <si>
    <t xml:space="preserve"> - กระเบื้องเคลือบสีมีลวดลาย 8"x8"(25+3 แผ่น)</t>
  </si>
  <si>
    <t xml:space="preserve">    รวมพื้นปูกระเบื้องเคลือบสีมีลวดลาย 8"x8"</t>
  </si>
  <si>
    <t>พื้นปูกระเบื้องเซรามิคสีธรรมดาขนาด 8"x8"</t>
  </si>
  <si>
    <t xml:space="preserve"> - กระเบื้องเซรามิคสีธรรมดา 8"x8"(25+3 แผ่น)</t>
  </si>
  <si>
    <t xml:space="preserve">    รวมพื้นปูกระเบื้องเซรามิคสีธรรมดา 8"x8"</t>
  </si>
  <si>
    <t xml:space="preserve"> -131-</t>
  </si>
  <si>
    <t>พื้นปูกระเบื้องเซรามิคสีมีลวดลายขนาด 8"x8"</t>
  </si>
  <si>
    <t xml:space="preserve"> - กระเบื้องเซรามิคสีมีลวดลาย 8"x8"(25+3 แผ่น)</t>
  </si>
  <si>
    <t xml:space="preserve">    รวมพื้นปูกระเบื้องเซรามิคสีมีลวดลาย 8"x8"</t>
  </si>
  <si>
    <t>พื้นปูกระเบื้องเซรามิคสีธรรมดาขนาด 12"x12"</t>
  </si>
  <si>
    <t xml:space="preserve"> - กระเบื้องเซรามิคสีธรรมดา 12"x12"(11+3 แผ่น)</t>
  </si>
  <si>
    <t xml:space="preserve"> ใช้11.111 แผ่น</t>
  </si>
  <si>
    <t xml:space="preserve">    รวมพื้นปูกระเบื้องเซรามิคสีธรรมดา 12"x12"</t>
  </si>
  <si>
    <t>พื้นปูกระเบื้องเซรามิคสีมีลวดลายขนาด 12"x12"</t>
  </si>
  <si>
    <t xml:space="preserve"> - กระเบื้องเซรามิคสีมีลวดลาย 12"x12"(11+3 แผ่น)</t>
  </si>
  <si>
    <t xml:space="preserve">    รวมพื้นปูกระเบื้องเซรามิคสีมีลวดลาย 12"x12"</t>
  </si>
  <si>
    <t>พื้นปูกระเบื้องแผ่นหินขัดขนาด 12"x12"</t>
  </si>
  <si>
    <t xml:space="preserve">    รวมพื้นปูกระเบื้องแผ่นหินขัด 12"x12"</t>
  </si>
  <si>
    <t xml:space="preserve"> -132-</t>
  </si>
  <si>
    <t>พื้นปูแผ่นหินอ่อนขนาด  30 ซม. X 60 ซม.</t>
  </si>
  <si>
    <t xml:space="preserve"> - แผ่นหินอ่อนขนาด  30 ซม. X 60 ซม. หนา 2 ซม.</t>
  </si>
  <si>
    <t xml:space="preserve">    รวมพื้นปูแผ่นหินอ่อน</t>
  </si>
  <si>
    <t>พื้นปูแผ่นหินแกรนิตขนาด  30 ซม. X 60 ซม.</t>
  </si>
  <si>
    <t xml:space="preserve"> - แผ่นหินแกรนิตขนาด  30 ซม. X 60 ซม. หนา 2 ซม.</t>
  </si>
  <si>
    <t xml:space="preserve">    รวมพื้นปูแผ่นหินแกรนิต</t>
  </si>
  <si>
    <t xml:space="preserve"> - กระเบื้องยางขนาด 9" x 9" หนา 1.6 มม.</t>
  </si>
  <si>
    <t>เผื่อ 5%</t>
  </si>
  <si>
    <t xml:space="preserve"> - กาวสำหรับปูกระเบื้องยาง</t>
  </si>
  <si>
    <t xml:space="preserve">    รวมพื้นปูกระเบื้องยางหนา 1.6 มม.</t>
  </si>
  <si>
    <t xml:space="preserve"> - กระเบื้องยางขนาด 9" x 9" หนา 2 มม.</t>
  </si>
  <si>
    <t xml:space="preserve">    รวมพื้นปูกระเบื้องยางหนา 2 มม.</t>
  </si>
  <si>
    <t xml:space="preserve"> -133-</t>
  </si>
  <si>
    <t xml:space="preserve"> - กระเบื้องยางขนาด 9" x 9" หนา 2.5 มม.</t>
  </si>
  <si>
    <t xml:space="preserve">    รวมพื้นปูกระเบื้องยางหนา 2.5 มม.</t>
  </si>
  <si>
    <t xml:space="preserve"> - กระเบื้องยางขนาด 9" x 9" หนา 3.2 มม.</t>
  </si>
  <si>
    <t xml:space="preserve">    รวมพื้นปูกระเบื้องยางหนา 3.2 มม.</t>
  </si>
  <si>
    <t xml:space="preserve"> - กระเบื้องยางชนิดม้วน หนา 2.5 มม.</t>
  </si>
  <si>
    <t xml:space="preserve">    รวมพื้นปูกระเบื้องยางชนิดม้วนหนา 3.2 มม.</t>
  </si>
  <si>
    <t xml:space="preserve"> - กระเบื้องยางชนิดม้วน หนา 3.2 มม.</t>
  </si>
  <si>
    <t xml:space="preserve"> -134-</t>
  </si>
  <si>
    <t xml:space="preserve"> - ปาร์เก้ไม้สักขนาด 1.3/4"x 8.1/2" หนา 15 มม.</t>
  </si>
  <si>
    <t xml:space="preserve"> - กาวสำหรับปูปาร์เก้</t>
  </si>
  <si>
    <t xml:space="preserve">    รวมพื้นปูปาร์เก้ไม้สักชนิดล้นร่องหนา 15 มม.</t>
  </si>
  <si>
    <t xml:space="preserve"> - ปาร์เก้ไม้สักขนาด 1.3/4"x 10" หนา 19 มม.</t>
  </si>
  <si>
    <t xml:space="preserve">    รวมพื้นปูปาร์เก้ไม้สักชนิดลิ้นร่องหนา 19 มม.</t>
  </si>
  <si>
    <t xml:space="preserve"> - ปาร์เก้ไม้แดงขนาด 1.3/4"x 8.1/2" หนา 19 มม.</t>
  </si>
  <si>
    <t xml:space="preserve">    รวมพื้นปูปาร์เก้ไม้แดงชนิดลิ้นร่องหนา 19 มม.</t>
  </si>
  <si>
    <t xml:space="preserve"> - ปาร์เก้ไม้แดงขนาด 1.3/4"x 12" หนา 19 มม.</t>
  </si>
  <si>
    <t xml:space="preserve"> -135-</t>
  </si>
  <si>
    <t xml:space="preserve"> - ปาร์เก้ไม้มะค่าขนาด 1.3/4"x 12" หนา 19 มม.</t>
  </si>
  <si>
    <t xml:space="preserve">    รวมพื้นปูปาร์เก้ไม้มะค่าชนิดลิ้นร่องหนา 19 มม.</t>
  </si>
  <si>
    <t xml:space="preserve"> - ปาร์เก้ไม้ประดู่ขนาด 1.3/4"x 12" หนา 19 มม.</t>
  </si>
  <si>
    <t xml:space="preserve">    รวมพื้นปูปาร์เก้ไม้ประดู่ชนิดลิ้นร่องหนา 19 มม.</t>
  </si>
  <si>
    <t xml:space="preserve"> - ปาร์เก้โมเสกไม้แดงขนาด 1/2"x 6"หนา1/2"  8 ชิ้น</t>
  </si>
  <si>
    <t xml:space="preserve">    รวมพื้นปูปาร์เก้โมเสกไม้แดงหนา 1/2"</t>
  </si>
  <si>
    <t xml:space="preserve"> - ปาร์เก้โมเสกไม้เบ็ญจพรรณขนาด 1/2"x 4.1/2" 6 ชิ้น</t>
  </si>
  <si>
    <t xml:space="preserve"> -136-</t>
  </si>
  <si>
    <t>พื้นไม้ยางเข้าลิ้น  1"x 4"  ปูบนตงไม้เนื้อแข็ง 1-1/2"x 6"</t>
  </si>
  <si>
    <t>ระยะห่างของตงไม้ไม่เกิน 0.50 ม.c/c</t>
  </si>
  <si>
    <t xml:space="preserve"> - พื้นไม้ยางขนาด 1"x 4" เข้าลิ้นอาบน้ำยา อบไส</t>
  </si>
  <si>
    <t>เผื่อเศษแล้ว</t>
  </si>
  <si>
    <t xml:space="preserve"> - ตงไม้เนื้อแข็ง 1-1/2"x 6" ไสเรียบ</t>
  </si>
  <si>
    <t xml:space="preserve">    รวมพื้นไม้ยางเข้าลิ้น 1"x 4" ปูบนตงไม้</t>
  </si>
  <si>
    <t>พื้นไม้ยางเข้าลิ้น  1"x 6"  ปูบนตงไม้เนื้อแข็ง 1-1/2"x 6"</t>
  </si>
  <si>
    <t xml:space="preserve"> - พื้นไม้ยางขนาด 1"x 6" เข้าลิ้นอาบน้ำยา อบไส</t>
  </si>
  <si>
    <t xml:space="preserve">    รวมพื้นไม้ยางเข้าลิ้น 1"x 6" ปูบนตงไม้</t>
  </si>
  <si>
    <t>พื้นไม้เนื้อแข็งเข้าลิ้น1"x 4"ปูบนตงไม้เนื้อแข็ง1-1/2"x 6"</t>
  </si>
  <si>
    <t xml:space="preserve"> - พื้นไม้เนื้อแข็ง 1"x 4" เข้าลิ้นอาบน้ำยา อบไส</t>
  </si>
  <si>
    <t xml:space="preserve">    รวมพื้นไม้เนื้อแข็งเข้าลิ้น 1"x 4" ปูบนตงไม้</t>
  </si>
  <si>
    <t>พื้นไม้เนื้อแข็งเข้าลิ้น1"x 6"ปูบนตงไม้เนื้อแข็ง1-1/2"x 6"</t>
  </si>
  <si>
    <t xml:space="preserve"> - พื้นไม้เนื้อแข็ง 1"x 6" เข้าลิ้นอาบน้ำยา อบไส</t>
  </si>
  <si>
    <t xml:space="preserve">    รวมพื้นไม้เนื้อแข็งเข้าลิ้น 1"x 6" ปูบนตงไม้</t>
  </si>
  <si>
    <t>พื้นไม้แดงเข้าลิ้น 1"x 4"  ปูบนตงไม้เนื้อแข็ง  1-1/2"x 6"</t>
  </si>
  <si>
    <t xml:space="preserve"> - พื้นไม้แดง 1"x 4" เข้าลิ้นอาบน้ำยา อบไส</t>
  </si>
  <si>
    <t xml:space="preserve">    รวมพื้นไม้แดงเข้าลิ้น 1"x 4" ปูบนตงไม้</t>
  </si>
  <si>
    <t xml:space="preserve"> -137-</t>
  </si>
  <si>
    <t>พื้นไม้แดงเข้าลิ้น 1"x 6"   ปูบนตงไม้เนื้อแข็ง  1-1/2"x 6"</t>
  </si>
  <si>
    <t xml:space="preserve"> - พื้นไม้แดง 1"x 6" เข้าลิ้นอาบน้ำยา อบไส</t>
  </si>
  <si>
    <t xml:space="preserve">    รวมพื้นไม้แดงเข้าลิ้น 1"x 6" ปูบนตงไม้</t>
  </si>
  <si>
    <t>พื้นไม้สักเข้าลิ้น 1"x 4"   ปูบนตงไม้เนื้อแข็ง  1-1/2"x 6"</t>
  </si>
  <si>
    <t xml:space="preserve"> - พื้นไม้สัก 1"x 4" เข้าลิ้นอาบน้ำยา อบไส</t>
  </si>
  <si>
    <t xml:space="preserve">    รวมพื้นไม้สักเข้าลิ้น 1"x 4" ปูบนตงไม้</t>
  </si>
  <si>
    <t>พื้นไม้สักเข้าลิ้น 1"x 6"   ปูบนตงไม้เนื้อแข็ง  1-1/2"x 6"</t>
  </si>
  <si>
    <t xml:space="preserve"> - พื้นไม้สัก 1"x 6" เข้าลิ้นอาบน้ำยา อบไส</t>
  </si>
  <si>
    <t xml:space="preserve">    รวมพื้นไม้สักเข้าลิ้น 1"x 6" ปูบนตงไม้</t>
  </si>
  <si>
    <t>พื้นไม้มะค่าเข้าลิ้น 1"x 4" ปูบนตงไม้เนื้อแข็ง 1-1/2"x 6"</t>
  </si>
  <si>
    <t xml:space="preserve"> - พื้นไม้มะค่า 1"x 4" เข้าลิ้นอาบน้ำยา อบไส</t>
  </si>
  <si>
    <t xml:space="preserve">    รวมพื้นไม้มะค่าเข้าลิ้น 1"x 4" ปูบนตงไม้</t>
  </si>
  <si>
    <t>พื้นไม้มะค่าเข้าลิ้น 1"x 6" ปูบนตงไม้เนื้อแข็ง 1-1/2"x 6"</t>
  </si>
  <si>
    <t xml:space="preserve"> - พื้นไม้มะค่า 1"x 6" เข้าลิ้นอาบน้ำยา อบไส</t>
  </si>
  <si>
    <t xml:space="preserve">    รวมพื้นไม้มะค่าเข้าลิ้น 1"x 6" ปูบนตงไม้</t>
  </si>
  <si>
    <t xml:space="preserve"> -138-</t>
  </si>
  <si>
    <t>พื้นทางเท้าปูแผ่นซีเมนต์ผิวลวดลายหนา 7 ซม.</t>
  </si>
  <si>
    <t xml:space="preserve"> - แผ่นซีเมนต์หนา 7 ซม. ขนาด 40 x 40 ซม.</t>
  </si>
  <si>
    <t xml:space="preserve"> - ทรายหยาบรองพื้นหนา 5 ซม.</t>
  </si>
  <si>
    <t xml:space="preserve"> - ปูนซีเมนต์ยาแนวรอยต่อ</t>
  </si>
  <si>
    <t xml:space="preserve">    รวมพื้นทางเท้าปูแผ่นซีเมนต์</t>
  </si>
  <si>
    <t>พื้นทางเท้าปูแผ่นซีเมนต์บล๊อกแบบดดกริช หนา 6 ซม.</t>
  </si>
  <si>
    <t xml:space="preserve">    รวมพื้นทางเท้าปูบล๊อกแบบดดกริชหนา 6 ซม.</t>
  </si>
  <si>
    <t xml:space="preserve"> -139-</t>
  </si>
  <si>
    <t>วัสดุมวลรวมของงานทำฝ้าเพดานด้วยวัสดุสำเร็จรูปต่างๆ</t>
  </si>
  <si>
    <t xml:space="preserve">   ฝ้าไม้ยางตีทับเกล็ดขนาด 1/2"x6" โครงคร่าวไม้ยางวางตั้ง</t>
  </si>
  <si>
    <t>ขนาด 1-1/2"x3" ระยะห่าง c/c 0.50 เมตร</t>
  </si>
  <si>
    <t xml:space="preserve"> - ฝ้าไม้ยางใสลบมุม ขนาด 1/2"x 6"</t>
  </si>
  <si>
    <t xml:space="preserve"> - โครงคร่าวไม้ยางใส ขนาด 1-1/2"x 3"</t>
  </si>
  <si>
    <t xml:space="preserve">    รวมวัสดุทำฝ้าเพดานไม้ยางตีทับเกล็ด</t>
  </si>
  <si>
    <t xml:space="preserve">   ฝ้าไม้ยางตีทับเกล็ดขนาด 1/2"x6" โครงคร่าวไม้เนื้อแข็ง</t>
  </si>
  <si>
    <t xml:space="preserve"> - โครงคร่าวไม้เนื้อแข็งใส ขนาด 1-1/2"x 3"</t>
  </si>
  <si>
    <t xml:space="preserve">   ฝ้าไม้เนื้อแข็งขนาด 1/2"x 2"ตีเว้นร่อง 0.05 ซม. โครงคร่าว</t>
  </si>
  <si>
    <t xml:space="preserve"> - ฝ้าไม้เนื้อแข็งใส 3 ด้าน ขนาด 1/2"x 2"</t>
  </si>
  <si>
    <t xml:space="preserve">    รวมวัสดุทำฝ้าเพดานไม้เนื้อแข็งตีเว้นร่อง 0.05 ซม.</t>
  </si>
  <si>
    <t xml:space="preserve">   ฝ้าไม้แดง ขนาด 1/2"x 2" ตีเว้นร่อง 0.05 ซม.   โครงคร่าว</t>
  </si>
  <si>
    <t xml:space="preserve"> - ฝ้าไม้แดงใส 3 ด้าน ขนาด 1/2"x 2"</t>
  </si>
  <si>
    <t xml:space="preserve">    รวมวัสดุทำฝ้าเพดานไม้แดงตีเว้นร่อง 0.05 ซม.</t>
  </si>
  <si>
    <t xml:space="preserve">   ฝ้าไม้มะค่า ขนาด 1/2"x 2" ตีเว้นร่อง 0.05 ซม. โครงคร่าว</t>
  </si>
  <si>
    <t xml:space="preserve"> - ฝ้าไม้มะค่าใส 3 ด้าน ขนาด 1/2"x 2"</t>
  </si>
  <si>
    <t xml:space="preserve">    รวมวัสดุทำฝ้าเพดานไม้มะค่าตีเว้นร่อง 0.05 ซม.</t>
  </si>
  <si>
    <t xml:space="preserve"> -140-</t>
  </si>
  <si>
    <t xml:space="preserve">   ฝ้าไม้แดง ขนาด 1/2"x 3" ตีเว้นร่อง 0.05 ซม.   โครงคร่าว</t>
  </si>
  <si>
    <t xml:space="preserve"> - ฝ้าไม้แดงใส 3 ด้าน ขนาด 1/2"x 3"</t>
  </si>
  <si>
    <t xml:space="preserve">   ฝ้าไม้มะค่า ขนาด 1/2"x 3" ตีเว้นร่อง 0.05 ซม. โครงคร่าว</t>
  </si>
  <si>
    <t xml:space="preserve"> - ฝ้าไม้มะค่าใส 3 ด้าน ขนาด 1/2"x 3"</t>
  </si>
  <si>
    <t xml:space="preserve">   ฝ้าไม้แดงบังใบเซาะร่อง V ขนาด 1/2"x 4" โครงคร่าวไม้</t>
  </si>
  <si>
    <t>เนื้อแข็งขนาด 1-1/2"x3" ระยะห่าง c/c 0.50 เมตร</t>
  </si>
  <si>
    <t xml:space="preserve"> - ฝ้าไม้แดงใสบังใบเซาะร่อง V ขนาด 1/2"x 4"</t>
  </si>
  <si>
    <t xml:space="preserve">    รวมวัสดุทำฝ้าเพดานไม้แดงเซาะร่อง V</t>
  </si>
  <si>
    <t xml:space="preserve">   ฝ้าไม้สัก บังใบเซาะร่อง V  ขนาด 1/2"x 4"  โครงคร่าวไม้</t>
  </si>
  <si>
    <t xml:space="preserve"> - ฝ้าไม้สักใสบังใบเซาะร่อง V ขนาด 1/2"x 4"</t>
  </si>
  <si>
    <t xml:space="preserve">    รวมวัสดุทำฝ้าเพดานไม้สักเซาะร่อง V</t>
  </si>
  <si>
    <t xml:space="preserve">   ฝ้าไม้มะค่าบังใบเซาะร่อง V ขนาด 1/2"x 4" โครงคร่าวไม้</t>
  </si>
  <si>
    <t xml:space="preserve"> - ฝ้าไม้มะค่าใสบังใบเซาะร่อง V ขนาด 1/2"x 4"</t>
  </si>
  <si>
    <t xml:space="preserve">    รวมวัสดุทำฝ้าเพดานไม้มะค่าเซาะร่อง V</t>
  </si>
  <si>
    <t xml:space="preserve"> -141-</t>
  </si>
  <si>
    <t xml:space="preserve">  ฝ้าไม้อัดยางหนา 4 มม. 4'x8' โครงคร่าวไม้ยาง 1-1/2"x 3"</t>
  </si>
  <si>
    <t xml:space="preserve">ระยะห่าง c/c 0.60x0.60 เมตร # </t>
  </si>
  <si>
    <t xml:space="preserve"> - โครงคร่าวไม้ยางใส 1 ด้าน ขนาด 1-1/2"x 3"</t>
  </si>
  <si>
    <t xml:space="preserve">  ฝ้าไม้อัดยางหนา 4 มม. 4'x8'  โครงคร่าวไม้เนื้อแข็งขนาด</t>
  </si>
  <si>
    <t xml:space="preserve">1-1/2"x 3" ระยะห่าง c/c 0.60x0.60 เมตร # </t>
  </si>
  <si>
    <t xml:space="preserve"> - โครงคร่าวไม้เนื้อแข็งใส 1 ด้าน ขนาด 1-1/2"x 3"</t>
  </si>
  <si>
    <t xml:space="preserve">  ฝ้าไม้อัดยางหนา 6 มม. 4'x8' โครงคร่าวไม้ยาง 1-1/2"x 3"</t>
  </si>
  <si>
    <t xml:space="preserve">  ฝ้าไม้อัดยางหนา 6 มม. 4'x8'   โครงคร่าวไม้เนื้อแข็งขนาด</t>
  </si>
  <si>
    <t xml:space="preserve">  ฝ้าไม้อัดสักหนา 4 มม. 4'x8'  โครงคร่าวไม้ยาง 1-1/2"x 3"</t>
  </si>
  <si>
    <t xml:space="preserve"> -142-</t>
  </si>
  <si>
    <t xml:space="preserve">  ฝ้าไม้อัดสักหนา 4 มม. 4'x8'   โครงคร่าวไม้เนื้อแข็งขนาด</t>
  </si>
  <si>
    <t xml:space="preserve">  ฝ้าไม้อัดสักหนา 6 มม. 4'x8'  โครงคร่าวไม้ยาง 1-1/2"x 3"</t>
  </si>
  <si>
    <t xml:space="preserve">  ฝ้าไม้อัดสักหนา 6 มม. 4'x8'   โครงคร่าวไม้เนื้อแข็งขนาด</t>
  </si>
  <si>
    <t xml:space="preserve">  ฝ้าเพดานกระเบื้องแผ่นเรียบหนา 4 มม.ขนาด 1.20x2.40 ม.</t>
  </si>
  <si>
    <t xml:space="preserve">โครงคร่าวไม้ยาง 1-1/2"x 3" @ 0..60x0.60 ม. # </t>
  </si>
  <si>
    <t xml:space="preserve"> - กระเบื้องแผ่นเรียบหนา 4 มม. ขนาด 1.20 x 2.40 ม. </t>
  </si>
  <si>
    <t xml:space="preserve">    รวมวัสดุทำฝ้าเพดานกระเบื้องแผ่นเรียบหนา 4 มม.</t>
  </si>
  <si>
    <t xml:space="preserve">โครงคร่าวไม้เนื้อแข็ง 1-1/2"x 3" @ 0..60x0.60 ม. # </t>
  </si>
  <si>
    <t xml:space="preserve"> -143-</t>
  </si>
  <si>
    <t xml:space="preserve">  ฝ้าเพดานกระเบื้องแผ่นเรียบหนา 6 มม.ขนาด 1.20x2.40 ม.</t>
  </si>
  <si>
    <t xml:space="preserve">    รวมวัสดุทำฝ้าเพดานกระเบื้องแผ่นเรียบหนา 6 มม.</t>
  </si>
  <si>
    <t xml:space="preserve">  ฝ้าเพดานแผ่นยิบซั่มบอร์ดหนา 9 มม.ขนาด 1.20 x 2.40 ม.</t>
  </si>
  <si>
    <t xml:space="preserve">โครงคร่าวไม้ยาง 1-1/2"x 3" @ 0.60x0.60 ม. # </t>
  </si>
  <si>
    <t>รวมวัสดุฝ้าเพดานแผ่นยิบซั่มบอร์ดหนา 9 มม.</t>
  </si>
  <si>
    <t xml:space="preserve">โครงคร่าวไม้เนื้อแข็ง1-1/2"x 3"@ 0.60x0.60 ม.# </t>
  </si>
  <si>
    <t xml:space="preserve">  ฝ้าเพดานแผ่นยิบซั่มบอร์ดหนา 12 มม.ขนาด 1.20x2.40 ม.</t>
  </si>
  <si>
    <t>รวมวัสดุฝ้าเพดานแผ่นยิบซั่มบอร์ดหนา 12 มม.</t>
  </si>
  <si>
    <t xml:space="preserve"> -144-</t>
  </si>
  <si>
    <t xml:space="preserve"> - แผ่นยิบซั่มบอร์ดหนา 12 มม.ขนาด 1.20 x 2.40 ม. </t>
  </si>
  <si>
    <t xml:space="preserve">มีอะลูมิเนียมฟอยล์ คร่าวไม้ยาง 1-1/2"x 3"@ 0.60x0.60 ม. # </t>
  </si>
  <si>
    <t xml:space="preserve"> - แผ่นยิบซั่มบอร์ดชนิดมีอะลูมิเนียมฟอยล์หนา 9 มม. </t>
  </si>
  <si>
    <t xml:space="preserve">มีอะลูมิเนียมฟอยล์ คร่าวไม้เนื้อแข็ง1-1/2"x 3"@0.60x0.60ม. </t>
  </si>
  <si>
    <t xml:space="preserve"> - แผ่นยิบซั่มบอร์ดชนิดมีอะลูมิเนียมฟอยล์หนา 12 มม. </t>
  </si>
  <si>
    <t>รวมวัสดุฝ้าเพดานยิบซั่มบอร์ดหนา 12 มม.มีอะลูมิเนียมฟอยล์</t>
  </si>
  <si>
    <t xml:space="preserve"> -145-</t>
  </si>
  <si>
    <t xml:space="preserve">ชนิดกันความชื้น คร่าวไม้ยาง 1-1/2"x 3"@ 0.60x0.60 ม. # </t>
  </si>
  <si>
    <t xml:space="preserve"> - แผ่นยิบซั่มบอร์ดชนิดกันความชื้นหนา 9 มม. </t>
  </si>
  <si>
    <t xml:space="preserve">  ฝ้าเพดานแผ่นยิบซั่มบอร์ดหนา 9 มม.ขนาด 1.20x2.40 ม.</t>
  </si>
  <si>
    <t xml:space="preserve">ชนิดกันความชื้น คร่าวไม้เนื้อแข็ง1-1/2"x 3"@ 0.60x0.60 ม. </t>
  </si>
  <si>
    <t xml:space="preserve"> - แผ่นยิบซั่มบอร์ดชนิดกันความชื้นหนา 12 มม. </t>
  </si>
  <si>
    <t xml:space="preserve"> -146-</t>
  </si>
  <si>
    <t xml:space="preserve">  ฝ้าเพดานแผ่นยิบซั่มบอร์ดหนา  9 มม.ขนาด 1.20x2.40 ม.</t>
  </si>
  <si>
    <t>โครงคร่าวเหล็กชุบสังกะสี@ 0.60 ม.(TG-  )</t>
  </si>
  <si>
    <t xml:space="preserve"> - ค่าแรงงานติดตั้งฝ้าเพดานทั้งหมด</t>
  </si>
  <si>
    <t>รวมงานทำฝ้าเพดานแผ่นยิบซั่มบอร์ดหนา 9 มม.</t>
  </si>
  <si>
    <t>รวมงานทำฝ้าเพดานแผ่นยิบซั่มบอร์ดหนา 12 มม.</t>
  </si>
  <si>
    <t>มีอะลูมิเนียมฟอยล์ คร่าวเหล็กชุบสังกะสี@ 0.60 ม.(TG-  )</t>
  </si>
  <si>
    <t xml:space="preserve"> -147-</t>
  </si>
  <si>
    <t xml:space="preserve">  ฝ้าเพดานแผ่นยิบซั่มบอร์ดชนิดพิมพ์ลาย หนา  9 มม.ขนาด</t>
  </si>
  <si>
    <t>0.60 x 0.60 ม.โครงคร่าวเหล็กชุบสังกะสี@ 0.60 ม.(TG-  )</t>
  </si>
  <si>
    <t xml:space="preserve"> - แผ่นยิบซั่มบอร์ดหนา 9 มม. ขนาด 0.60 x 0.60 ม. </t>
  </si>
  <si>
    <t xml:space="preserve">  ฝ้าเพดานแผ่นยิบซั่มบอร์ดชนิดพิมพ์ลาย หนา 12 มม.ขนาด</t>
  </si>
  <si>
    <t>0.60 x 1.20 ม.โครงคร่าวเหล็กชุบสังกะสี@ 0.60 ม.(TG-  )</t>
  </si>
  <si>
    <t xml:space="preserve"> - แผ่นยิบซั่มบอร์ดหนา 12 มม. ขนาด 0.60 x 1.20 ม. </t>
  </si>
  <si>
    <t xml:space="preserve">  ฝ้าเพดานแผ่นใยไม้อัดแข็งชนิดเรียบ หนา 6 มม.ขนาด</t>
  </si>
  <si>
    <t>1.20 x 2.40 ม.โครงคร่าวเหล็กชุบสังกะสี@ 0.60 ม.</t>
  </si>
  <si>
    <t xml:space="preserve">  ฝ้าเพดานแผ่นใยไม้อัดแข็งชนิดลวดลาย หนา 6 มม.ขนาด</t>
  </si>
  <si>
    <t xml:space="preserve"> -148-</t>
  </si>
  <si>
    <t>วัสดุมวลรวมของงานทาสี (ต่อพื้นที่ 1 ตารางเมตร)</t>
  </si>
  <si>
    <t xml:space="preserve">   งานทาสีพลาสติกชนิดทาภายนอก</t>
  </si>
  <si>
    <t xml:space="preserve"> - สีโป๊ว</t>
  </si>
  <si>
    <t xml:space="preserve"> - สีทาภายนอกทารองพื้น</t>
  </si>
  <si>
    <t>GL.</t>
  </si>
  <si>
    <t xml:space="preserve"> - สีทาภายนอกทาทับหน้า</t>
  </si>
  <si>
    <t xml:space="preserve"> - น้ำผสมสี</t>
  </si>
  <si>
    <t xml:space="preserve">    รวมวัสดุทาสีภายนอก</t>
  </si>
  <si>
    <t xml:space="preserve">   งานทาสีพลาสติกชนิดทาภายใน</t>
  </si>
  <si>
    <t xml:space="preserve"> - สีทาภายในทารองพื้น</t>
  </si>
  <si>
    <t xml:space="preserve"> - สีทาภายในทาทับหน้า</t>
  </si>
  <si>
    <t xml:space="preserve">    รวมวัสดุทาสีภายใน</t>
  </si>
  <si>
    <t xml:space="preserve">   งานทาสีน้ำมัน</t>
  </si>
  <si>
    <t xml:space="preserve"> - สีทารองพื้น</t>
  </si>
  <si>
    <t xml:space="preserve"> - สีทาทับหน้า</t>
  </si>
  <si>
    <t xml:space="preserve"> - น้ำมันผสมสี</t>
  </si>
  <si>
    <t xml:space="preserve">    รวมวัสดุทาสีน้ำมัน</t>
  </si>
  <si>
    <t xml:space="preserve">   งานทาสีแชลแล็ค</t>
  </si>
  <si>
    <t xml:space="preserve"> - สีโป๊ว-กระดาษทราย</t>
  </si>
  <si>
    <t xml:space="preserve"> - ทารองพื้น</t>
  </si>
  <si>
    <t xml:space="preserve"> - ทาเคลือบด้านหรือเคลือบเงาทับหน้า</t>
  </si>
  <si>
    <t xml:space="preserve"> - ทินเนอร์หรือแอลกอฮอล์</t>
  </si>
  <si>
    <t xml:space="preserve">    รวมวัสดุทาแชลแล็ค</t>
  </si>
  <si>
    <t xml:space="preserve">   งานทาสีเหล็กกันสนิม</t>
  </si>
  <si>
    <t xml:space="preserve">    รวมวัสดุทาสีเหล็กกันสนิม</t>
  </si>
  <si>
    <t>ราคาสืบ</t>
  </si>
  <si>
    <t>ราคา  กทม.</t>
  </si>
  <si>
    <t xml:space="preserve">     ขุดล้อมขนาด dia.2.01-2.50 เมตร</t>
  </si>
  <si>
    <t>เกิน</t>
  </si>
  <si>
    <t>คิดราคาต่อ  1   ต้น</t>
  </si>
  <si>
    <t>บาท/ต้น</t>
  </si>
  <si>
    <t>ระยะทางย้าย 3.00  เมตร</t>
  </si>
  <si>
    <t>ค่าสายไฟฟ้า NYY 1*2.5  SQ.MM.</t>
  </si>
  <si>
    <t>ค่าตุ้มไฟฟ้าก่อสร้างใหม่ใหม่</t>
  </si>
  <si>
    <t xml:space="preserve"> ค่าแรงเดินสายไฟฟ้า</t>
  </si>
  <si>
    <t>ค่าติดตั้งตุ้มไฟฟ้า+ย้ายเสาไฟฟ้า</t>
  </si>
  <si>
    <t>คิดราคาต่อ  1   เหมารวม</t>
  </si>
  <si>
    <t>เหมารวม</t>
  </si>
  <si>
    <t>จำนวนป้ายทั้งหมด</t>
  </si>
  <si>
    <t>ป้าย</t>
  </si>
  <si>
    <t xml:space="preserve">          แรงงาน 3 คน x 335 บาท=1,005 บาท</t>
  </si>
  <si>
    <t xml:space="preserve">           1 วันขุดย้ายได้  6  ป้าย</t>
  </si>
  <si>
    <t xml:space="preserve">         เป็นเงิน  10*1005  =10,050</t>
  </si>
  <si>
    <t>ค่าแรงขั้นต่ำ พะเยา  335  บาท</t>
  </si>
  <si>
    <t>คิดค่าแรง/วัน</t>
  </si>
  <si>
    <t>ราคาผิว  AC.</t>
  </si>
  <si>
    <t>คิดราคาต่อ  1  จุด</t>
  </si>
  <si>
    <t>จุด</t>
  </si>
  <si>
    <t>ค่าแรงติดตั้งหีบประตูน้ำ</t>
  </si>
  <si>
    <t>ค่าคอนกรีตฝา หีบประตูน้ำ</t>
  </si>
  <si>
    <t>ค่าท่อ  PVC. 6"  (8.5)</t>
  </si>
  <si>
    <t>ค่าขุดรื้อถอนหีบประตูน้ำเดิม  1  ชุด</t>
  </si>
  <si>
    <t>ค่าหีบ ประตูน้ำ คสล.(สำเร็จรูป)</t>
  </si>
  <si>
    <t>ราคาจากการประปาพะเยา</t>
  </si>
  <si>
    <t>ราคาพาณิชย์จังหวัด</t>
  </si>
  <si>
    <t>ประมาณการค่าก่อสร้าง (รื้อย้าย ประตูน้ำประปา)</t>
  </si>
  <si>
    <t>ข้อมูลถนน   คสล..สาย 1  (26 ล้าน)</t>
  </si>
  <si>
    <t xml:space="preserve"> - แนวเขตทาง</t>
  </si>
  <si>
    <t>เดิม</t>
  </si>
  <si>
    <t>ทางเท้า</t>
  </si>
  <si>
    <t>ระยะที่เหลือ</t>
  </si>
  <si>
    <t>เลือกความกว้าง</t>
  </si>
  <si>
    <t>กว้างผิวที่ขยาย</t>
  </si>
  <si>
    <t>ข้อมูลถนน   คสล..สาย 1  (26 ล้าน) ขวาทาง</t>
  </si>
  <si>
    <t>สิ้นสุดโครงการ</t>
  </si>
  <si>
    <t>ข้อมูลถนน   คสล..สาย 1  (26.1 ล้าน) ซ้ายทาง</t>
  </si>
  <si>
    <t>กว้างผิวทางรวม</t>
  </si>
  <si>
    <t>แยกแขวงทางหลวง</t>
  </si>
  <si>
    <t>หน้าแขวงทางหลวง</t>
  </si>
  <si>
    <t xml:space="preserve">ที่ว่าการอำเภอเมือง </t>
  </si>
  <si>
    <t xml:space="preserve">ประตูกาดต้นสัก </t>
  </si>
  <si>
    <t xml:space="preserve">ไปรษณีย์ </t>
  </si>
  <si>
    <t xml:space="preserve">ประตูข้างกาชาด </t>
  </si>
  <si>
    <t>ร้านข้าวเส้น ข้าวซอย</t>
  </si>
  <si>
    <t xml:space="preserve">ซอยชฏาธาร </t>
  </si>
  <si>
    <t>(ระยะแปลกๆ)</t>
  </si>
  <si>
    <t>ถนน</t>
  </si>
  <si>
    <t>ถึงแนวเขตทาง</t>
  </si>
  <si>
    <t>กว้างผิวที่</t>
  </si>
  <si>
    <t>รื้อขยายใหม่</t>
  </si>
  <si>
    <t>ระยะทางเท้า</t>
  </si>
  <si>
    <t>ที่เหลือ</t>
  </si>
  <si>
    <t>ใช้ความกว้าง</t>
  </si>
  <si>
    <t>ผิวทางกว้าง</t>
  </si>
  <si>
    <t>ประตู วท.พยายบาลพะเยา</t>
  </si>
  <si>
    <t>ประตู ทิศเหนือ รพ.พะเยา</t>
  </si>
  <si>
    <t>หน้า รพ.พะเยา</t>
  </si>
  <si>
    <t>ประตูทิศใต้</t>
  </si>
  <si>
    <t>รพ.พะเยา</t>
  </si>
  <si>
    <t xml:space="preserve">   ศาลารับผู้โดยสาร</t>
  </si>
  <si>
    <t>ทางเท้า (XL1)</t>
  </si>
  <si>
    <t>ใหม่ (XL2)</t>
  </si>
  <si>
    <t>เดิม (XL3)</t>
  </si>
  <si>
    <t>sta.685 เริ่มงบ อบจ.</t>
  </si>
  <si>
    <t>sta 949 สิ้นสุดงบ อบจ....</t>
  </si>
  <si>
    <t>ไม่ขยายผิว</t>
  </si>
  <si>
    <t>Recycling  อย่างเดียว</t>
  </si>
  <si>
    <r>
      <t xml:space="preserve">รหัส Unprotect      </t>
    </r>
    <r>
      <rPr>
        <b/>
        <sz val="16"/>
        <color indexed="9"/>
        <rFont val="TH SarabunPSK"/>
        <family val="2"/>
      </rPr>
      <t>000</t>
    </r>
  </si>
  <si>
    <r>
      <t>กรอกข้อความ หรือ ตัวเลข  เฉพาะในช่องพื้น</t>
    </r>
    <r>
      <rPr>
        <b/>
        <sz val="12"/>
        <rFont val="TH SarabunPSK"/>
        <family val="2"/>
      </rPr>
      <t xml:space="preserve"> </t>
    </r>
    <r>
      <rPr>
        <b/>
        <sz val="12"/>
        <color indexed="13"/>
        <rFont val="TH SarabunPSK"/>
        <family val="2"/>
      </rPr>
      <t>สีเหลือง</t>
    </r>
  </si>
  <si>
    <r>
      <t>ประเภทงาน</t>
    </r>
    <r>
      <rPr>
        <sz val="12"/>
        <rFont val="TH SarabunPSK"/>
        <family val="2"/>
      </rPr>
      <t xml:space="preserve">            </t>
    </r>
  </si>
  <si>
    <r>
      <t>เจ้าของโครงการ</t>
    </r>
    <r>
      <rPr>
        <sz val="12"/>
        <rFont val="TH SarabunPSK"/>
        <family val="2"/>
      </rPr>
      <t xml:space="preserve">       </t>
    </r>
  </si>
  <si>
    <r>
      <t xml:space="preserve">15.50,16.50,17.50,18.50,19.50,20.50,21.50,22.50,23.50,24.50, 25.50, </t>
    </r>
    <r>
      <rPr>
        <sz val="12"/>
        <color rgb="FFC00000"/>
        <rFont val="TH SarabunPSK"/>
        <family val="2"/>
      </rPr>
      <t>26.50,27.50, 28.50, 29.50</t>
    </r>
    <r>
      <rPr>
        <sz val="12"/>
        <rFont val="TH SarabunPSK"/>
        <family val="2"/>
      </rPr>
      <t>, 30.50, 31.50 ,32.50</t>
    </r>
  </si>
  <si>
    <r>
      <rPr>
        <b/>
        <sz val="12"/>
        <rFont val="TH SarabunPSK"/>
        <family val="2"/>
      </rPr>
      <t>ฝนตกชุก 1*</t>
    </r>
    <r>
      <rPr>
        <sz val="12"/>
        <rFont val="TH SarabunPSK"/>
        <family val="2"/>
      </rPr>
      <t xml:space="preserve">    = กรุงเทพฯ ,กระบี่ ,จันทบุรี  ,ชุมพร ,เชียงราย ,ตรัง ,นครนายก ,ปราจีนบุรี ,พัทลุง ,ภูเก็ต ,ยะลา ,สกลนคร ,สตูล และหนองคาย</t>
    </r>
  </si>
  <si>
    <r>
      <rPr>
        <b/>
        <sz val="12"/>
        <rFont val="TH SarabunPSK"/>
        <family val="2"/>
      </rPr>
      <t>ฝนตกชุก 2**</t>
    </r>
    <r>
      <rPr>
        <sz val="12"/>
        <rFont val="TH SarabunPSK"/>
        <family val="2"/>
      </rPr>
      <t xml:space="preserve">   = ตราด ,นครพนม ,นครศรีธรรมราช ,นราธิวาส ,บึงกาฬ ,พังงา ,ระนอง และสงขลา</t>
    </r>
  </si>
  <si>
    <r>
      <t>6. งานพื้นทาง</t>
    </r>
    <r>
      <rPr>
        <b/>
        <sz val="12"/>
        <color indexed="10"/>
        <rFont val="TH SarabunPSK"/>
        <family val="2"/>
      </rPr>
      <t xml:space="preserve"> ( หินคลุกปรับระดับ )</t>
    </r>
  </si>
  <si>
    <t>จาก แหล่ง อ.เมือง จ.พะเยา</t>
  </si>
  <si>
    <t>คำนวณราคากลางเมื่อ</t>
  </si>
  <si>
    <t>วันที่   24  เดือน  กันยายน      พ.ศ. 2567</t>
  </si>
  <si>
    <t xml:space="preserve">   5.2.8 ป้ายจราจรแบบ ต63,ต66 (2 แผ่นป้ายต่อชุด)</t>
  </si>
  <si>
    <t xml:space="preserve">   5.2.27 ป้ายจราจรแบบ บ3-บ55+ต1-ต28</t>
  </si>
  <si>
    <t xml:space="preserve">   5.2.28 ป้ายจราจรแบบ บ3-บ55 + ต71-ต73</t>
  </si>
  <si>
    <r>
      <t xml:space="preserve">ตารางค่าขนส่งค่าวัสดุก่อสร้าง  </t>
    </r>
    <r>
      <rPr>
        <b/>
        <sz val="12"/>
        <color indexed="10"/>
        <rFont val="TH SarabunPSK"/>
        <family val="2"/>
      </rPr>
      <t>รถบรรทุกสิบล้อ</t>
    </r>
  </si>
  <si>
    <r>
      <t>ประเภทงาน</t>
    </r>
    <r>
      <rPr>
        <sz val="14"/>
        <rFont val="TH SarabunPSK"/>
        <family val="2"/>
      </rPr>
      <t xml:space="preserve">            </t>
    </r>
  </si>
  <si>
    <r>
      <t>เจ้าของโครงการ</t>
    </r>
    <r>
      <rPr>
        <sz val="14"/>
        <rFont val="TH SarabunPSK"/>
        <family val="2"/>
      </rPr>
      <t xml:space="preserve">       </t>
    </r>
  </si>
  <si>
    <r>
      <t>รหัสสายทาง</t>
    </r>
    <r>
      <rPr>
        <sz val="14"/>
        <rFont val="TH SarabunPSK"/>
        <family val="2"/>
      </rPr>
      <t xml:space="preserve">                              </t>
    </r>
  </si>
  <si>
    <r>
      <t xml:space="preserve">สถานที่ตั้ง </t>
    </r>
    <r>
      <rPr>
        <sz val="14"/>
        <rFont val="TH SarabunPSK"/>
        <family val="2"/>
      </rPr>
      <t xml:space="preserve">             </t>
    </r>
  </si>
  <si>
    <r>
      <t xml:space="preserve">ลักษณะสายทางเดิม   </t>
    </r>
    <r>
      <rPr>
        <sz val="14"/>
        <rFont val="TH SarabunPSK"/>
        <family val="2"/>
      </rPr>
      <t xml:space="preserve">    </t>
    </r>
  </si>
  <si>
    <r>
      <t>ประมาณราคาค่าก่อสร้าง</t>
    </r>
    <r>
      <rPr>
        <sz val="14"/>
        <rFont val="TH SarabunPSK"/>
        <family val="2"/>
      </rPr>
      <t xml:space="preserve">  </t>
    </r>
  </si>
  <si>
    <r>
      <t xml:space="preserve"> - ปูนซีเมนต์ปอร์ตแลนด์ </t>
    </r>
    <r>
      <rPr>
        <sz val="11"/>
        <rFont val="TH SarabunPSK"/>
        <family val="2"/>
      </rPr>
      <t>(เช่น ตราเสือ,งูเห่า,นกอินทรีย์ ฯ)</t>
    </r>
  </si>
  <si>
    <r>
      <t xml:space="preserve"> - ปูนซีเมนต์ปอร์ตแลนด์ </t>
    </r>
    <r>
      <rPr>
        <sz val="11"/>
        <rFont val="TH SarabunPSK"/>
        <family val="2"/>
      </rPr>
      <t>(เช่น ตราช้าง,พญานาค,เพชร ฯ)</t>
    </r>
  </si>
  <si>
    <r>
      <t xml:space="preserve"> - ปูนซีเมนต์ปอร์ตแลนด์ประเภท 5 </t>
    </r>
    <r>
      <rPr>
        <sz val="11"/>
        <rFont val="TH SarabunPSK"/>
        <family val="2"/>
      </rPr>
      <t>(เช่น ตราปลาฉลาม ฯ)</t>
    </r>
  </si>
  <si>
    <r>
      <t xml:space="preserve">คอนกรีต ค.1 </t>
    </r>
    <r>
      <rPr>
        <sz val="14"/>
        <rFont val="TH SarabunPSK"/>
        <family val="2"/>
      </rPr>
      <t>(STRENGTH 180 กก./ตร.ซม.)</t>
    </r>
  </si>
  <si>
    <r>
      <t xml:space="preserve">คอนกรีต ค.2 </t>
    </r>
    <r>
      <rPr>
        <sz val="14"/>
        <rFont val="TH SarabunPSK"/>
        <family val="2"/>
      </rPr>
      <t>(STRENGTH 240 กก./ตร.ซม.)</t>
    </r>
  </si>
  <si>
    <r>
      <t xml:space="preserve">คอนกรีต ค.3 </t>
    </r>
    <r>
      <rPr>
        <sz val="14"/>
        <rFont val="TH SarabunPSK"/>
        <family val="2"/>
      </rPr>
      <t>(STRENGTH 300 กก./ตร.ซม.)</t>
    </r>
  </si>
  <si>
    <r>
      <t xml:space="preserve">คอนกรีต ค.4 </t>
    </r>
    <r>
      <rPr>
        <sz val="14"/>
        <rFont val="TH SarabunPSK"/>
        <family val="2"/>
      </rPr>
      <t>(STRENGTH 350 กก./ตร.ซม.)</t>
    </r>
  </si>
  <si>
    <r>
      <t xml:space="preserve">  คอนกรีตเททับหน้าหนา 5 ซม.</t>
    </r>
    <r>
      <rPr>
        <sz val="14"/>
        <rFont val="TH SarabunPSK"/>
        <family val="2"/>
      </rPr>
      <t>(ไม่รวมเหล็กเสริมพื้น)</t>
    </r>
  </si>
  <si>
    <r>
      <t xml:space="preserve">  คอนกรีตเททับหน้าหนา 5 ซม.</t>
    </r>
    <r>
      <rPr>
        <sz val="11"/>
        <rFont val="TH SarabunPSK"/>
        <family val="2"/>
      </rPr>
      <t>(รวมเหล็กเสริมพื้น 6 มม.@ 0.20 ม.#)</t>
    </r>
  </si>
  <si>
    <r>
      <t xml:space="preserve">  คอนกรีตเททับหน้าหนา 5 ซม.</t>
    </r>
    <r>
      <rPr>
        <sz val="11"/>
        <rFont val="TH SarabunPSK"/>
        <family val="2"/>
      </rPr>
      <t>(รวมเหล็กเสริมพื้น 9 มม.@ 0.20 ม.#)</t>
    </r>
  </si>
  <si>
    <r>
      <t xml:space="preserve">  คอนกรีตเสาเอ็นและคานทับหลัง </t>
    </r>
    <r>
      <rPr>
        <sz val="11"/>
        <rFont val="TH SarabunPSK"/>
        <family val="2"/>
      </rPr>
      <t>(รวมเหล็กเสริม)</t>
    </r>
  </si>
  <si>
    <r>
      <t>ผนังก่อซีเมนต์บล๊อกชนิดระบายอากาศ</t>
    </r>
    <r>
      <rPr>
        <b/>
        <sz val="12"/>
        <rFont val="TH SarabunPSK"/>
        <family val="2"/>
      </rPr>
      <t>ขนาด 0.09x0.19x0.39 ม.</t>
    </r>
  </si>
  <si>
    <r>
      <t xml:space="preserve">ปูนทรายสำหรับรองพื้นบุวัสดุแผ่นสำเร็จรูป </t>
    </r>
    <r>
      <rPr>
        <sz val="11"/>
        <rFont val="TH SarabunPSK"/>
        <family val="2"/>
      </rPr>
      <t>(หนา 1.5 ซม.เผื่อวัสดุเสียหายแล้ว)</t>
    </r>
  </si>
  <si>
    <r>
      <t xml:space="preserve">ปูนฉาบผิวเรียบ </t>
    </r>
    <r>
      <rPr>
        <sz val="11"/>
        <rFont val="TH SarabunPSK"/>
        <family val="2"/>
      </rPr>
      <t>(หนา 1.5 ซม.เผื่อวัสดุเสียหายแล้ว)</t>
    </r>
  </si>
  <si>
    <r>
      <t xml:space="preserve">ปูนฉาบผิวซีเมนต์ขัดมันเรียบ </t>
    </r>
    <r>
      <rPr>
        <sz val="11"/>
        <rFont val="TH SarabunPSK"/>
        <family val="2"/>
      </rPr>
      <t>(หนา 1.5 ซม.เผื่อวัสดุเสียหายแล้ว)</t>
    </r>
  </si>
  <si>
    <r>
      <t xml:space="preserve">ปูนฉาบผิวซีเมนต์ขัดมันเรียบผสมน้ำยากันซึม </t>
    </r>
    <r>
      <rPr>
        <sz val="11"/>
        <rFont val="TH SarabunPSK"/>
        <family val="2"/>
      </rPr>
      <t>(หนา 1.5 ซม.เผื่อวัสดุเสียหายแล้ว)</t>
    </r>
  </si>
  <si>
    <r>
      <t xml:space="preserve">ปูนฉาบผิวสลัดปูนปาดด้วยเกรียง </t>
    </r>
    <r>
      <rPr>
        <sz val="11"/>
        <rFont val="TH SarabunPSK"/>
        <family val="2"/>
      </rPr>
      <t>(หนา 2 ซม.เผื่อวัสดุเสียหายแล้ว)</t>
    </r>
  </si>
  <si>
    <r>
      <t xml:space="preserve">ผนังฉาบปูนผิวกรวดล้าง </t>
    </r>
    <r>
      <rPr>
        <sz val="11"/>
        <rFont val="TH SarabunPSK"/>
        <family val="2"/>
      </rPr>
      <t>(หนา 1.5 ซม.เผื่อวัสดุเสียหายแล้ว)</t>
    </r>
  </si>
  <si>
    <r>
      <t xml:space="preserve">ผนังฉาบปูนผิวหินล้าง </t>
    </r>
    <r>
      <rPr>
        <sz val="11"/>
        <rFont val="TH SarabunPSK"/>
        <family val="2"/>
      </rPr>
      <t>(หนา 1.5 ซม.เผื่อวัสดุเสียหายแล้ว)</t>
    </r>
  </si>
  <si>
    <r>
      <t xml:space="preserve">ปูนทรายรองพื้นสำหรับปูวัสดุแผ่นพื้นสำเร็จรูป </t>
    </r>
    <r>
      <rPr>
        <sz val="11"/>
        <rFont val="TH SarabunPSK"/>
        <family val="2"/>
      </rPr>
      <t>(หนา 3 ซม.)</t>
    </r>
  </si>
  <si>
    <r>
      <t xml:space="preserve">ปูนทรายพื้นผิวซีเมนต์ขัดมัน </t>
    </r>
    <r>
      <rPr>
        <sz val="11"/>
        <rFont val="TH SarabunPSK"/>
        <family val="2"/>
      </rPr>
      <t>(หนา 3 ซม.)</t>
    </r>
  </si>
  <si>
    <r>
      <t xml:space="preserve">ปูนทรายพื้นผิวซีเมนต์ขัดมันผสมน้ำยากันซึม </t>
    </r>
    <r>
      <rPr>
        <sz val="11"/>
        <rFont val="TH SarabunPSK"/>
        <family val="2"/>
      </rPr>
      <t>(หนา 3 ซม.)</t>
    </r>
  </si>
  <si>
    <r>
      <t xml:space="preserve">พื้นทำผิวกรวดล้าง </t>
    </r>
    <r>
      <rPr>
        <b/>
        <sz val="11"/>
        <rFont val="TH SarabunPSK"/>
        <family val="2"/>
      </rPr>
      <t>(รวมปูนทรายรองพื้น)</t>
    </r>
  </si>
  <si>
    <r>
      <t xml:space="preserve">พื้นทำผิวหินล้าง </t>
    </r>
    <r>
      <rPr>
        <b/>
        <sz val="11"/>
        <rFont val="TH SarabunPSK"/>
        <family val="2"/>
      </rPr>
      <t>(รวมปูนทรายรองพื้น)</t>
    </r>
  </si>
  <si>
    <r>
      <t xml:space="preserve">พื้นทำผิวหินขัดเบอร์ 2.5+3+4 </t>
    </r>
    <r>
      <rPr>
        <b/>
        <sz val="11"/>
        <rFont val="TH SarabunPSK"/>
        <family val="2"/>
      </rPr>
      <t>(รวมปูนทรายรองพื้น)</t>
    </r>
  </si>
  <si>
    <r>
      <t xml:space="preserve">พื้นทำผิวหินขัดเบอร์ 2.5+3+4 มีเส้น PVC แบ่งแนว </t>
    </r>
    <r>
      <rPr>
        <b/>
        <sz val="11"/>
        <rFont val="TH SarabunPSK"/>
        <family val="2"/>
      </rPr>
      <t>(รวมปูนทรายรองพื้น)</t>
    </r>
  </si>
  <si>
    <r>
      <t xml:space="preserve">พื้นปูกระเบื้องยางชนิดแผ่นหนา 1.6 มม. 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</si>
  <si>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พื้นปูกระเบื้องยางชนิดแผ่นหนา  2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</si>
  <si>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พื้นปูกระเบื้องยางชนิดแผ่นหนา  2.5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</si>
  <si>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พื้นปูกระเบื้องยางชนิดแผ่นหนา  3.2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</si>
  <si>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พื้นปูกระเบื้องยางชนิดม้วนหนา  2.5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</si>
  <si>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พื้นปูกระเบื้องยางชนิดม้วนหนา  3.2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</si>
  <si>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พื้นปูปาร์เก้ไม้สักชนิดลิ้นร่อง หนา 15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</si>
  <si>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พื้นปูปาร์เก้ไม้สักชนิดลิ้นร่อง หนา 19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</si>
  <si>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พื้นปูปาร์เก้ไม้แดงชนิดลิ้นร่อง หนา 19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</si>
  <si>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พื้นปูปาร์เก้ไม้มะค่าชนิดลิ้นร่อง หนา 19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</si>
  <si>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พื้นปูปาร์เก้ไม้ประดู่ชนิดลิ้นร่อง หนา 19 มม.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</si>
  <si>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พื้นปูปาร์เก้โมเสกไม้แดง 8 ชิ้น หนา 1/2"</t>
    </r>
    <r>
      <rPr>
        <b/>
        <sz val="11"/>
        <rFont val="TH SarabunPSK"/>
        <family val="2"/>
      </rPr>
      <t>(รวมปูนทรายรองพื้นขัดมัน)</t>
    </r>
  </si>
  <si>
    <r>
      <t>พื้นปูปาร์เก้โมเสคไม้เบญจพรรณ 6 ชิ้น หนา 1/2"</t>
    </r>
    <r>
      <rPr>
        <b/>
        <sz val="11"/>
        <rFont val="TH SarabunPSK"/>
        <family val="2"/>
      </rPr>
      <t>(รวมปูนทรายรองพื้นขัดมัน)</t>
    </r>
  </si>
  <si>
    <r>
      <t>ขนาด 40 x 40 ซม.</t>
    </r>
    <r>
      <rPr>
        <b/>
        <sz val="11"/>
        <rFont val="TH SarabunPSK"/>
        <family val="2"/>
      </rPr>
      <t>(รวมทรายรองพื้นหนา 5 ซม.)</t>
    </r>
  </si>
  <si>
    <r>
      <t xml:space="preserve">    รวมวัสดุทำฝ้าเพดานไม้อัดยางหนา 4 มม.</t>
    </r>
    <r>
      <rPr>
        <sz val="12"/>
        <rFont val="TH SarabunPSK"/>
        <family val="2"/>
      </rPr>
      <t>(คร่าวไม้ยาง)</t>
    </r>
  </si>
  <si>
    <r>
      <t xml:space="preserve">    รวมวัสดุทำฝ้าเพดานไม้อัดยางหนา 4 มม.</t>
    </r>
    <r>
      <rPr>
        <sz val="12"/>
        <rFont val="TH SarabunPSK"/>
        <family val="2"/>
      </rPr>
      <t>(ไม้เนื้อแข็ง)</t>
    </r>
  </si>
  <si>
    <r>
      <t xml:space="preserve">    รวมวัสดุทำฝ้าเพดานไม้อัดยางหนา 6 มม.</t>
    </r>
    <r>
      <rPr>
        <sz val="12"/>
        <rFont val="TH SarabunPSK"/>
        <family val="2"/>
      </rPr>
      <t>(คร่าวไม้ยาง)</t>
    </r>
  </si>
  <si>
    <r>
      <t xml:space="preserve">    รวมวัสดุทำฝ้าเพดานไม้อัดยางหนา 6 มม.</t>
    </r>
    <r>
      <rPr>
        <sz val="12"/>
        <rFont val="TH SarabunPSK"/>
        <family val="2"/>
      </rPr>
      <t>(ไม้เนื้อแข็ง)</t>
    </r>
  </si>
  <si>
    <r>
      <t xml:space="preserve">    รวมวัสดุทำฝ้าเพดานไม้อัดสักหนา 4 มม.</t>
    </r>
    <r>
      <rPr>
        <sz val="12"/>
        <rFont val="TH SarabunPSK"/>
        <family val="2"/>
      </rPr>
      <t>(คร่าวไม้ยาง)</t>
    </r>
  </si>
  <si>
    <r>
      <t xml:space="preserve">    รวมวัสดุทำฝ้าเพดานไม้อัดสักหนา 4 มม.</t>
    </r>
    <r>
      <rPr>
        <sz val="12"/>
        <rFont val="TH SarabunPSK"/>
        <family val="2"/>
      </rPr>
      <t>(ไม้เนื้อแข็ง)</t>
    </r>
  </si>
  <si>
    <r>
      <t xml:space="preserve">    รวมวัสดุทำฝ้าเพดานไม้อัดสักหนา 6 มม.</t>
    </r>
    <r>
      <rPr>
        <sz val="12"/>
        <rFont val="TH SarabunPSK"/>
        <family val="2"/>
      </rPr>
      <t>(คร่าวไม้ยาง)</t>
    </r>
  </si>
  <si>
    <r>
      <t xml:space="preserve">    รวมวัสดุทำฝ้าเพดานไม้อัดสักหนา 6 มม.</t>
    </r>
    <r>
      <rPr>
        <sz val="12"/>
        <rFont val="TH SarabunPSK"/>
        <family val="2"/>
      </rPr>
      <t>(ไม้เนื้อแข็ง)</t>
    </r>
  </si>
  <si>
    <r>
      <t xml:space="preserve">  *</t>
    </r>
    <r>
      <rPr>
        <sz val="12"/>
        <rFont val="TH SarabunPSK"/>
        <family val="2"/>
      </rPr>
      <t>(เคร่าไม้ยาง)</t>
    </r>
  </si>
  <si>
    <r>
      <t xml:space="preserve">  *</t>
    </r>
    <r>
      <rPr>
        <sz val="12"/>
        <rFont val="TH SarabunPSK"/>
        <family val="2"/>
      </rPr>
      <t>(ไม้เนื้อแข็ง)</t>
    </r>
  </si>
  <si>
    <r>
      <t>รวมวัสดุฝ้าเพดานยิบซั่มบอร์ด</t>
    </r>
    <r>
      <rPr>
        <sz val="10"/>
        <rFont val="TH SarabunPSK"/>
        <family val="2"/>
      </rPr>
      <t>หนา 9 มม.มีอะลูมิเนียมฟอยล์</t>
    </r>
  </si>
  <si>
    <r>
      <t>รวมวัสดุฝ้าเพดานยิบซั่มบอร์ด</t>
    </r>
    <r>
      <rPr>
        <sz val="10"/>
        <rFont val="TH SarabunPSK"/>
        <family val="2"/>
      </rPr>
      <t>หนา 12 มม.มีอะลูมิเนียมฟอยล์</t>
    </r>
  </si>
  <si>
    <r>
      <t>รวมวัสดุฝ้าเพดานยิบซั่มบอร์ด</t>
    </r>
    <r>
      <rPr>
        <sz val="10"/>
        <rFont val="TH SarabunPSK"/>
        <family val="2"/>
      </rPr>
      <t>หนา 9 มม.ชนิดกันความชื้น</t>
    </r>
  </si>
  <si>
    <r>
      <t>รวมวัสดุฝ้าเพดานยิบซั่มบอร์ด</t>
    </r>
    <r>
      <rPr>
        <sz val="10"/>
        <rFont val="TH SarabunPSK"/>
        <family val="2"/>
      </rPr>
      <t>หนา 12 มม.ชนิดกันความชื้น</t>
    </r>
  </si>
  <si>
    <t>(ลงชื่อ)  ..................................................................  ประธานกรรมการ</t>
  </si>
  <si>
    <t>(ลงชื่อ) .................................................................  กรรมการ</t>
  </si>
  <si>
    <t>(ลงชื่อ)  ............................................................  กรรมการ</t>
  </si>
  <si>
    <t>(นายพิษณุ  ชัยปัน  )</t>
  </si>
  <si>
    <t>นายช่างสำรวจปฏิบัติงาน</t>
  </si>
  <si>
    <t>ราคากลาง</t>
  </si>
  <si>
    <t>รายละเอียดการกำหนดราคากลาง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</si>
</sst>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0.000"/>
    <numFmt numFmtId="190" formatCode="_-* #,##0.0000_-;\-* #,##0.0000_-;_-* &quot;-&quot;????_-;_-@_-"/>
    <numFmt numFmtId="191" formatCode="#,##0.000"/>
    <numFmt numFmtId="192" formatCode="#,##0.0000"/>
    <numFmt numFmtId="193" formatCode="0.0"/>
    <numFmt numFmtId="194" formatCode="#,##0.00_ ;\-#,##0.00\ "/>
    <numFmt numFmtId="195" formatCode="#,##0.0000_);\(#,##0.0000\)"/>
    <numFmt numFmtId="196" formatCode="0.0%"/>
    <numFmt numFmtId="197" formatCode="_(* #,##0.00_);_(* \(#,##0.00\);_(* &quot; &quot;??_);_(@_)"/>
    <numFmt numFmtId="198" formatCode="#,##0.000;\-#,##0.000"/>
    <numFmt numFmtId="199" formatCode="#,##0.000_);\(#,##0.000\)"/>
    <numFmt numFmtId="200" formatCode="_-* #,##0_-;\-* #,##0_-;_-* &quot;-&quot;??_-;_-@_-"/>
    <numFmt numFmtId="201" formatCode="0.00000000"/>
    <numFmt numFmtId="202" formatCode="0\+000"/>
    <numFmt numFmtId="203" formatCode="_-* #,##0.0000_-;\-* #,##0.0000_-;_-* &quot;-&quot;??_-;_-@_-"/>
    <numFmt numFmtId="204" formatCode="0\+000.000"/>
    <numFmt numFmtId="205" formatCode="_-* #,##0.0_-;\-* #,##0.0_-;_-* &quot;-&quot;??_-;_-@_-"/>
    <numFmt numFmtId="206" formatCode="##."/>
    <numFmt numFmtId="207" formatCode="_(* #,##0.000_);_(* \(#,##0.000\);_(* &quot;-&quot;??_);_(@_)"/>
    <numFmt numFmtId="208" formatCode="_(* #,##0.000_);_(* \(#,##0.000\);_(* &quot; &quot;??_);_(@_)"/>
    <numFmt numFmtId="209" formatCode="_-* #,##0.00000_-;\-* #,##0.00000_-;_-* &quot;-&quot;??_-;_-@_-"/>
    <numFmt numFmtId="210" formatCode="_-* #,##0.000_-;\-* #,##0.000_-;_-* &quot;-&quot;??_-;_-@_-"/>
  </numFmts>
  <fonts count="81" x14ac:knownFonts="1">
    <font>
      <sz val="14"/>
      <name val="Cordia New"/>
      <charset val="222"/>
    </font>
    <font>
      <sz val="14"/>
      <name val="Cordia New"/>
      <family val="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0"/>
      <name val="Courier"/>
      <family val="3"/>
    </font>
    <font>
      <sz val="12"/>
      <name val="Angsana New"/>
      <family val="1"/>
    </font>
    <font>
      <sz val="16"/>
      <name val="AngsanaUPC"/>
      <family val="1"/>
      <charset val="222"/>
    </font>
    <font>
      <sz val="16"/>
      <color indexed="10"/>
      <name val="AngsanaUPC"/>
      <family val="1"/>
      <charset val="222"/>
    </font>
    <font>
      <sz val="12"/>
      <name val="Cordia New"/>
      <family val="2"/>
    </font>
    <font>
      <sz val="14"/>
      <color rgb="FFFF0000"/>
      <name val="AngsanaUPC"/>
      <family val="1"/>
      <charset val="22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name val="BrowalliaUPC"/>
      <family val="2"/>
    </font>
    <font>
      <sz val="14"/>
      <name val="Angsana New"/>
      <family val="1"/>
    </font>
    <font>
      <sz val="14"/>
      <color theme="1"/>
      <name val="TH SarabunPSK"/>
      <family val="2"/>
    </font>
    <font>
      <b/>
      <sz val="14"/>
      <name val="Cordia New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Cordia New"/>
      <family val="2"/>
      <charset val="222"/>
    </font>
    <font>
      <b/>
      <sz val="14"/>
      <name val="TH SarabunPSK"/>
      <family val="2"/>
    </font>
    <font>
      <sz val="14"/>
      <name val="TH SarabunPSK"/>
      <family val="2"/>
    </font>
    <font>
      <sz val="16"/>
      <name val="Angsana New"/>
      <family val="1"/>
    </font>
    <font>
      <b/>
      <sz val="16"/>
      <name val="TH SarabunPSK"/>
      <family val="2"/>
    </font>
    <font>
      <sz val="10"/>
      <name val="Arial"/>
      <family val="2"/>
    </font>
    <font>
      <sz val="16"/>
      <name val="TH SarabunPSK"/>
      <family val="2"/>
    </font>
    <font>
      <sz val="9"/>
      <color indexed="10"/>
      <name val="Tahoma"/>
      <family val="2"/>
    </font>
    <font>
      <sz val="8"/>
      <color indexed="81"/>
      <name val="Tahoma"/>
      <family val="2"/>
    </font>
    <font>
      <sz val="8"/>
      <color indexed="10"/>
      <name val="Tahoma"/>
      <family val="2"/>
    </font>
    <font>
      <sz val="11"/>
      <name val="TH SarabunPSK"/>
      <family val="2"/>
    </font>
    <font>
      <b/>
      <sz val="11"/>
      <name val="TH SarabunPSK"/>
      <family val="2"/>
    </font>
    <font>
      <sz val="12"/>
      <name val="AngsanaUPC"/>
      <family val="1"/>
      <charset val="222"/>
    </font>
    <font>
      <b/>
      <sz val="12"/>
      <name val="Angsana New"/>
      <family val="1"/>
    </font>
    <font>
      <sz val="13"/>
      <name val="AngsanaUPC"/>
      <family val="1"/>
      <charset val="222"/>
    </font>
    <font>
      <sz val="12"/>
      <name val="TH SarabunPSK"/>
      <family val="2"/>
    </font>
    <font>
      <sz val="14"/>
      <color rgb="FFFF0000"/>
      <name val="TH SarabunPSK"/>
      <family val="2"/>
    </font>
    <font>
      <sz val="12"/>
      <color theme="1"/>
      <name val="TH SarabunPSK"/>
      <family val="2"/>
    </font>
    <font>
      <sz val="13"/>
      <color theme="1"/>
      <name val="TH SarabunPSK"/>
      <family val="2"/>
    </font>
    <font>
      <b/>
      <sz val="14"/>
      <color theme="1"/>
      <name val="TH SarabunPSK"/>
      <family val="2"/>
    </font>
    <font>
      <b/>
      <sz val="14"/>
      <color rgb="FFFF0000"/>
      <name val="TH SarabunPSK"/>
      <family val="2"/>
    </font>
    <font>
      <sz val="12"/>
      <color rgb="FFFF0000"/>
      <name val="TH SarabunPSK"/>
      <family val="2"/>
    </font>
    <font>
      <sz val="14"/>
      <color rgb="FF0070C0"/>
      <name val="TH SarabunPSK"/>
      <family val="2"/>
    </font>
    <font>
      <sz val="14"/>
      <color theme="0"/>
      <name val="TH SarabunPSK"/>
      <family val="2"/>
    </font>
    <font>
      <sz val="12"/>
      <color rgb="FF0070C0"/>
      <name val="TH SarabunPSK"/>
      <family val="2"/>
    </font>
    <font>
      <b/>
      <u/>
      <sz val="13"/>
      <color rgb="FFFF0000"/>
      <name val="TH SarabunPSK"/>
      <family val="2"/>
    </font>
    <font>
      <sz val="13"/>
      <color rgb="FFFF0000"/>
      <name val="TH SarabunPSK"/>
      <family val="2"/>
    </font>
    <font>
      <sz val="13"/>
      <color rgb="FF0070C0"/>
      <name val="TH SarabunPSK"/>
      <family val="2"/>
    </font>
    <font>
      <b/>
      <sz val="16"/>
      <color indexed="9"/>
      <name val="TH SarabunPSK"/>
      <family val="2"/>
    </font>
    <font>
      <b/>
      <sz val="12"/>
      <name val="TH SarabunPSK"/>
      <family val="2"/>
    </font>
    <font>
      <b/>
      <sz val="12"/>
      <color indexed="9"/>
      <name val="TH SarabunPSK"/>
      <family val="2"/>
    </font>
    <font>
      <b/>
      <sz val="12"/>
      <color indexed="13"/>
      <name val="TH SarabunPSK"/>
      <family val="2"/>
    </font>
    <font>
      <sz val="13.5"/>
      <name val="TH SarabunPSK"/>
      <family val="2"/>
    </font>
    <font>
      <u/>
      <sz val="12"/>
      <name val="TH SarabunPSK"/>
      <family val="2"/>
    </font>
    <font>
      <b/>
      <u/>
      <sz val="12"/>
      <name val="TH SarabunPSK"/>
      <family val="2"/>
    </font>
    <font>
      <sz val="12"/>
      <color indexed="12"/>
      <name val="TH SarabunPSK"/>
      <family val="2"/>
    </font>
    <font>
      <sz val="12"/>
      <color rgb="FFC00000"/>
      <name val="TH SarabunPSK"/>
      <family val="2"/>
    </font>
    <font>
      <b/>
      <sz val="12"/>
      <color theme="1"/>
      <name val="TH SarabunPSK"/>
      <family val="2"/>
    </font>
    <font>
      <sz val="12"/>
      <color theme="0"/>
      <name val="TH SarabunPSK"/>
      <family val="2"/>
    </font>
    <font>
      <b/>
      <u/>
      <sz val="12"/>
      <color theme="1"/>
      <name val="TH SarabunPSK"/>
      <family val="2"/>
    </font>
    <font>
      <b/>
      <sz val="12"/>
      <color indexed="10"/>
      <name val="TH SarabunPSK"/>
      <family val="2"/>
    </font>
    <font>
      <sz val="12"/>
      <color indexed="10"/>
      <name val="TH SarabunPSK"/>
      <family val="2"/>
    </font>
    <font>
      <sz val="13"/>
      <name val="TH SarabunPSK"/>
      <family val="2"/>
    </font>
    <font>
      <b/>
      <sz val="14"/>
      <color indexed="10"/>
      <name val="TH SarabunPSK"/>
      <family val="2"/>
    </font>
    <font>
      <sz val="14"/>
      <color indexed="10"/>
      <name val="TH SarabunPSK"/>
      <family val="2"/>
    </font>
    <font>
      <b/>
      <sz val="12"/>
      <color theme="0"/>
      <name val="TH SarabunPSK"/>
      <family val="2"/>
    </font>
    <font>
      <b/>
      <sz val="13.5"/>
      <name val="TH SarabunPSK"/>
      <family val="2"/>
    </font>
    <font>
      <sz val="10"/>
      <name val="TH SarabunPSK"/>
      <family val="2"/>
    </font>
    <font>
      <sz val="13.5"/>
      <color indexed="10"/>
      <name val="TH SarabunPSK"/>
      <family val="2"/>
    </font>
    <font>
      <sz val="13.5"/>
      <color rgb="FFFF0000"/>
      <name val="TH SarabunPSK"/>
      <family val="2"/>
    </font>
    <font>
      <sz val="13.5"/>
      <color indexed="8"/>
      <name val="TH SarabunPSK"/>
      <family val="2"/>
    </font>
    <font>
      <b/>
      <sz val="12"/>
      <color indexed="52"/>
      <name val="TH SarabunPSK"/>
      <family val="2"/>
    </font>
    <font>
      <b/>
      <sz val="18"/>
      <name val="TH SarabunPSK"/>
      <family val="2"/>
    </font>
    <font>
      <sz val="15"/>
      <name val="TH SarabunPSK"/>
      <family val="2"/>
    </font>
    <font>
      <b/>
      <sz val="16"/>
      <color indexed="10"/>
      <name val="TH SarabunPSK"/>
      <family val="2"/>
    </font>
    <font>
      <b/>
      <sz val="12"/>
      <color indexed="12"/>
      <name val="TH SarabunPSK"/>
      <family val="2"/>
    </font>
    <font>
      <b/>
      <sz val="15"/>
      <name val="TH SarabunPSK"/>
      <family val="2"/>
    </font>
    <font>
      <sz val="15"/>
      <color indexed="12"/>
      <name val="TH SarabunPSK"/>
      <family val="2"/>
    </font>
    <font>
      <sz val="14"/>
      <color indexed="12"/>
      <name val="TH SarabunPSK"/>
      <family val="2"/>
    </font>
    <font>
      <sz val="15"/>
      <color indexed="10"/>
      <name val="TH SarabunPSK"/>
      <family val="2"/>
    </font>
    <font>
      <b/>
      <sz val="12"/>
      <color rgb="FFFF0000"/>
      <name val="TH SarabunPSK"/>
      <family val="2"/>
    </font>
    <font>
      <sz val="16"/>
      <color theme="1"/>
      <name val="TH SarabunPSK"/>
      <family val="2"/>
    </font>
    <font>
      <b/>
      <sz val="20"/>
      <name val="TH SarabunPSK"/>
      <family val="2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2"/>
        <bgColor indexed="29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22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22"/>
      </top>
      <bottom/>
      <diagonal/>
    </border>
    <border>
      <left style="thin">
        <color indexed="64"/>
      </left>
      <right style="medium">
        <color indexed="64"/>
      </right>
      <top style="hair">
        <color indexed="2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2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2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/>
      <right style="medium">
        <color indexed="64"/>
      </right>
      <top/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 style="hair">
        <color indexed="22"/>
      </bottom>
      <diagonal/>
    </border>
    <border>
      <left/>
      <right style="medium">
        <color indexed="64"/>
      </right>
      <top style="hair">
        <color indexed="22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39" fontId="4" fillId="0" borderId="0"/>
    <xf numFmtId="4" fontId="1" fillId="0" borderId="0"/>
    <xf numFmtId="0" fontId="12" fillId="0" borderId="0"/>
    <xf numFmtId="0" fontId="3" fillId="0" borderId="0"/>
    <xf numFmtId="0" fontId="3" fillId="0" borderId="0"/>
    <xf numFmtId="43" fontId="21" fillId="0" borderId="0" applyFont="0" applyFill="0" applyBorder="0" applyAlignment="0" applyProtection="0"/>
    <xf numFmtId="0" fontId="23" fillId="0" borderId="0"/>
    <xf numFmtId="206" fontId="23" fillId="0" borderId="0" applyFont="0" applyFill="0" applyBorder="0" applyAlignment="0" applyProtection="0"/>
  </cellStyleXfs>
  <cellXfs count="1130">
    <xf numFmtId="0" fontId="0" fillId="0" borderId="0" xfId="0"/>
    <xf numFmtId="0" fontId="3" fillId="0" borderId="0" xfId="0" applyFont="1"/>
    <xf numFmtId="39" fontId="3" fillId="0" borderId="0" xfId="2" applyFont="1"/>
    <xf numFmtId="39" fontId="3" fillId="0" borderId="20" xfId="2" applyFont="1" applyBorder="1" applyAlignment="1">
      <alignment horizontal="center"/>
    </xf>
    <xf numFmtId="39" fontId="3" fillId="0" borderId="21" xfId="2" applyFont="1" applyBorder="1" applyAlignment="1">
      <alignment horizontal="center"/>
    </xf>
    <xf numFmtId="1" fontId="2" fillId="0" borderId="21" xfId="2" applyNumberFormat="1" applyFont="1" applyBorder="1" applyAlignment="1">
      <alignment horizontal="center"/>
    </xf>
    <xf numFmtId="1" fontId="2" fillId="0" borderId="22" xfId="2" applyNumberFormat="1" applyFont="1" applyBorder="1" applyAlignment="1">
      <alignment horizontal="center"/>
    </xf>
    <xf numFmtId="39" fontId="3" fillId="0" borderId="3" xfId="2" applyFont="1" applyBorder="1" applyAlignment="1">
      <alignment horizontal="center"/>
    </xf>
    <xf numFmtId="39" fontId="3" fillId="0" borderId="9" xfId="2" applyFont="1" applyBorder="1" applyAlignment="1">
      <alignment horizontal="center"/>
    </xf>
    <xf numFmtId="39" fontId="3" fillId="0" borderId="4" xfId="2" applyFont="1" applyBorder="1" applyAlignment="1">
      <alignment horizontal="center"/>
    </xf>
    <xf numFmtId="39" fontId="3" fillId="0" borderId="6" xfId="2" applyFont="1" applyBorder="1" applyAlignment="1">
      <alignment horizontal="center"/>
    </xf>
    <xf numFmtId="39" fontId="3" fillId="0" borderId="18" xfId="2" applyFont="1" applyBorder="1" applyAlignment="1">
      <alignment horizontal="center"/>
    </xf>
    <xf numFmtId="39" fontId="3" fillId="0" borderId="7" xfId="2" applyFont="1" applyBorder="1" applyAlignment="1">
      <alignment horizontal="center"/>
    </xf>
    <xf numFmtId="39" fontId="3" fillId="0" borderId="32" xfId="2" applyFont="1" applyBorder="1"/>
    <xf numFmtId="1" fontId="2" fillId="0" borderId="34" xfId="2" applyNumberFormat="1" applyFont="1" applyBorder="1" applyAlignment="1">
      <alignment horizontal="center"/>
    </xf>
    <xf numFmtId="39" fontId="3" fillId="4" borderId="36" xfId="2" applyFont="1" applyFill="1" applyBorder="1"/>
    <xf numFmtId="39" fontId="3" fillId="4" borderId="37" xfId="2" applyFont="1" applyFill="1" applyBorder="1"/>
    <xf numFmtId="1" fontId="2" fillId="0" borderId="40" xfId="2" applyNumberFormat="1" applyFont="1" applyBorder="1" applyAlignment="1">
      <alignment horizontal="center"/>
    </xf>
    <xf numFmtId="1" fontId="6" fillId="0" borderId="49" xfId="2" quotePrefix="1" applyNumberFormat="1" applyFont="1" applyBorder="1"/>
    <xf numFmtId="39" fontId="3" fillId="4" borderId="37" xfId="2" applyFont="1" applyFill="1" applyBorder="1" applyAlignment="1">
      <alignment horizontal="right"/>
    </xf>
    <xf numFmtId="39" fontId="3" fillId="4" borderId="46" xfId="2" applyFont="1" applyFill="1" applyBorder="1" applyAlignment="1">
      <alignment horizontal="right"/>
    </xf>
    <xf numFmtId="39" fontId="3" fillId="0" borderId="57" xfId="2" applyFont="1" applyBorder="1" applyAlignment="1">
      <alignment horizontal="right"/>
    </xf>
    <xf numFmtId="39" fontId="3" fillId="0" borderId="58" xfId="2" applyFont="1" applyBorder="1" applyAlignment="1">
      <alignment horizontal="right"/>
    </xf>
    <xf numFmtId="39" fontId="3" fillId="0" borderId="59" xfId="2" applyFont="1" applyBorder="1" applyAlignment="1">
      <alignment horizontal="right"/>
    </xf>
    <xf numFmtId="39" fontId="3" fillId="0" borderId="60" xfId="2" applyFont="1" applyBorder="1" applyAlignment="1">
      <alignment horizontal="right"/>
    </xf>
    <xf numFmtId="39" fontId="3" fillId="0" borderId="8" xfId="2" applyFont="1" applyBorder="1" applyAlignment="1">
      <alignment horizontal="right"/>
    </xf>
    <xf numFmtId="0" fontId="3" fillId="4" borderId="37" xfId="0" applyFont="1" applyFill="1" applyBorder="1"/>
    <xf numFmtId="0" fontId="3" fillId="4" borderId="46" xfId="0" applyFont="1" applyFill="1" applyBorder="1"/>
    <xf numFmtId="39" fontId="3" fillId="4" borderId="62" xfId="2" applyFont="1" applyFill="1" applyBorder="1" applyAlignment="1">
      <alignment horizontal="right"/>
    </xf>
    <xf numFmtId="39" fontId="3" fillId="4" borderId="63" xfId="2" applyFont="1" applyFill="1" applyBorder="1" applyAlignment="1">
      <alignment horizontal="right"/>
    </xf>
    <xf numFmtId="39" fontId="3" fillId="0" borderId="19" xfId="2" applyFont="1" applyBorder="1" applyAlignment="1">
      <alignment horizontal="center"/>
    </xf>
    <xf numFmtId="39" fontId="3" fillId="0" borderId="23" xfId="2" applyFont="1" applyBorder="1" applyAlignment="1">
      <alignment horizontal="center"/>
    </xf>
    <xf numFmtId="39" fontId="3" fillId="12" borderId="9" xfId="2" applyFont="1" applyFill="1" applyBorder="1" applyAlignment="1">
      <alignment horizontal="center"/>
    </xf>
    <xf numFmtId="39" fontId="3" fillId="12" borderId="18" xfId="2" applyFont="1" applyFill="1" applyBorder="1" applyAlignment="1">
      <alignment horizontal="center"/>
    </xf>
    <xf numFmtId="39" fontId="3" fillId="13" borderId="43" xfId="2" applyFont="1" applyFill="1" applyBorder="1" applyAlignment="1">
      <alignment horizontal="right"/>
    </xf>
    <xf numFmtId="39" fontId="3" fillId="13" borderId="43" xfId="2" applyFont="1" applyFill="1" applyBorder="1"/>
    <xf numFmtId="39" fontId="3" fillId="13" borderId="36" xfId="2" applyFont="1" applyFill="1" applyBorder="1"/>
    <xf numFmtId="39" fontId="3" fillId="13" borderId="38" xfId="2" applyFont="1" applyFill="1" applyBorder="1"/>
    <xf numFmtId="39" fontId="3" fillId="13" borderId="31" xfId="2" applyFont="1" applyFill="1" applyBorder="1" applyAlignment="1">
      <alignment horizontal="right"/>
    </xf>
    <xf numFmtId="39" fontId="3" fillId="13" borderId="39" xfId="2" applyFont="1" applyFill="1" applyBorder="1"/>
    <xf numFmtId="39" fontId="3" fillId="13" borderId="33" xfId="2" applyFont="1" applyFill="1" applyBorder="1" applyAlignment="1">
      <alignment horizontal="right"/>
    </xf>
    <xf numFmtId="39" fontId="3" fillId="13" borderId="41" xfId="2" applyFont="1" applyFill="1" applyBorder="1"/>
    <xf numFmtId="39" fontId="3" fillId="13" borderId="42" xfId="2" applyFont="1" applyFill="1" applyBorder="1" applyAlignment="1">
      <alignment horizontal="right"/>
    </xf>
    <xf numFmtId="39" fontId="3" fillId="13" borderId="1" xfId="2" applyFont="1" applyFill="1" applyBorder="1"/>
    <xf numFmtId="39" fontId="3" fillId="13" borderId="2" xfId="2" applyFont="1" applyFill="1" applyBorder="1" applyAlignment="1">
      <alignment horizontal="right"/>
    </xf>
    <xf numFmtId="39" fontId="3" fillId="13" borderId="50" xfId="2" applyFont="1" applyFill="1" applyBorder="1"/>
    <xf numFmtId="39" fontId="3" fillId="13" borderId="35" xfId="2" applyFont="1" applyFill="1" applyBorder="1" applyAlignment="1">
      <alignment horizontal="right"/>
    </xf>
    <xf numFmtId="39" fontId="3" fillId="13" borderId="37" xfId="2" applyFont="1" applyFill="1" applyBorder="1" applyAlignment="1">
      <alignment horizontal="right"/>
    </xf>
    <xf numFmtId="39" fontId="3" fillId="13" borderId="1" xfId="2" applyFont="1" applyFill="1" applyBorder="1" applyAlignment="1">
      <alignment horizontal="right"/>
    </xf>
    <xf numFmtId="39" fontId="3" fillId="13" borderId="37" xfId="2" applyFont="1" applyFill="1" applyBorder="1"/>
    <xf numFmtId="39" fontId="3" fillId="13" borderId="31" xfId="2" applyFont="1" applyFill="1" applyBorder="1"/>
    <xf numFmtId="39" fontId="3" fillId="13" borderId="33" xfId="2" applyFont="1" applyFill="1" applyBorder="1"/>
    <xf numFmtId="39" fontId="3" fillId="13" borderId="42" xfId="2" applyFont="1" applyFill="1" applyBorder="1"/>
    <xf numFmtId="39" fontId="3" fillId="13" borderId="2" xfId="2" applyFont="1" applyFill="1" applyBorder="1"/>
    <xf numFmtId="39" fontId="3" fillId="13" borderId="35" xfId="2" applyFont="1" applyFill="1" applyBorder="1"/>
    <xf numFmtId="39" fontId="3" fillId="13" borderId="46" xfId="2" applyFont="1" applyFill="1" applyBorder="1"/>
    <xf numFmtId="39" fontId="3" fillId="13" borderId="44" xfId="2" applyFont="1" applyFill="1" applyBorder="1" applyAlignment="1">
      <alignment horizontal="right"/>
    </xf>
    <xf numFmtId="39" fontId="3" fillId="13" borderId="45" xfId="2" applyFont="1" applyFill="1" applyBorder="1" applyAlignment="1">
      <alignment horizontal="right"/>
    </xf>
    <xf numFmtId="39" fontId="3" fillId="13" borderId="47" xfId="2" applyFont="1" applyFill="1" applyBorder="1" applyAlignment="1">
      <alignment horizontal="right"/>
    </xf>
    <xf numFmtId="39" fontId="3" fillId="13" borderId="24" xfId="2" applyFont="1" applyFill="1" applyBorder="1" applyAlignment="1">
      <alignment horizontal="right"/>
    </xf>
    <xf numFmtId="39" fontId="3" fillId="13" borderId="48" xfId="2" applyFont="1" applyFill="1" applyBorder="1" applyAlignment="1">
      <alignment horizontal="right"/>
    </xf>
    <xf numFmtId="39" fontId="3" fillId="13" borderId="61" xfId="2" applyFont="1" applyFill="1" applyBorder="1" applyAlignment="1">
      <alignment horizontal="right"/>
    </xf>
    <xf numFmtId="39" fontId="3" fillId="13" borderId="57" xfId="2" applyFont="1" applyFill="1" applyBorder="1" applyAlignment="1">
      <alignment horizontal="right"/>
    </xf>
    <xf numFmtId="39" fontId="3" fillId="13" borderId="58" xfId="2" applyFont="1" applyFill="1" applyBorder="1" applyAlignment="1">
      <alignment horizontal="right"/>
    </xf>
    <xf numFmtId="39" fontId="3" fillId="13" borderId="59" xfId="2" applyFont="1" applyFill="1" applyBorder="1" applyAlignment="1">
      <alignment horizontal="right"/>
    </xf>
    <xf numFmtId="39" fontId="3" fillId="13" borderId="60" xfId="2" applyFont="1" applyFill="1" applyBorder="1" applyAlignment="1">
      <alignment horizontal="right"/>
    </xf>
    <xf numFmtId="39" fontId="3" fillId="13" borderId="8" xfId="2" applyFont="1" applyFill="1" applyBorder="1" applyAlignment="1">
      <alignment horizontal="right"/>
    </xf>
    <xf numFmtId="39" fontId="9" fillId="13" borderId="60" xfId="2" applyFont="1" applyFill="1" applyBorder="1" applyAlignment="1">
      <alignment horizontal="right"/>
    </xf>
    <xf numFmtId="39" fontId="3" fillId="13" borderId="54" xfId="2" applyFont="1" applyFill="1" applyBorder="1"/>
    <xf numFmtId="39" fontId="3" fillId="13" borderId="55" xfId="2" applyFont="1" applyFill="1" applyBorder="1" applyAlignment="1">
      <alignment horizontal="right"/>
    </xf>
    <xf numFmtId="39" fontId="3" fillId="13" borderId="55" xfId="2" applyFont="1" applyFill="1" applyBorder="1"/>
    <xf numFmtId="2" fontId="3" fillId="13" borderId="53" xfId="0" applyNumberFormat="1" applyFont="1" applyFill="1" applyBorder="1"/>
    <xf numFmtId="2" fontId="3" fillId="13" borderId="0" xfId="0" applyNumberFormat="1" applyFont="1" applyFill="1"/>
    <xf numFmtId="2" fontId="3" fillId="13" borderId="18" xfId="0" applyNumberFormat="1" applyFont="1" applyFill="1" applyBorder="1"/>
    <xf numFmtId="39" fontId="3" fillId="13" borderId="56" xfId="2" applyFont="1" applyFill="1" applyBorder="1" applyAlignment="1">
      <alignment horizontal="right"/>
    </xf>
    <xf numFmtId="2" fontId="3" fillId="13" borderId="37" xfId="0" applyNumberFormat="1" applyFont="1" applyFill="1" applyBorder="1"/>
    <xf numFmtId="0" fontId="3" fillId="13" borderId="37" xfId="0" applyFont="1" applyFill="1" applyBorder="1"/>
    <xf numFmtId="204" fontId="14" fillId="0" borderId="16" xfId="0" applyNumberFormat="1" applyFont="1" applyBorder="1" applyAlignment="1">
      <alignment horizontal="center"/>
    </xf>
    <xf numFmtId="43" fontId="14" fillId="0" borderId="16" xfId="1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0" xfId="0" applyFont="1" applyAlignment="1">
      <alignment horizontal="center"/>
    </xf>
    <xf numFmtId="204" fontId="14" fillId="0" borderId="68" xfId="0" applyNumberFormat="1" applyFont="1" applyBorder="1" applyAlignment="1">
      <alignment horizontal="center"/>
    </xf>
    <xf numFmtId="43" fontId="14" fillId="0" borderId="68" xfId="1" applyFont="1" applyBorder="1" applyAlignment="1">
      <alignment horizontal="center"/>
    </xf>
    <xf numFmtId="43" fontId="14" fillId="0" borderId="68" xfId="0" applyNumberFormat="1" applyFont="1" applyBorder="1" applyAlignment="1">
      <alignment horizontal="center"/>
    </xf>
    <xf numFmtId="0" fontId="14" fillId="0" borderId="68" xfId="0" applyFont="1" applyBorder="1" applyAlignment="1">
      <alignment horizontal="center"/>
    </xf>
    <xf numFmtId="204" fontId="14" fillId="0" borderId="69" xfId="0" applyNumberFormat="1" applyFont="1" applyBorder="1" applyAlignment="1">
      <alignment horizontal="center"/>
    </xf>
    <xf numFmtId="43" fontId="14" fillId="0" borderId="69" xfId="1" applyFont="1" applyBorder="1" applyAlignment="1">
      <alignment horizontal="center"/>
    </xf>
    <xf numFmtId="43" fontId="14" fillId="0" borderId="69" xfId="0" applyNumberFormat="1" applyFont="1" applyBorder="1" applyAlignment="1">
      <alignment horizontal="center"/>
    </xf>
    <xf numFmtId="0" fontId="14" fillId="0" borderId="69" xfId="0" applyFont="1" applyBorder="1" applyAlignment="1">
      <alignment horizontal="center"/>
    </xf>
    <xf numFmtId="16" fontId="14" fillId="0" borderId="69" xfId="0" applyNumberFormat="1" applyFont="1" applyBorder="1" applyAlignment="1">
      <alignment horizontal="center"/>
    </xf>
    <xf numFmtId="204" fontId="14" fillId="0" borderId="0" xfId="0" applyNumberFormat="1" applyFont="1" applyAlignment="1">
      <alignment horizontal="center"/>
    </xf>
    <xf numFmtId="43" fontId="14" fillId="0" borderId="0" xfId="1" applyFont="1" applyAlignment="1">
      <alignment horizontal="center"/>
    </xf>
    <xf numFmtId="43" fontId="14" fillId="0" borderId="0" xfId="0" applyNumberFormat="1" applyFont="1" applyAlignment="1">
      <alignment horizontal="center"/>
    </xf>
    <xf numFmtId="43" fontId="14" fillId="0" borderId="70" xfId="0" applyNumberFormat="1" applyFont="1" applyBorder="1" applyAlignment="1">
      <alignment horizontal="center"/>
    </xf>
    <xf numFmtId="204" fontId="14" fillId="0" borderId="71" xfId="0" applyNumberFormat="1" applyFont="1" applyBorder="1" applyAlignment="1">
      <alignment horizontal="center"/>
    </xf>
    <xf numFmtId="43" fontId="14" fillId="0" borderId="71" xfId="1" applyFont="1" applyBorder="1" applyAlignment="1">
      <alignment horizontal="center"/>
    </xf>
    <xf numFmtId="43" fontId="14" fillId="0" borderId="71" xfId="0" applyNumberFormat="1" applyFont="1" applyBorder="1" applyAlignment="1">
      <alignment horizontal="center"/>
    </xf>
    <xf numFmtId="0" fontId="14" fillId="0" borderId="71" xfId="0" applyFont="1" applyBorder="1" applyAlignment="1">
      <alignment horizontal="center"/>
    </xf>
    <xf numFmtId="0" fontId="16" fillId="0" borderId="0" xfId="0" applyFont="1"/>
    <xf numFmtId="0" fontId="1" fillId="0" borderId="0" xfId="0" applyFont="1"/>
    <xf numFmtId="0" fontId="13" fillId="0" borderId="0" xfId="0" applyFont="1"/>
    <xf numFmtId="0" fontId="17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/>
    <xf numFmtId="0" fontId="0" fillId="0" borderId="12" xfId="0" applyBorder="1"/>
    <xf numFmtId="0" fontId="0" fillId="0" borderId="28" xfId="0" applyBorder="1"/>
    <xf numFmtId="0" fontId="8" fillId="0" borderId="10" xfId="0" applyFont="1" applyBorder="1"/>
    <xf numFmtId="0" fontId="0" fillId="0" borderId="15" xfId="0" applyBorder="1" applyAlignment="1">
      <alignment horizontal="center"/>
    </xf>
    <xf numFmtId="0" fontId="0" fillId="0" borderId="15" xfId="0" applyBorder="1"/>
    <xf numFmtId="0" fontId="18" fillId="0" borderId="16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5" xfId="0" applyFont="1" applyBorder="1"/>
    <xf numFmtId="0" fontId="1" fillId="0" borderId="16" xfId="0" applyFont="1" applyBorder="1" applyAlignment="1">
      <alignment horizontal="center"/>
    </xf>
    <xf numFmtId="0" fontId="1" fillId="0" borderId="16" xfId="0" applyFont="1" applyBorder="1"/>
    <xf numFmtId="2" fontId="1" fillId="0" borderId="16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43" fontId="0" fillId="0" borderId="16" xfId="1" applyFont="1" applyBorder="1" applyAlignment="1">
      <alignment horizontal="center"/>
    </xf>
    <xf numFmtId="187" fontId="0" fillId="0" borderId="16" xfId="0" applyNumberFormat="1" applyBorder="1"/>
    <xf numFmtId="187" fontId="18" fillId="0" borderId="16" xfId="0" applyNumberFormat="1" applyFont="1" applyBorder="1"/>
    <xf numFmtId="0" fontId="17" fillId="0" borderId="16" xfId="0" applyFont="1" applyBorder="1" applyAlignment="1">
      <alignment horizontal="left"/>
    </xf>
    <xf numFmtId="2" fontId="0" fillId="0" borderId="16" xfId="0" applyNumberFormat="1" applyBorder="1" applyAlignment="1">
      <alignment horizontal="center"/>
    </xf>
    <xf numFmtId="43" fontId="0" fillId="0" borderId="16" xfId="1" applyFont="1" applyBorder="1"/>
    <xf numFmtId="0" fontId="0" fillId="0" borderId="16" xfId="0" applyBorder="1"/>
    <xf numFmtId="0" fontId="0" fillId="0" borderId="16" xfId="0" applyBorder="1" applyAlignment="1">
      <alignment horizontal="left"/>
    </xf>
    <xf numFmtId="187" fontId="8" fillId="0" borderId="16" xfId="0" applyNumberFormat="1" applyFont="1" applyBorder="1"/>
    <xf numFmtId="205" fontId="0" fillId="0" borderId="16" xfId="0" applyNumberFormat="1" applyBorder="1"/>
    <xf numFmtId="0" fontId="15" fillId="0" borderId="16" xfId="0" applyFont="1" applyBorder="1" applyAlignment="1">
      <alignment horizontal="center"/>
    </xf>
    <xf numFmtId="187" fontId="15" fillId="0" borderId="16" xfId="0" applyNumberFormat="1" applyFont="1" applyBorder="1" applyAlignment="1">
      <alignment horizont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5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2" fontId="20" fillId="0" borderId="0" xfId="0" applyNumberFormat="1" applyFont="1" applyAlignment="1">
      <alignment vertical="center"/>
    </xf>
    <xf numFmtId="2" fontId="20" fillId="0" borderId="0" xfId="0" applyNumberFormat="1" applyFont="1" applyAlignment="1">
      <alignment horizontal="center" vertical="center"/>
    </xf>
    <xf numFmtId="15" fontId="20" fillId="0" borderId="0" xfId="0" applyNumberFormat="1" applyFont="1" applyAlignment="1">
      <alignment horizontal="center" vertical="center"/>
    </xf>
    <xf numFmtId="2" fontId="20" fillId="0" borderId="53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2" fontId="20" fillId="0" borderId="9" xfId="0" applyNumberFormat="1" applyFont="1" applyBorder="1" applyAlignment="1">
      <alignment horizontal="center" vertical="center"/>
    </xf>
    <xf numFmtId="2" fontId="20" fillId="0" borderId="29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2" fontId="20" fillId="0" borderId="15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2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2" xfId="0" applyFont="1" applyBorder="1" applyAlignment="1">
      <alignment horizontal="right" vertical="center"/>
    </xf>
    <xf numFmtId="2" fontId="20" fillId="0" borderId="2" xfId="0" applyNumberFormat="1" applyFont="1" applyBorder="1" applyAlignment="1">
      <alignment horizontal="right" vertical="center"/>
    </xf>
    <xf numFmtId="0" fontId="20" fillId="0" borderId="75" xfId="0" applyFont="1" applyBorder="1" applyAlignment="1">
      <alignment horizontal="center" vertical="center"/>
    </xf>
    <xf numFmtId="0" fontId="20" fillId="0" borderId="27" xfId="0" applyFont="1" applyBorder="1" applyAlignment="1">
      <alignment horizontal="left" vertical="center"/>
    </xf>
    <xf numFmtId="0" fontId="20" fillId="0" borderId="27" xfId="0" applyFont="1" applyBorder="1" applyAlignment="1">
      <alignment horizontal="center" vertical="center"/>
    </xf>
    <xf numFmtId="2" fontId="20" fillId="0" borderId="27" xfId="0" applyNumberFormat="1" applyFont="1" applyBorder="1" applyAlignment="1">
      <alignment horizontal="right" vertical="center"/>
    </xf>
    <xf numFmtId="0" fontId="20" fillId="0" borderId="27" xfId="0" applyFont="1" applyBorder="1" applyAlignment="1">
      <alignment horizontal="right" vertical="center"/>
    </xf>
    <xf numFmtId="0" fontId="20" fillId="0" borderId="6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2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2" fontId="14" fillId="0" borderId="2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20" fillId="0" borderId="6" xfId="0" applyFont="1" applyBorder="1" applyAlignment="1">
      <alignment horizontal="center" vertical="center"/>
    </xf>
    <xf numFmtId="0" fontId="20" fillId="0" borderId="76" xfId="0" applyFont="1" applyBorder="1" applyAlignment="1">
      <alignment horizontal="left" vertical="center"/>
    </xf>
    <xf numFmtId="0" fontId="20" fillId="0" borderId="49" xfId="0" applyFont="1" applyBorder="1" applyAlignment="1">
      <alignment horizontal="left" vertical="center"/>
    </xf>
    <xf numFmtId="0" fontId="20" fillId="0" borderId="18" xfId="0" applyFont="1" applyBorder="1" applyAlignment="1">
      <alignment horizontal="center" vertical="center"/>
    </xf>
    <xf numFmtId="2" fontId="20" fillId="0" borderId="49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2" fontId="20" fillId="0" borderId="18" xfId="0" applyNumberFormat="1" applyFont="1" applyBorder="1" applyAlignment="1">
      <alignment horizontal="right" vertical="center"/>
    </xf>
    <xf numFmtId="0" fontId="20" fillId="0" borderId="0" xfId="0" applyFont="1"/>
    <xf numFmtId="0" fontId="19" fillId="0" borderId="0" xfId="6" applyFont="1" applyAlignment="1">
      <alignment horizontal="left" vertical="center"/>
    </xf>
    <xf numFmtId="0" fontId="20" fillId="0" borderId="0" xfId="6" applyFont="1" applyAlignment="1">
      <alignment vertical="center"/>
    </xf>
    <xf numFmtId="43" fontId="20" fillId="0" borderId="0" xfId="7" applyFont="1" applyAlignment="1">
      <alignment horizontal="center" vertical="center"/>
    </xf>
    <xf numFmtId="43" fontId="20" fillId="0" borderId="0" xfId="7" applyFont="1" applyAlignment="1">
      <alignment vertical="center"/>
    </xf>
    <xf numFmtId="43" fontId="20" fillId="0" borderId="0" xfId="7" applyFont="1" applyFill="1" applyAlignment="1">
      <alignment vertical="center"/>
    </xf>
    <xf numFmtId="43" fontId="20" fillId="0" borderId="0" xfId="7" applyFont="1" applyBorder="1" applyAlignment="1">
      <alignment horizontal="center" vertical="center"/>
    </xf>
    <xf numFmtId="43" fontId="20" fillId="0" borderId="0" xfId="7" applyFont="1" applyBorder="1" applyAlignment="1">
      <alignment horizontal="right" vertical="center"/>
    </xf>
    <xf numFmtId="0" fontId="20" fillId="0" borderId="0" xfId="6" applyFont="1" applyAlignment="1">
      <alignment horizontal="left" vertical="center"/>
    </xf>
    <xf numFmtId="43" fontId="20" fillId="0" borderId="0" xfId="7" applyFont="1" applyAlignment="1">
      <alignment horizontal="left" vertical="center"/>
    </xf>
    <xf numFmtId="43" fontId="19" fillId="0" borderId="0" xfId="7" applyFont="1" applyBorder="1" applyAlignment="1">
      <alignment horizontal="center" vertical="center"/>
    </xf>
    <xf numFmtId="43" fontId="19" fillId="0" borderId="0" xfId="7" applyFont="1" applyBorder="1" applyAlignment="1">
      <alignment horizontal="right" vertical="center"/>
    </xf>
    <xf numFmtId="43" fontId="20" fillId="0" borderId="0" xfId="7" applyFont="1" applyAlignment="1">
      <alignment horizontal="right" vertical="center"/>
    </xf>
    <xf numFmtId="43" fontId="20" fillId="0" borderId="0" xfId="7" applyFont="1" applyFill="1" applyAlignment="1">
      <alignment horizontal="center" vertical="center"/>
    </xf>
    <xf numFmtId="43" fontId="20" fillId="0" borderId="0" xfId="7" applyFont="1" applyFill="1" applyAlignment="1" applyProtection="1">
      <alignment horizontal="center" vertical="center"/>
    </xf>
    <xf numFmtId="0" fontId="19" fillId="0" borderId="0" xfId="5" applyFont="1" applyAlignment="1">
      <alignment horizontal="left" vertical="center"/>
    </xf>
    <xf numFmtId="0" fontId="20" fillId="0" borderId="0" xfId="5" applyFont="1" applyAlignment="1">
      <alignment horizontal="center" vertical="center"/>
    </xf>
    <xf numFmtId="0" fontId="20" fillId="0" borderId="0" xfId="5" applyFont="1" applyAlignment="1">
      <alignment vertical="center"/>
    </xf>
    <xf numFmtId="15" fontId="20" fillId="0" borderId="0" xfId="5" applyNumberFormat="1" applyFont="1" applyAlignment="1">
      <alignment vertical="center"/>
    </xf>
    <xf numFmtId="4" fontId="3" fillId="0" borderId="0" xfId="3" applyFont="1"/>
    <xf numFmtId="0" fontId="2" fillId="0" borderId="0" xfId="0" applyFont="1"/>
    <xf numFmtId="4" fontId="3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0" fillId="0" borderId="0" xfId="0" applyFont="1"/>
    <xf numFmtId="0" fontId="30" fillId="0" borderId="0" xfId="0" applyFont="1" applyAlignment="1">
      <alignment horizontal="left"/>
    </xf>
    <xf numFmtId="191" fontId="3" fillId="0" borderId="0" xfId="0" applyNumberFormat="1" applyFont="1" applyAlignment="1">
      <alignment horizontal="center"/>
    </xf>
    <xf numFmtId="189" fontId="3" fillId="17" borderId="0" xfId="0" applyNumberFormat="1" applyFont="1" applyFill="1" applyAlignment="1">
      <alignment horizontal="center"/>
    </xf>
    <xf numFmtId="49" fontId="3" fillId="17" borderId="0" xfId="0" applyNumberFormat="1" applyFont="1" applyFill="1" applyAlignment="1">
      <alignment horizontal="center"/>
    </xf>
    <xf numFmtId="189" fontId="3" fillId="0" borderId="0" xfId="0" applyNumberFormat="1" applyFont="1" applyAlignment="1">
      <alignment horizontal="center"/>
    </xf>
    <xf numFmtId="197" fontId="3" fillId="0" borderId="0" xfId="0" applyNumberFormat="1" applyFont="1"/>
    <xf numFmtId="0" fontId="3" fillId="0" borderId="30" xfId="0" applyFont="1" applyBorder="1"/>
    <xf numFmtId="0" fontId="3" fillId="0" borderId="11" xfId="0" applyFont="1" applyBorder="1"/>
    <xf numFmtId="0" fontId="3" fillId="0" borderId="29" xfId="0" applyFont="1" applyBorder="1"/>
    <xf numFmtId="0" fontId="3" fillId="0" borderId="14" xfId="0" applyFont="1" applyBorder="1"/>
    <xf numFmtId="0" fontId="5" fillId="0" borderId="0" xfId="0" applyFont="1"/>
    <xf numFmtId="0" fontId="13" fillId="0" borderId="26" xfId="0" applyFont="1" applyBorder="1"/>
    <xf numFmtId="0" fontId="13" fillId="0" borderId="29" xfId="0" applyFont="1" applyBorder="1"/>
    <xf numFmtId="0" fontId="31" fillId="0" borderId="0" xfId="0" applyFont="1"/>
    <xf numFmtId="189" fontId="13" fillId="0" borderId="0" xfId="0" applyNumberFormat="1" applyFont="1"/>
    <xf numFmtId="191" fontId="13" fillId="0" borderId="0" xfId="0" applyNumberFormat="1" applyFont="1" applyAlignment="1">
      <alignment horizontal="center"/>
    </xf>
    <xf numFmtId="189" fontId="13" fillId="0" borderId="0" xfId="0" applyNumberFormat="1" applyFont="1" applyAlignment="1">
      <alignment horizontal="center"/>
    </xf>
    <xf numFmtId="3" fontId="13" fillId="0" borderId="0" xfId="0" applyNumberFormat="1" applyFont="1"/>
    <xf numFmtId="0" fontId="13" fillId="0" borderId="0" xfId="0" applyFont="1" applyAlignment="1">
      <alignment horizontal="center"/>
    </xf>
    <xf numFmtId="3" fontId="13" fillId="0" borderId="0" xfId="0" applyNumberFormat="1" applyFont="1" applyAlignment="1">
      <alignment horizontal="left"/>
    </xf>
    <xf numFmtId="204" fontId="14" fillId="13" borderId="69" xfId="0" applyNumberFormat="1" applyFont="1" applyFill="1" applyBorder="1" applyAlignment="1">
      <alignment horizontal="center"/>
    </xf>
    <xf numFmtId="43" fontId="14" fillId="13" borderId="69" xfId="1" applyFont="1" applyFill="1" applyBorder="1" applyAlignment="1">
      <alignment horizontal="center"/>
    </xf>
    <xf numFmtId="43" fontId="14" fillId="13" borderId="69" xfId="0" applyNumberFormat="1" applyFont="1" applyFill="1" applyBorder="1" applyAlignment="1">
      <alignment horizontal="center"/>
    </xf>
    <xf numFmtId="204" fontId="14" fillId="0" borderId="0" xfId="0" applyNumberFormat="1" applyFont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left"/>
    </xf>
    <xf numFmtId="43" fontId="13" fillId="0" borderId="0" xfId="0" applyNumberFormat="1" applyFont="1" applyAlignment="1">
      <alignment horizontal="right"/>
    </xf>
    <xf numFmtId="189" fontId="3" fillId="0" borderId="0" xfId="0" applyNumberFormat="1" applyFont="1"/>
    <xf numFmtId="202" fontId="13" fillId="17" borderId="30" xfId="0" applyNumberFormat="1" applyFont="1" applyFill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3" fillId="0" borderId="30" xfId="0" applyFont="1" applyBorder="1"/>
    <xf numFmtId="202" fontId="13" fillId="17" borderId="29" xfId="0" applyNumberFormat="1" applyFont="1" applyFill="1" applyBorder="1" applyAlignment="1">
      <alignment horizontal="center"/>
    </xf>
    <xf numFmtId="0" fontId="13" fillId="0" borderId="29" xfId="0" applyFont="1" applyBorder="1" applyAlignment="1">
      <alignment horizontal="center"/>
    </xf>
    <xf numFmtId="208" fontId="13" fillId="0" borderId="29" xfId="0" applyNumberFormat="1" applyFont="1" applyBorder="1" applyAlignment="1">
      <alignment horizontal="center"/>
    </xf>
    <xf numFmtId="0" fontId="13" fillId="0" borderId="30" xfId="0" applyFont="1" applyBorder="1" applyAlignment="1">
      <alignment shrinkToFit="1"/>
    </xf>
    <xf numFmtId="3" fontId="13" fillId="0" borderId="29" xfId="0" applyNumberFormat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8" fillId="0" borderId="0" xfId="0" applyFont="1"/>
    <xf numFmtId="0" fontId="15" fillId="0" borderId="10" xfId="0" applyFont="1" applyBorder="1" applyAlignment="1">
      <alignment horizontal="center"/>
    </xf>
    <xf numFmtId="0" fontId="0" fillId="0" borderId="10" xfId="0" applyBorder="1"/>
    <xf numFmtId="0" fontId="1" fillId="0" borderId="30" xfId="0" applyFont="1" applyBorder="1"/>
    <xf numFmtId="0" fontId="0" fillId="0" borderId="11" xfId="0" applyBorder="1"/>
    <xf numFmtId="0" fontId="0" fillId="0" borderId="29" xfId="0" applyBorder="1"/>
    <xf numFmtId="2" fontId="1" fillId="0" borderId="28" xfId="0" applyNumberFormat="1" applyFont="1" applyBorder="1" applyAlignment="1">
      <alignment horizontal="center"/>
    </xf>
    <xf numFmtId="0" fontId="0" fillId="0" borderId="25" xfId="0" applyBorder="1"/>
    <xf numFmtId="43" fontId="0" fillId="0" borderId="12" xfId="1" applyFont="1" applyBorder="1" applyAlignment="1">
      <alignment horizontal="center"/>
    </xf>
    <xf numFmtId="0" fontId="15" fillId="0" borderId="2" xfId="0" applyFont="1" applyBorder="1"/>
    <xf numFmtId="0" fontId="1" fillId="0" borderId="10" xfId="0" applyFont="1" applyBorder="1"/>
    <xf numFmtId="0" fontId="0" fillId="0" borderId="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2" xfId="0" applyBorder="1" applyAlignment="1">
      <alignment horizontal="center"/>
    </xf>
    <xf numFmtId="0" fontId="13" fillId="0" borderId="10" xfId="0" applyFont="1" applyBorder="1" applyAlignment="1">
      <alignment horizontal="left"/>
    </xf>
    <xf numFmtId="2" fontId="0" fillId="0" borderId="15" xfId="0" applyNumberForma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7" fillId="0" borderId="15" xfId="0" applyFont="1" applyBorder="1" applyAlignment="1">
      <alignment horizontal="left"/>
    </xf>
    <xf numFmtId="2" fontId="0" fillId="0" borderId="11" xfId="0" applyNumberFormat="1" applyBorder="1" applyAlignment="1">
      <alignment horizontal="center"/>
    </xf>
    <xf numFmtId="0" fontId="1" fillId="0" borderId="2" xfId="0" applyFont="1" applyBorder="1"/>
    <xf numFmtId="0" fontId="1" fillId="0" borderId="15" xfId="0" applyFont="1" applyBorder="1"/>
    <xf numFmtId="187" fontId="15" fillId="0" borderId="16" xfId="0" applyNumberFormat="1" applyFont="1" applyBorder="1"/>
    <xf numFmtId="0" fontId="33" fillId="0" borderId="53" xfId="0" applyFont="1" applyBorder="1" applyAlignment="1">
      <alignment horizontal="center" vertical="center"/>
    </xf>
    <xf numFmtId="0" fontId="20" fillId="13" borderId="0" xfId="0" applyFont="1" applyFill="1" applyAlignment="1">
      <alignment vertical="center"/>
    </xf>
    <xf numFmtId="0" fontId="34" fillId="13" borderId="0" xfId="6" applyFont="1" applyFill="1" applyAlignment="1">
      <alignment vertical="center"/>
    </xf>
    <xf numFmtId="0" fontId="34" fillId="13" borderId="0" xfId="6" applyFont="1" applyFill="1" applyAlignment="1">
      <alignment horizontal="left" vertical="center"/>
    </xf>
    <xf numFmtId="43" fontId="34" fillId="13" borderId="0" xfId="7" applyFont="1" applyFill="1" applyAlignment="1">
      <alignment horizontal="right" vertical="center"/>
    </xf>
    <xf numFmtId="43" fontId="34" fillId="13" borderId="0" xfId="7" applyFont="1" applyFill="1" applyAlignment="1">
      <alignment horizontal="center" vertical="center"/>
    </xf>
    <xf numFmtId="43" fontId="34" fillId="13" borderId="0" xfId="7" applyFont="1" applyFill="1" applyAlignment="1">
      <alignment vertical="center"/>
    </xf>
    <xf numFmtId="43" fontId="34" fillId="13" borderId="0" xfId="7" applyFont="1" applyFill="1" applyBorder="1" applyAlignment="1">
      <alignment horizontal="center" vertical="center"/>
    </xf>
    <xf numFmtId="204" fontId="34" fillId="0" borderId="69" xfId="0" applyNumberFormat="1" applyFont="1" applyBorder="1" applyAlignment="1">
      <alignment horizontal="center"/>
    </xf>
    <xf numFmtId="43" fontId="34" fillId="0" borderId="69" xfId="1" applyFont="1" applyBorder="1" applyAlignment="1">
      <alignment horizontal="center"/>
    </xf>
    <xf numFmtId="43" fontId="34" fillId="0" borderId="69" xfId="0" applyNumberFormat="1" applyFont="1" applyBorder="1" applyAlignment="1">
      <alignment horizontal="center"/>
    </xf>
    <xf numFmtId="0" fontId="34" fillId="0" borderId="69" xfId="0" applyFont="1" applyBorder="1" applyAlignment="1">
      <alignment horizontal="center"/>
    </xf>
    <xf numFmtId="0" fontId="34" fillId="0" borderId="0" xfId="0" applyFont="1" applyAlignment="1">
      <alignment horizontal="center"/>
    </xf>
    <xf numFmtId="204" fontId="34" fillId="13" borderId="69" xfId="0" applyNumberFormat="1" applyFont="1" applyFill="1" applyBorder="1" applyAlignment="1">
      <alignment horizontal="center"/>
    </xf>
    <xf numFmtId="43" fontId="34" fillId="13" borderId="69" xfId="1" applyFont="1" applyFill="1" applyBorder="1" applyAlignment="1">
      <alignment horizontal="center"/>
    </xf>
    <xf numFmtId="43" fontId="34" fillId="13" borderId="69" xfId="0" applyNumberFormat="1" applyFont="1" applyFill="1" applyBorder="1" applyAlignment="1">
      <alignment horizontal="center"/>
    </xf>
    <xf numFmtId="0" fontId="35" fillId="0" borderId="69" xfId="0" applyFont="1" applyBorder="1" applyAlignment="1">
      <alignment horizontal="left"/>
    </xf>
    <xf numFmtId="0" fontId="36" fillId="0" borderId="69" xfId="0" applyFont="1" applyBorder="1" applyAlignment="1">
      <alignment horizontal="center"/>
    </xf>
    <xf numFmtId="43" fontId="14" fillId="0" borderId="16" xfId="1" applyFont="1" applyFill="1" applyBorder="1" applyAlignment="1">
      <alignment horizontal="center"/>
    </xf>
    <xf numFmtId="43" fontId="14" fillId="0" borderId="69" xfId="1" applyFont="1" applyFill="1" applyBorder="1" applyAlignment="1">
      <alignment horizontal="center"/>
    </xf>
    <xf numFmtId="43" fontId="34" fillId="0" borderId="69" xfId="1" applyFont="1" applyFill="1" applyBorder="1" applyAlignment="1">
      <alignment horizontal="center"/>
    </xf>
    <xf numFmtId="43" fontId="14" fillId="0" borderId="71" xfId="1" applyFont="1" applyFill="1" applyBorder="1" applyAlignment="1">
      <alignment horizontal="center"/>
    </xf>
    <xf numFmtId="43" fontId="14" fillId="0" borderId="0" xfId="1" applyFont="1" applyFill="1" applyAlignment="1">
      <alignment horizontal="center"/>
    </xf>
    <xf numFmtId="0" fontId="14" fillId="0" borderId="10" xfId="0" applyFont="1" applyBorder="1" applyAlignment="1">
      <alignment horizontal="center"/>
    </xf>
    <xf numFmtId="43" fontId="34" fillId="0" borderId="16" xfId="1" applyFont="1" applyFill="1" applyBorder="1" applyAlignment="1">
      <alignment horizontal="center"/>
    </xf>
    <xf numFmtId="43" fontId="34" fillId="0" borderId="10" xfId="1" applyFont="1" applyFill="1" applyBorder="1" applyAlignment="1">
      <alignment horizontal="center"/>
    </xf>
    <xf numFmtId="43" fontId="34" fillId="0" borderId="71" xfId="1" applyFont="1" applyFill="1" applyBorder="1" applyAlignment="1">
      <alignment horizontal="center"/>
    </xf>
    <xf numFmtId="43" fontId="34" fillId="0" borderId="0" xfId="1" applyFont="1" applyFill="1" applyAlignment="1">
      <alignment horizontal="center"/>
    </xf>
    <xf numFmtId="204" fontId="14" fillId="0" borderId="70" xfId="0" applyNumberFormat="1" applyFont="1" applyBorder="1" applyAlignment="1">
      <alignment horizontal="center"/>
    </xf>
    <xf numFmtId="43" fontId="14" fillId="0" borderId="70" xfId="1" applyFont="1" applyBorder="1" applyAlignment="1">
      <alignment horizontal="center"/>
    </xf>
    <xf numFmtId="43" fontId="14" fillId="0" borderId="70" xfId="1" applyFont="1" applyFill="1" applyBorder="1" applyAlignment="1">
      <alignment horizontal="center"/>
    </xf>
    <xf numFmtId="43" fontId="34" fillId="0" borderId="70" xfId="1" applyFont="1" applyFill="1" applyBorder="1" applyAlignment="1">
      <alignment horizontal="center"/>
    </xf>
    <xf numFmtId="204" fontId="34" fillId="0" borderId="16" xfId="0" applyNumberFormat="1" applyFont="1" applyBorder="1" applyAlignment="1">
      <alignment horizontal="center"/>
    </xf>
    <xf numFmtId="43" fontId="34" fillId="0" borderId="16" xfId="1" applyFont="1" applyBorder="1" applyAlignment="1">
      <alignment horizontal="center"/>
    </xf>
    <xf numFmtId="204" fontId="34" fillId="13" borderId="16" xfId="0" applyNumberFormat="1" applyFont="1" applyFill="1" applyBorder="1" applyAlignment="1">
      <alignment horizontal="center"/>
    </xf>
    <xf numFmtId="43" fontId="34" fillId="13" borderId="16" xfId="1" applyFont="1" applyFill="1" applyBorder="1" applyAlignment="1">
      <alignment horizontal="center"/>
    </xf>
    <xf numFmtId="204" fontId="38" fillId="0" borderId="16" xfId="0" applyNumberFormat="1" applyFont="1" applyBorder="1" applyAlignment="1">
      <alignment horizontal="center"/>
    </xf>
    <xf numFmtId="43" fontId="34" fillId="0" borderId="16" xfId="0" applyNumberFormat="1" applyFont="1" applyBorder="1" applyAlignment="1">
      <alignment horizontal="center"/>
    </xf>
    <xf numFmtId="43" fontId="14" fillId="0" borderId="16" xfId="0" applyNumberFormat="1" applyFont="1" applyBorder="1" applyAlignment="1">
      <alignment horizontal="center"/>
    </xf>
    <xf numFmtId="43" fontId="34" fillId="0" borderId="0" xfId="1" applyFont="1" applyAlignment="1">
      <alignment horizontal="center"/>
    </xf>
    <xf numFmtId="43" fontId="34" fillId="0" borderId="2" xfId="1" applyFont="1" applyFill="1" applyBorder="1" applyAlignment="1">
      <alignment horizontal="center"/>
    </xf>
    <xf numFmtId="0" fontId="35" fillId="0" borderId="69" xfId="0" applyFont="1" applyBorder="1" applyAlignment="1">
      <alignment horizontal="center"/>
    </xf>
    <xf numFmtId="43" fontId="39" fillId="0" borderId="16" xfId="1" applyFont="1" applyFill="1" applyBorder="1" applyAlignment="1">
      <alignment horizontal="center"/>
    </xf>
    <xf numFmtId="0" fontId="39" fillId="0" borderId="69" xfId="0" applyFont="1" applyBorder="1" applyAlignment="1">
      <alignment horizontal="center"/>
    </xf>
    <xf numFmtId="204" fontId="14" fillId="0" borderId="15" xfId="0" applyNumberFormat="1" applyFont="1" applyBorder="1" applyAlignment="1">
      <alignment horizontal="center"/>
    </xf>
    <xf numFmtId="43" fontId="14" fillId="0" borderId="15" xfId="1" applyFont="1" applyBorder="1" applyAlignment="1">
      <alignment horizontal="center"/>
    </xf>
    <xf numFmtId="43" fontId="14" fillId="0" borderId="15" xfId="1" applyFont="1" applyFill="1" applyBorder="1" applyAlignment="1">
      <alignment horizontal="center"/>
    </xf>
    <xf numFmtId="43" fontId="34" fillId="0" borderId="15" xfId="1" applyFont="1" applyFill="1" applyBorder="1" applyAlignment="1">
      <alignment horizontal="center"/>
    </xf>
    <xf numFmtId="0" fontId="14" fillId="0" borderId="70" xfId="0" applyFont="1" applyBorder="1" applyAlignment="1">
      <alignment horizontal="center"/>
    </xf>
    <xf numFmtId="0" fontId="34" fillId="0" borderId="16" xfId="0" applyFont="1" applyBorder="1" applyAlignment="1">
      <alignment horizontal="center"/>
    </xf>
    <xf numFmtId="43" fontId="34" fillId="0" borderId="2" xfId="0" applyNumberFormat="1" applyFont="1" applyBorder="1" applyAlignment="1">
      <alignment horizontal="center"/>
    </xf>
    <xf numFmtId="43" fontId="14" fillId="0" borderId="2" xfId="0" applyNumberFormat="1" applyFont="1" applyBorder="1" applyAlignment="1">
      <alignment horizontal="center"/>
    </xf>
    <xf numFmtId="43" fontId="40" fillId="0" borderId="16" xfId="1" applyFont="1" applyFill="1" applyBorder="1" applyAlignment="1">
      <alignment horizontal="center"/>
    </xf>
    <xf numFmtId="43" fontId="40" fillId="0" borderId="16" xfId="1" applyFont="1" applyBorder="1" applyAlignment="1">
      <alignment horizontal="center"/>
    </xf>
    <xf numFmtId="43" fontId="40" fillId="0" borderId="10" xfId="1" applyFont="1" applyFill="1" applyBorder="1" applyAlignment="1">
      <alignment horizontal="center"/>
    </xf>
    <xf numFmtId="43" fontId="41" fillId="0" borderId="16" xfId="1" applyFont="1" applyBorder="1" applyAlignment="1">
      <alignment horizontal="center"/>
    </xf>
    <xf numFmtId="43" fontId="41" fillId="13" borderId="16" xfId="1" applyFont="1" applyFill="1" applyBorder="1" applyAlignment="1">
      <alignment horizontal="center"/>
    </xf>
    <xf numFmtId="43" fontId="41" fillId="0" borderId="70" xfId="1" applyFont="1" applyBorder="1" applyAlignment="1">
      <alignment horizontal="center"/>
    </xf>
    <xf numFmtId="43" fontId="41" fillId="0" borderId="69" xfId="1" applyFont="1" applyBorder="1" applyAlignment="1">
      <alignment horizontal="center"/>
    </xf>
    <xf numFmtId="43" fontId="41" fillId="0" borderId="71" xfId="1" applyFont="1" applyBorder="1" applyAlignment="1">
      <alignment horizontal="center"/>
    </xf>
    <xf numFmtId="43" fontId="41" fillId="0" borderId="16" xfId="1" applyFont="1" applyFill="1" applyBorder="1" applyAlignment="1">
      <alignment horizontal="center"/>
    </xf>
    <xf numFmtId="0" fontId="44" fillId="0" borderId="69" xfId="0" applyFont="1" applyBorder="1" applyAlignment="1">
      <alignment horizontal="center"/>
    </xf>
    <xf numFmtId="204" fontId="14" fillId="12" borderId="16" xfId="0" applyNumberFormat="1" applyFont="1" applyFill="1" applyBorder="1" applyAlignment="1">
      <alignment horizontal="center"/>
    </xf>
    <xf numFmtId="43" fontId="14" fillId="12" borderId="16" xfId="1" applyFont="1" applyFill="1" applyBorder="1" applyAlignment="1">
      <alignment horizontal="center"/>
    </xf>
    <xf numFmtId="43" fontId="41" fillId="12" borderId="16" xfId="1" applyFont="1" applyFill="1" applyBorder="1" applyAlignment="1">
      <alignment horizontal="center"/>
    </xf>
    <xf numFmtId="43" fontId="34" fillId="12" borderId="16" xfId="1" applyFont="1" applyFill="1" applyBorder="1" applyAlignment="1">
      <alignment horizontal="center"/>
    </xf>
    <xf numFmtId="43" fontId="34" fillId="12" borderId="10" xfId="1" applyFont="1" applyFill="1" applyBorder="1" applyAlignment="1">
      <alignment horizontal="center"/>
    </xf>
    <xf numFmtId="0" fontId="14" fillId="12" borderId="0" xfId="0" applyFont="1" applyFill="1" applyAlignment="1">
      <alignment horizontal="center"/>
    </xf>
    <xf numFmtId="204" fontId="14" fillId="18" borderId="16" xfId="0" applyNumberFormat="1" applyFont="1" applyFill="1" applyBorder="1" applyAlignment="1">
      <alignment horizontal="center"/>
    </xf>
    <xf numFmtId="43" fontId="14" fillId="18" borderId="16" xfId="1" applyFont="1" applyFill="1" applyBorder="1" applyAlignment="1">
      <alignment horizontal="center"/>
    </xf>
    <xf numFmtId="43" fontId="41" fillId="18" borderId="16" xfId="1" applyFont="1" applyFill="1" applyBorder="1" applyAlignment="1">
      <alignment horizontal="center"/>
    </xf>
    <xf numFmtId="43" fontId="34" fillId="18" borderId="16" xfId="1" applyFont="1" applyFill="1" applyBorder="1" applyAlignment="1">
      <alignment horizontal="center"/>
    </xf>
    <xf numFmtId="43" fontId="34" fillId="18" borderId="10" xfId="1" applyFont="1" applyFill="1" applyBorder="1" applyAlignment="1">
      <alignment horizontal="center"/>
    </xf>
    <xf numFmtId="0" fontId="43" fillId="18" borderId="69" xfId="0" applyFont="1" applyFill="1" applyBorder="1" applyAlignment="1">
      <alignment horizontal="center"/>
    </xf>
    <xf numFmtId="0" fontId="14" fillId="18" borderId="0" xfId="0" applyFont="1" applyFill="1" applyAlignment="1">
      <alignment horizontal="center"/>
    </xf>
    <xf numFmtId="0" fontId="44" fillId="18" borderId="69" xfId="0" applyFont="1" applyFill="1" applyBorder="1" applyAlignment="1">
      <alignment horizontal="center"/>
    </xf>
    <xf numFmtId="0" fontId="44" fillId="12" borderId="69" xfId="0" applyFont="1" applyFill="1" applyBorder="1" applyAlignment="1">
      <alignment horizontal="center"/>
    </xf>
    <xf numFmtId="204" fontId="40" fillId="12" borderId="16" xfId="0" applyNumberFormat="1" applyFont="1" applyFill="1" applyBorder="1" applyAlignment="1">
      <alignment horizontal="center"/>
    </xf>
    <xf numFmtId="43" fontId="40" fillId="12" borderId="16" xfId="1" applyFont="1" applyFill="1" applyBorder="1" applyAlignment="1">
      <alignment horizontal="center"/>
    </xf>
    <xf numFmtId="43" fontId="40" fillId="12" borderId="10" xfId="1" applyFont="1" applyFill="1" applyBorder="1" applyAlignment="1">
      <alignment horizontal="center"/>
    </xf>
    <xf numFmtId="0" fontId="45" fillId="12" borderId="69" xfId="0" applyFont="1" applyFill="1" applyBorder="1" applyAlignment="1">
      <alignment horizontal="center"/>
    </xf>
    <xf numFmtId="0" fontId="14" fillId="12" borderId="69" xfId="0" applyFont="1" applyFill="1" applyBorder="1" applyAlignment="1">
      <alignment horizontal="center"/>
    </xf>
    <xf numFmtId="0" fontId="42" fillId="12" borderId="69" xfId="0" applyFont="1" applyFill="1" applyBorder="1" applyAlignment="1">
      <alignment horizontal="left"/>
    </xf>
    <xf numFmtId="0" fontId="39" fillId="12" borderId="69" xfId="0" applyFont="1" applyFill="1" applyBorder="1" applyAlignment="1">
      <alignment horizontal="center"/>
    </xf>
    <xf numFmtId="0" fontId="34" fillId="12" borderId="0" xfId="0" applyFont="1" applyFill="1" applyAlignment="1">
      <alignment horizontal="center"/>
    </xf>
    <xf numFmtId="0" fontId="42" fillId="12" borderId="69" xfId="0" applyFont="1" applyFill="1" applyBorder="1" applyAlignment="1">
      <alignment horizontal="center"/>
    </xf>
    <xf numFmtId="204" fontId="40" fillId="12" borderId="10" xfId="0" applyNumberFormat="1" applyFont="1" applyFill="1" applyBorder="1" applyAlignment="1">
      <alignment horizontal="center"/>
    </xf>
    <xf numFmtId="0" fontId="39" fillId="12" borderId="82" xfId="0" applyFont="1" applyFill="1" applyBorder="1" applyAlignment="1">
      <alignment horizontal="center"/>
    </xf>
    <xf numFmtId="204" fontId="38" fillId="12" borderId="16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/>
    <xf numFmtId="0" fontId="5" fillId="0" borderId="0" xfId="0" applyFont="1" applyAlignment="1">
      <alignment horizontal="left"/>
    </xf>
    <xf numFmtId="0" fontId="0" fillId="0" borderId="0" xfId="0"/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20" fillId="0" borderId="0" xfId="5" applyFont="1" applyAlignment="1">
      <alignment horizontal="left" vertical="center"/>
    </xf>
    <xf numFmtId="0" fontId="20" fillId="0" borderId="3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72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6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3" fillId="0" borderId="25" xfId="0" applyFont="1" applyBorder="1"/>
    <xf numFmtId="0" fontId="13" fillId="0" borderId="30" xfId="0" applyFont="1" applyBorder="1"/>
    <xf numFmtId="0" fontId="13" fillId="0" borderId="29" xfId="0" applyFont="1" applyBorder="1"/>
    <xf numFmtId="204" fontId="37" fillId="0" borderId="29" xfId="0" applyNumberFormat="1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33" fillId="0" borderId="0" xfId="0" applyFont="1"/>
    <xf numFmtId="0" fontId="19" fillId="0" borderId="0" xfId="0" applyFont="1" applyAlignment="1">
      <alignment horizontal="center"/>
    </xf>
    <xf numFmtId="0" fontId="22" fillId="5" borderId="0" xfId="0" applyFont="1" applyFill="1"/>
    <xf numFmtId="0" fontId="46" fillId="8" borderId="0" xfId="0" applyFont="1" applyFill="1" applyAlignment="1">
      <alignment horizontal="center"/>
    </xf>
    <xf numFmtId="4" fontId="47" fillId="0" borderId="0" xfId="3" applyFont="1" applyAlignment="1">
      <alignment horizontal="centerContinuous"/>
    </xf>
    <xf numFmtId="0" fontId="19" fillId="0" borderId="0" xfId="0" applyFont="1" applyAlignment="1" applyProtection="1">
      <alignment horizontal="center"/>
      <protection locked="0"/>
    </xf>
    <xf numFmtId="4" fontId="33" fillId="0" borderId="0" xfId="3" applyFont="1"/>
    <xf numFmtId="0" fontId="48" fillId="7" borderId="0" xfId="0" applyFont="1" applyFill="1"/>
    <xf numFmtId="0" fontId="22" fillId="7" borderId="0" xfId="0" applyFont="1" applyFill="1"/>
    <xf numFmtId="0" fontId="22" fillId="7" borderId="0" xfId="0" applyFont="1" applyFill="1" applyAlignment="1">
      <alignment horizontal="center"/>
    </xf>
    <xf numFmtId="0" fontId="22" fillId="0" borderId="0" xfId="0" applyFont="1"/>
    <xf numFmtId="0" fontId="19" fillId="0" borderId="0" xfId="0" applyFont="1" applyAlignment="1" applyProtection="1">
      <alignment horizontal="center"/>
      <protection locked="0"/>
    </xf>
    <xf numFmtId="43" fontId="33" fillId="4" borderId="0" xfId="1" applyFont="1" applyFill="1" applyAlignment="1">
      <alignment horizontal="left"/>
    </xf>
    <xf numFmtId="0" fontId="47" fillId="0" borderId="0" xfId="0" applyFont="1"/>
    <xf numFmtId="0" fontId="33" fillId="4" borderId="0" xfId="0" applyFont="1" applyFill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0" fontId="33" fillId="4" borderId="0" xfId="0" applyFont="1" applyFill="1" applyProtection="1">
      <protection locked="0"/>
    </xf>
    <xf numFmtId="0" fontId="33" fillId="10" borderId="0" xfId="0" applyFont="1" applyFill="1" applyAlignment="1">
      <alignment horizontal="center"/>
    </xf>
    <xf numFmtId="39" fontId="50" fillId="0" borderId="0" xfId="2" applyFont="1" applyAlignment="1">
      <alignment horizontal="left"/>
    </xf>
    <xf numFmtId="189" fontId="33" fillId="0" borderId="0" xfId="0" applyNumberFormat="1" applyFont="1" applyAlignment="1" applyProtection="1">
      <alignment horizontal="center"/>
      <protection locked="0"/>
    </xf>
    <xf numFmtId="189" fontId="33" fillId="0" borderId="0" xfId="2" applyNumberFormat="1" applyFont="1" applyAlignment="1">
      <alignment horizontal="left"/>
    </xf>
    <xf numFmtId="189" fontId="33" fillId="0" borderId="0" xfId="2" applyNumberFormat="1" applyFont="1" applyAlignment="1">
      <alignment horizontal="center"/>
    </xf>
    <xf numFmtId="0" fontId="20" fillId="0" borderId="0" xfId="0" applyFont="1" applyAlignment="1">
      <alignment horizontal="left"/>
    </xf>
    <xf numFmtId="0" fontId="28" fillId="4" borderId="0" xfId="0" applyFont="1" applyFill="1" applyProtection="1">
      <protection locked="0"/>
    </xf>
    <xf numFmtId="0" fontId="33" fillId="0" borderId="0" xfId="0" applyFont="1" applyAlignment="1">
      <alignment horizontal="left"/>
    </xf>
    <xf numFmtId="189" fontId="33" fillId="4" borderId="0" xfId="0" applyNumberFormat="1" applyFont="1" applyFill="1" applyAlignment="1" applyProtection="1">
      <alignment horizontal="center"/>
      <protection locked="0"/>
    </xf>
    <xf numFmtId="189" fontId="33" fillId="10" borderId="0" xfId="0" applyNumberFormat="1" applyFont="1" applyFill="1" applyAlignment="1" applyProtection="1">
      <alignment horizontal="center"/>
      <protection locked="0"/>
    </xf>
    <xf numFmtId="189" fontId="33" fillId="11" borderId="0" xfId="0" applyNumberFormat="1" applyFont="1" applyFill="1"/>
    <xf numFmtId="0" fontId="33" fillId="10" borderId="0" xfId="0" applyFont="1" applyFill="1"/>
    <xf numFmtId="0" fontId="51" fillId="0" borderId="0" xfId="0" applyFont="1"/>
    <xf numFmtId="0" fontId="52" fillId="0" borderId="0" xfId="0" applyFont="1"/>
    <xf numFmtId="0" fontId="53" fillId="4" borderId="0" xfId="0" applyFont="1" applyFill="1" applyProtection="1">
      <protection locked="0"/>
    </xf>
    <xf numFmtId="43" fontId="33" fillId="4" borderId="0" xfId="1" applyFont="1" applyFill="1" applyAlignment="1">
      <alignment horizontal="center"/>
    </xf>
    <xf numFmtId="39" fontId="33" fillId="0" borderId="0" xfId="0" applyNumberFormat="1" applyFont="1"/>
    <xf numFmtId="39" fontId="33" fillId="0" borderId="0" xfId="0" applyNumberFormat="1" applyFont="1" applyAlignment="1">
      <alignment horizontal="left"/>
    </xf>
    <xf numFmtId="39" fontId="33" fillId="9" borderId="0" xfId="0" applyNumberFormat="1" applyFont="1" applyFill="1" applyAlignment="1" applyProtection="1">
      <alignment horizontal="center"/>
      <protection locked="0"/>
    </xf>
    <xf numFmtId="37" fontId="33" fillId="0" borderId="0" xfId="0" applyNumberFormat="1" applyFont="1" applyAlignment="1">
      <alignment horizontal="center"/>
    </xf>
    <xf numFmtId="0" fontId="33" fillId="14" borderId="0" xfId="0" applyFont="1" applyFill="1" applyAlignment="1">
      <alignment horizontal="left"/>
    </xf>
    <xf numFmtId="37" fontId="33" fillId="9" borderId="0" xfId="0" applyNumberFormat="1" applyFont="1" applyFill="1" applyAlignment="1" applyProtection="1">
      <alignment horizontal="center"/>
      <protection locked="0"/>
    </xf>
    <xf numFmtId="37" fontId="33" fillId="3" borderId="0" xfId="0" applyNumberFormat="1" applyFont="1" applyFill="1" applyAlignment="1">
      <alignment horizontal="center"/>
    </xf>
    <xf numFmtId="2" fontId="33" fillId="0" borderId="0" xfId="0" applyNumberFormat="1" applyFont="1" applyAlignment="1">
      <alignment horizontal="left"/>
    </xf>
    <xf numFmtId="4" fontId="51" fillId="0" borderId="0" xfId="0" quotePrefix="1" applyNumberFormat="1" applyFont="1" applyAlignment="1">
      <alignment horizontal="right"/>
    </xf>
    <xf numFmtId="39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 shrinkToFit="1"/>
    </xf>
    <xf numFmtId="43" fontId="33" fillId="4" borderId="0" xfId="0" applyNumberFormat="1" applyFont="1" applyFill="1" applyProtection="1">
      <protection locked="0"/>
    </xf>
    <xf numFmtId="43" fontId="33" fillId="4" borderId="0" xfId="0" applyNumberFormat="1" applyFont="1" applyFill="1" applyAlignment="1" applyProtection="1">
      <alignment horizontal="right"/>
      <protection locked="0"/>
    </xf>
    <xf numFmtId="37" fontId="33" fillId="0" borderId="0" xfId="0" applyNumberFormat="1" applyFont="1" applyAlignment="1" applyProtection="1">
      <alignment horizontal="center"/>
      <protection locked="0"/>
    </xf>
    <xf numFmtId="200" fontId="33" fillId="0" borderId="0" xfId="1" applyNumberFormat="1" applyFont="1" applyProtection="1"/>
    <xf numFmtId="0" fontId="55" fillId="0" borderId="0" xfId="0" applyFont="1"/>
    <xf numFmtId="0" fontId="35" fillId="0" borderId="0" xfId="0" applyFont="1"/>
    <xf numFmtId="37" fontId="35" fillId="0" borderId="0" xfId="0" applyNumberFormat="1" applyFont="1" applyAlignment="1">
      <alignment horizontal="center"/>
    </xf>
    <xf numFmtId="0" fontId="35" fillId="0" borderId="0" xfId="0" applyFont="1" applyAlignment="1">
      <alignment horizontal="center"/>
    </xf>
    <xf numFmtId="1" fontId="33" fillId="0" borderId="0" xfId="0" applyNumberFormat="1" applyFont="1"/>
    <xf numFmtId="4" fontId="35" fillId="0" borderId="0" xfId="0" applyNumberFormat="1" applyFont="1"/>
    <xf numFmtId="0" fontId="35" fillId="0" borderId="0" xfId="0" applyFont="1" applyAlignment="1">
      <alignment horizontal="left"/>
    </xf>
    <xf numFmtId="4" fontId="51" fillId="0" borderId="0" xfId="0" applyNumberFormat="1" applyFont="1"/>
    <xf numFmtId="0" fontId="53" fillId="0" borderId="0" xfId="0" applyFont="1" applyProtection="1">
      <protection locked="0"/>
    </xf>
    <xf numFmtId="43" fontId="33" fillId="0" borderId="0" xfId="0" applyNumberFormat="1" applyFont="1" applyAlignment="1" applyProtection="1">
      <alignment horizontal="right"/>
      <protection locked="0"/>
    </xf>
    <xf numFmtId="0" fontId="33" fillId="0" borderId="0" xfId="0" applyFont="1" applyProtection="1">
      <protection locked="0"/>
    </xf>
    <xf numFmtId="37" fontId="47" fillId="0" borderId="0" xfId="0" applyNumberFormat="1" applyFont="1" applyAlignment="1">
      <alignment horizontal="left"/>
    </xf>
    <xf numFmtId="39" fontId="19" fillId="0" borderId="0" xfId="0" applyNumberFormat="1" applyFont="1" applyAlignment="1">
      <alignment horizontal="left"/>
    </xf>
    <xf numFmtId="3" fontId="35" fillId="0" borderId="0" xfId="0" applyNumberFormat="1" applyFont="1"/>
    <xf numFmtId="3" fontId="51" fillId="0" borderId="0" xfId="0" applyNumberFormat="1" applyFont="1"/>
    <xf numFmtId="0" fontId="33" fillId="4" borderId="0" xfId="0" applyFont="1" applyFill="1" applyAlignment="1">
      <alignment horizontal="center"/>
    </xf>
    <xf numFmtId="2" fontId="33" fillId="0" borderId="0" xfId="0" quotePrefix="1" applyNumberFormat="1" applyFont="1"/>
    <xf numFmtId="0" fontId="56" fillId="0" borderId="0" xfId="0" applyFont="1"/>
    <xf numFmtId="0" fontId="33" fillId="0" borderId="0" xfId="0" applyFont="1" applyAlignment="1">
      <alignment horizontal="right"/>
    </xf>
    <xf numFmtId="4" fontId="57" fillId="0" borderId="0" xfId="0" applyNumberFormat="1" applyFont="1"/>
    <xf numFmtId="2" fontId="51" fillId="0" borderId="0" xfId="0" quotePrefix="1" applyNumberFormat="1" applyFont="1"/>
    <xf numFmtId="37" fontId="33" fillId="0" borderId="0" xfId="0" applyNumberFormat="1" applyFont="1"/>
    <xf numFmtId="2" fontId="33" fillId="4" borderId="0" xfId="0" applyNumberFormat="1" applyFont="1" applyFill="1" applyAlignment="1" applyProtection="1">
      <alignment horizontal="center"/>
      <protection locked="0"/>
    </xf>
    <xf numFmtId="4" fontId="33" fillId="0" borderId="0" xfId="0" applyNumberFormat="1" applyFont="1"/>
    <xf numFmtId="2" fontId="33" fillId="0" borderId="0" xfId="0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/>
    </xf>
    <xf numFmtId="0" fontId="59" fillId="0" borderId="0" xfId="0" applyFont="1"/>
    <xf numFmtId="4" fontId="33" fillId="0" borderId="0" xfId="0" quotePrefix="1" applyNumberFormat="1" applyFont="1"/>
    <xf numFmtId="193" fontId="33" fillId="4" borderId="0" xfId="0" applyNumberFormat="1" applyFont="1" applyFill="1" applyAlignment="1">
      <alignment horizontal="center"/>
    </xf>
    <xf numFmtId="193" fontId="33" fillId="0" borderId="0" xfId="0" applyNumberFormat="1" applyFont="1" applyAlignment="1">
      <alignment horizontal="center"/>
    </xf>
    <xf numFmtId="37" fontId="33" fillId="0" borderId="0" xfId="0" applyNumberFormat="1" applyFont="1" applyAlignment="1">
      <alignment horizontal="left"/>
    </xf>
    <xf numFmtId="2" fontId="33" fillId="0" borderId="0" xfId="0" applyNumberFormat="1" applyFont="1"/>
    <xf numFmtId="3" fontId="33" fillId="0" borderId="0" xfId="0" applyNumberFormat="1" applyFont="1"/>
    <xf numFmtId="198" fontId="33" fillId="0" borderId="0" xfId="0" applyNumberFormat="1" applyFont="1"/>
    <xf numFmtId="0" fontId="47" fillId="0" borderId="0" xfId="0" applyFont="1"/>
    <xf numFmtId="0" fontId="33" fillId="0" borderId="0" xfId="0" applyFont="1"/>
    <xf numFmtId="39" fontId="33" fillId="0" borderId="0" xfId="0" applyNumberFormat="1" applyFont="1" applyProtection="1">
      <protection locked="0"/>
    </xf>
    <xf numFmtId="43" fontId="33" fillId="0" borderId="0" xfId="0" applyNumberFormat="1" applyFont="1"/>
    <xf numFmtId="187" fontId="33" fillId="0" borderId="0" xfId="0" applyNumberFormat="1" applyFont="1"/>
    <xf numFmtId="1" fontId="33" fillId="0" borderId="0" xfId="0" applyNumberFormat="1" applyFont="1" applyAlignment="1" applyProtection="1">
      <alignment horizontal="left"/>
      <protection locked="0"/>
    </xf>
    <xf numFmtId="187" fontId="33" fillId="0" borderId="0" xfId="0" applyNumberFormat="1" applyFont="1" applyAlignment="1">
      <alignment horizontal="center"/>
    </xf>
    <xf numFmtId="187" fontId="33" fillId="0" borderId="0" xfId="0" applyNumberFormat="1" applyFont="1" applyAlignment="1">
      <alignment horizontal="left"/>
    </xf>
    <xf numFmtId="187" fontId="60" fillId="0" borderId="0" xfId="0" applyNumberFormat="1" applyFont="1"/>
    <xf numFmtId="39" fontId="60" fillId="0" borderId="0" xfId="0" applyNumberFormat="1" applyFont="1" applyAlignment="1">
      <alignment horizontal="left"/>
    </xf>
    <xf numFmtId="41" fontId="33" fillId="0" borderId="0" xfId="0" applyNumberFormat="1" applyFont="1"/>
    <xf numFmtId="1" fontId="33" fillId="0" borderId="0" xfId="0" applyNumberFormat="1" applyFont="1" applyAlignment="1" applyProtection="1">
      <alignment horizontal="center"/>
      <protection locked="0"/>
    </xf>
    <xf numFmtId="4" fontId="51" fillId="0" borderId="0" xfId="0" quotePrefix="1" applyNumberFormat="1" applyFont="1"/>
    <xf numFmtId="188" fontId="33" fillId="0" borderId="0" xfId="0" applyNumberFormat="1" applyFont="1"/>
    <xf numFmtId="0" fontId="52" fillId="0" borderId="0" xfId="0" applyFont="1" applyAlignment="1">
      <alignment horizontal="center"/>
    </xf>
    <xf numFmtId="43" fontId="20" fillId="0" borderId="0" xfId="1" applyFont="1" applyAlignment="1">
      <alignment horizontal="right" vertical="center"/>
    </xf>
    <xf numFmtId="43" fontId="20" fillId="0" borderId="27" xfId="1" applyFont="1" applyBorder="1" applyAlignment="1">
      <alignment horizontal="right" vertical="center"/>
    </xf>
    <xf numFmtId="43" fontId="14" fillId="0" borderId="0" xfId="1" applyFont="1" applyAlignment="1">
      <alignment horizontal="right" vertical="center"/>
    </xf>
    <xf numFmtId="43" fontId="20" fillId="0" borderId="49" xfId="1" applyFont="1" applyBorder="1" applyAlignment="1">
      <alignment horizontal="right" vertical="center"/>
    </xf>
    <xf numFmtId="43" fontId="20" fillId="0" borderId="15" xfId="1" applyFont="1" applyBorder="1" applyAlignment="1">
      <alignment horizontal="center" vertical="center"/>
    </xf>
    <xf numFmtId="43" fontId="20" fillId="0" borderId="29" xfId="1" applyFont="1" applyBorder="1" applyAlignment="1">
      <alignment horizontal="center" vertical="center"/>
    </xf>
    <xf numFmtId="43" fontId="20" fillId="0" borderId="2" xfId="1" applyFont="1" applyBorder="1" applyAlignment="1">
      <alignment horizontal="center" vertical="center"/>
    </xf>
    <xf numFmtId="43" fontId="20" fillId="0" borderId="2" xfId="1" applyFont="1" applyBorder="1" applyAlignment="1">
      <alignment horizontal="right" vertical="center"/>
    </xf>
    <xf numFmtId="43" fontId="20" fillId="0" borderId="27" xfId="1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4" fillId="0" borderId="2" xfId="1" applyFont="1" applyBorder="1" applyAlignment="1">
      <alignment horizontal="right" vertical="center"/>
    </xf>
    <xf numFmtId="43" fontId="20" fillId="0" borderId="18" xfId="1" applyFont="1" applyBorder="1" applyAlignment="1">
      <alignment horizontal="center" vertical="center"/>
    </xf>
    <xf numFmtId="43" fontId="20" fillId="0" borderId="18" xfId="1" applyFont="1" applyBorder="1" applyAlignment="1">
      <alignment horizontal="right" vertical="center"/>
    </xf>
    <xf numFmtId="43" fontId="20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center"/>
    </xf>
    <xf numFmtId="0" fontId="19" fillId="0" borderId="0" xfId="0" applyFont="1"/>
    <xf numFmtId="200" fontId="20" fillId="0" borderId="0" xfId="1" applyNumberFormat="1" applyFont="1" applyProtection="1"/>
    <xf numFmtId="0" fontId="28" fillId="0" borderId="0" xfId="0" applyFont="1"/>
    <xf numFmtId="0" fontId="60" fillId="0" borderId="0" xfId="0" applyFont="1" applyAlignment="1">
      <alignment horizontal="left"/>
    </xf>
    <xf numFmtId="0" fontId="60" fillId="0" borderId="0" xfId="0" applyFont="1"/>
    <xf numFmtId="189" fontId="20" fillId="1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189" fontId="20" fillId="0" borderId="0" xfId="0" applyNumberFormat="1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6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6" xfId="0" applyFont="1" applyBorder="1"/>
    <xf numFmtId="0" fontId="20" fillId="0" borderId="16" xfId="0" applyFont="1" applyBorder="1"/>
    <xf numFmtId="0" fontId="62" fillId="0" borderId="0" xfId="0" applyFont="1"/>
    <xf numFmtId="0" fontId="33" fillId="0" borderId="16" xfId="0" applyFont="1" applyBorder="1"/>
    <xf numFmtId="49" fontId="33" fillId="0" borderId="16" xfId="0" applyNumberFormat="1" applyFont="1" applyBorder="1"/>
    <xf numFmtId="0" fontId="22" fillId="0" borderId="30" xfId="0" applyFont="1" applyBorder="1" applyAlignment="1">
      <alignment horizontal="center"/>
    </xf>
    <xf numFmtId="0" fontId="19" fillId="0" borderId="29" xfId="0" applyFont="1" applyBorder="1"/>
    <xf numFmtId="0" fontId="20" fillId="0" borderId="1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20" fillId="0" borderId="2" xfId="0" applyFont="1" applyBorder="1"/>
    <xf numFmtId="0" fontId="20" fillId="0" borderId="27" xfId="0" applyFont="1" applyBorder="1"/>
    <xf numFmtId="0" fontId="20" fillId="0" borderId="15" xfId="0" applyFont="1" applyBorder="1"/>
    <xf numFmtId="0" fontId="20" fillId="0" borderId="29" xfId="0" applyFont="1" applyBorder="1"/>
    <xf numFmtId="4" fontId="20" fillId="0" borderId="0" xfId="3" applyFont="1"/>
    <xf numFmtId="0" fontId="33" fillId="0" borderId="10" xfId="0" applyFont="1" applyBorder="1" applyAlignment="1">
      <alignment horizontal="center"/>
    </xf>
    <xf numFmtId="0" fontId="33" fillId="0" borderId="25" xfId="0" applyFont="1" applyBorder="1" applyAlignment="1">
      <alignment horizontal="center"/>
    </xf>
    <xf numFmtId="0" fontId="33" fillId="0" borderId="11" xfId="0" applyFont="1" applyBorder="1" applyAlignment="1">
      <alignment horizontal="left"/>
    </xf>
    <xf numFmtId="200" fontId="33" fillId="0" borderId="10" xfId="1" applyNumberFormat="1" applyFont="1" applyBorder="1" applyAlignment="1" applyProtection="1">
      <alignment horizontal="center"/>
    </xf>
    <xf numFmtId="0" fontId="33" fillId="0" borderId="28" xfId="0" applyFont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3" fillId="0" borderId="16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/>
    </xf>
    <xf numFmtId="0" fontId="33" fillId="0" borderId="26" xfId="0" applyFont="1" applyBorder="1" applyAlignment="1">
      <alignment horizontal="center"/>
    </xf>
    <xf numFmtId="0" fontId="33" fillId="0" borderId="14" xfId="0" applyFont="1" applyBorder="1" applyAlignment="1">
      <alignment horizontal="center"/>
    </xf>
    <xf numFmtId="200" fontId="33" fillId="0" borderId="15" xfId="1" applyNumberFormat="1" applyFont="1" applyBorder="1" applyAlignment="1" applyProtection="1">
      <alignment horizontal="center"/>
    </xf>
    <xf numFmtId="0" fontId="33" fillId="0" borderId="16" xfId="0" applyFont="1" applyBorder="1" applyAlignment="1">
      <alignment horizontal="center"/>
    </xf>
    <xf numFmtId="0" fontId="33" fillId="0" borderId="16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/>
    </xf>
    <xf numFmtId="0" fontId="47" fillId="0" borderId="16" xfId="0" applyFont="1" applyBorder="1"/>
    <xf numFmtId="200" fontId="33" fillId="0" borderId="16" xfId="1" applyNumberFormat="1" applyFont="1" applyBorder="1" applyProtection="1"/>
    <xf numFmtId="200" fontId="33" fillId="0" borderId="16" xfId="1" applyNumberFormat="1" applyFont="1" applyFill="1" applyBorder="1" applyAlignment="1" applyProtection="1">
      <alignment horizontal="center"/>
    </xf>
    <xf numFmtId="187" fontId="33" fillId="0" borderId="16" xfId="0" applyNumberFormat="1" applyFont="1" applyBorder="1"/>
    <xf numFmtId="43" fontId="33" fillId="0" borderId="16" xfId="0" applyNumberFormat="1" applyFont="1" applyBorder="1"/>
    <xf numFmtId="203" fontId="33" fillId="0" borderId="16" xfId="0" applyNumberFormat="1" applyFont="1" applyBorder="1"/>
    <xf numFmtId="0" fontId="33" fillId="0" borderId="28" xfId="0" applyFont="1" applyBorder="1"/>
    <xf numFmtId="0" fontId="33" fillId="0" borderId="12" xfId="0" applyFont="1" applyBorder="1"/>
    <xf numFmtId="200" fontId="33" fillId="0" borderId="16" xfId="1" applyNumberFormat="1" applyFont="1" applyFill="1" applyBorder="1" applyProtection="1"/>
    <xf numFmtId="0" fontId="58" fillId="0" borderId="16" xfId="0" applyFont="1" applyBorder="1" applyAlignment="1">
      <alignment horizontal="center"/>
    </xf>
    <xf numFmtId="43" fontId="33" fillId="0" borderId="16" xfId="1" applyFont="1" applyFill="1" applyBorder="1" applyProtection="1"/>
    <xf numFmtId="0" fontId="59" fillId="0" borderId="16" xfId="0" applyFont="1" applyBorder="1"/>
    <xf numFmtId="0" fontId="47" fillId="0" borderId="16" xfId="0" applyFont="1" applyBorder="1"/>
    <xf numFmtId="49" fontId="47" fillId="0" borderId="16" xfId="0" applyNumberFormat="1" applyFont="1" applyBorder="1"/>
    <xf numFmtId="0" fontId="39" fillId="0" borderId="16" xfId="0" applyFont="1" applyBorder="1"/>
    <xf numFmtId="0" fontId="33" fillId="0" borderId="10" xfId="0" applyFont="1" applyBorder="1"/>
    <xf numFmtId="43" fontId="33" fillId="0" borderId="28" xfId="0" applyNumberFormat="1" applyFont="1" applyBorder="1"/>
    <xf numFmtId="4" fontId="47" fillId="0" borderId="16" xfId="0" applyNumberFormat="1" applyFont="1" applyBorder="1"/>
    <xf numFmtId="200" fontId="47" fillId="0" borderId="0" xfId="1" applyNumberFormat="1" applyFont="1" applyProtection="1"/>
    <xf numFmtId="0" fontId="47" fillId="0" borderId="29" xfId="0" applyFont="1" applyBorder="1"/>
    <xf numFmtId="189" fontId="33" fillId="10" borderId="0" xfId="0" applyNumberFormat="1" applyFont="1" applyFill="1" applyAlignment="1">
      <alignment horizontal="center"/>
    </xf>
    <xf numFmtId="189" fontId="33" fillId="0" borderId="0" xfId="0" applyNumberFormat="1" applyFont="1" applyAlignment="1">
      <alignment horizontal="center"/>
    </xf>
    <xf numFmtId="0" fontId="33" fillId="0" borderId="10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/>
    </xf>
    <xf numFmtId="0" fontId="33" fillId="0" borderId="27" xfId="0" applyFont="1" applyBorder="1" applyAlignment="1">
      <alignment horizontal="center"/>
    </xf>
    <xf numFmtId="0" fontId="47" fillId="0" borderId="11" xfId="0" applyFont="1" applyBorder="1" applyAlignment="1">
      <alignment horizontal="left"/>
    </xf>
    <xf numFmtId="200" fontId="33" fillId="0" borderId="2" xfId="1" applyNumberFormat="1" applyFont="1" applyBorder="1" applyAlignment="1" applyProtection="1">
      <alignment horizontal="center"/>
    </xf>
    <xf numFmtId="4" fontId="47" fillId="0" borderId="2" xfId="0" applyNumberFormat="1" applyFont="1" applyBorder="1" applyAlignment="1">
      <alignment horizontal="right"/>
    </xf>
    <xf numFmtId="4" fontId="47" fillId="0" borderId="27" xfId="0" applyNumberFormat="1" applyFont="1" applyBorder="1" applyAlignment="1">
      <alignment horizontal="right"/>
    </xf>
    <xf numFmtId="0" fontId="47" fillId="0" borderId="27" xfId="0" applyFont="1" applyBorder="1"/>
    <xf numFmtId="200" fontId="33" fillId="0" borderId="2" xfId="1" applyNumberFormat="1" applyFont="1" applyBorder="1" applyProtection="1"/>
    <xf numFmtId="0" fontId="33" fillId="0" borderId="2" xfId="0" applyFont="1" applyBorder="1"/>
    <xf numFmtId="43" fontId="33" fillId="0" borderId="2" xfId="0" applyNumberFormat="1" applyFont="1" applyBorder="1"/>
    <xf numFmtId="43" fontId="33" fillId="0" borderId="27" xfId="0" applyNumberFormat="1" applyFont="1" applyBorder="1"/>
    <xf numFmtId="0" fontId="33" fillId="0" borderId="27" xfId="0" applyFont="1" applyBorder="1"/>
    <xf numFmtId="200" fontId="33" fillId="0" borderId="2" xfId="1" applyNumberFormat="1" applyFont="1" applyFill="1" applyBorder="1" applyProtection="1"/>
    <xf numFmtId="200" fontId="33" fillId="11" borderId="2" xfId="1" applyNumberFormat="1" applyFont="1" applyFill="1" applyBorder="1" applyProtection="1"/>
    <xf numFmtId="39" fontId="33" fillId="0" borderId="2" xfId="0" applyNumberFormat="1" applyFont="1" applyBorder="1" applyAlignment="1">
      <alignment horizontal="center"/>
    </xf>
    <xf numFmtId="187" fontId="33" fillId="0" borderId="2" xfId="0" applyNumberFormat="1" applyFont="1" applyBorder="1"/>
    <xf numFmtId="203" fontId="33" fillId="0" borderId="27" xfId="0" applyNumberFormat="1" applyFont="1" applyBorder="1"/>
    <xf numFmtId="39" fontId="47" fillId="0" borderId="0" xfId="0" applyNumberFormat="1" applyFont="1" applyAlignment="1">
      <alignment horizontal="left"/>
    </xf>
    <xf numFmtId="200" fontId="33" fillId="0" borderId="2" xfId="1" applyNumberFormat="1" applyFont="1" applyFill="1" applyBorder="1" applyAlignment="1" applyProtection="1">
      <alignment horizontal="right"/>
    </xf>
    <xf numFmtId="187" fontId="33" fillId="0" borderId="17" xfId="0" applyNumberFormat="1" applyFont="1" applyBorder="1"/>
    <xf numFmtId="0" fontId="59" fillId="0" borderId="27" xfId="0" applyFont="1" applyBorder="1" applyAlignment="1">
      <alignment horizontal="center"/>
    </xf>
    <xf numFmtId="39" fontId="33" fillId="0" borderId="27" xfId="0" applyNumberFormat="1" applyFont="1" applyBorder="1" applyAlignment="1">
      <alignment horizontal="left"/>
    </xf>
    <xf numFmtId="39" fontId="33" fillId="0" borderId="0" xfId="0" applyNumberFormat="1" applyFont="1" applyAlignment="1">
      <alignment horizontal="left" indent="9"/>
    </xf>
    <xf numFmtId="0" fontId="33" fillId="0" borderId="15" xfId="0" applyFont="1" applyBorder="1"/>
    <xf numFmtId="0" fontId="33" fillId="0" borderId="28" xfId="0" applyFont="1" applyBorder="1"/>
    <xf numFmtId="0" fontId="47" fillId="0" borderId="12" xfId="0" applyFont="1" applyBorder="1" applyAlignment="1">
      <alignment horizontal="left"/>
    </xf>
    <xf numFmtId="4" fontId="47" fillId="0" borderId="28" xfId="0" applyNumberFormat="1" applyFont="1" applyBorder="1"/>
    <xf numFmtId="39" fontId="33" fillId="0" borderId="27" xfId="0" applyNumberFormat="1" applyFont="1" applyBorder="1" applyAlignment="1">
      <alignment horizontal="left"/>
    </xf>
    <xf numFmtId="39" fontId="33" fillId="0" borderId="17" xfId="0" applyNumberFormat="1" applyFont="1" applyBorder="1" applyAlignment="1">
      <alignment horizontal="left"/>
    </xf>
    <xf numFmtId="0" fontId="33" fillId="0" borderId="26" xfId="0" applyFont="1" applyBorder="1"/>
    <xf numFmtId="0" fontId="33" fillId="0" borderId="29" xfId="0" applyFont="1" applyBorder="1"/>
    <xf numFmtId="43" fontId="33" fillId="0" borderId="15" xfId="0" applyNumberFormat="1" applyFont="1" applyBorder="1"/>
    <xf numFmtId="0" fontId="47" fillId="0" borderId="14" xfId="0" applyFont="1" applyBorder="1" applyAlignment="1">
      <alignment horizontal="center"/>
    </xf>
    <xf numFmtId="200" fontId="33" fillId="0" borderId="15" xfId="1" applyNumberFormat="1" applyFont="1" applyBorder="1" applyProtection="1"/>
    <xf numFmtId="0" fontId="47" fillId="0" borderId="0" xfId="0" applyFont="1" applyAlignment="1">
      <alignment horizontal="center"/>
    </xf>
    <xf numFmtId="200" fontId="33" fillId="0" borderId="0" xfId="1" applyNumberFormat="1" applyFont="1" applyBorder="1" applyProtection="1"/>
    <xf numFmtId="4" fontId="63" fillId="0" borderId="0" xfId="0" applyNumberFormat="1" applyFont="1"/>
    <xf numFmtId="4" fontId="47" fillId="0" borderId="0" xfId="0" applyNumberFormat="1" applyFont="1"/>
    <xf numFmtId="4" fontId="33" fillId="0" borderId="0" xfId="3" applyFont="1" applyProtection="1">
      <protection locked="0"/>
    </xf>
    <xf numFmtId="4" fontId="33" fillId="0" borderId="0" xfId="3" applyFont="1" applyAlignment="1">
      <alignment horizontal="left" indent="2"/>
    </xf>
    <xf numFmtId="4" fontId="33" fillId="0" borderId="0" xfId="3" applyFont="1" applyAlignment="1">
      <alignment horizontal="left" indent="1"/>
    </xf>
    <xf numFmtId="4" fontId="33" fillId="0" borderId="0" xfId="3" applyFont="1" applyAlignment="1" applyProtection="1">
      <alignment horizontal="center"/>
      <protection locked="0"/>
    </xf>
    <xf numFmtId="0" fontId="50" fillId="0" borderId="0" xfId="0" applyFont="1"/>
    <xf numFmtId="39" fontId="61" fillId="0" borderId="0" xfId="2" applyFont="1" applyAlignment="1">
      <alignment horizontal="left"/>
    </xf>
    <xf numFmtId="39" fontId="50" fillId="0" borderId="0" xfId="2" applyFont="1" applyAlignment="1">
      <alignment horizontal="center"/>
    </xf>
    <xf numFmtId="0" fontId="50" fillId="0" borderId="29" xfId="0" applyFont="1" applyBorder="1"/>
    <xf numFmtId="2" fontId="50" fillId="0" borderId="29" xfId="0" applyNumberFormat="1" applyFont="1" applyBorder="1" applyAlignment="1">
      <alignment horizontal="center"/>
    </xf>
    <xf numFmtId="0" fontId="50" fillId="0" borderId="29" xfId="0" applyFont="1" applyBorder="1" applyAlignment="1">
      <alignment horizontal="center"/>
    </xf>
    <xf numFmtId="39" fontId="64" fillId="2" borderId="0" xfId="2" applyFont="1" applyFill="1" applyAlignment="1">
      <alignment horizontal="centerContinuous"/>
    </xf>
    <xf numFmtId="39" fontId="65" fillId="2" borderId="0" xfId="2" applyFont="1" applyFill="1" applyAlignment="1">
      <alignment horizontal="centerContinuous"/>
    </xf>
    <xf numFmtId="39" fontId="50" fillId="0" borderId="10" xfId="2" applyFont="1" applyBorder="1" applyAlignment="1">
      <alignment horizontal="center"/>
    </xf>
    <xf numFmtId="39" fontId="50" fillId="0" borderId="11" xfId="2" applyFont="1" applyBorder="1" applyAlignment="1">
      <alignment horizontal="center"/>
    </xf>
    <xf numFmtId="0" fontId="50" fillId="13" borderId="28" xfId="0" applyFont="1" applyFill="1" applyBorder="1" applyAlignment="1">
      <alignment horizontal="center"/>
    </xf>
    <xf numFmtId="0" fontId="50" fillId="13" borderId="12" xfId="0" applyFont="1" applyFill="1" applyBorder="1" applyAlignment="1">
      <alignment horizontal="center"/>
    </xf>
    <xf numFmtId="0" fontId="50" fillId="13" borderId="29" xfId="0" applyFont="1" applyFill="1" applyBorder="1" applyAlignment="1">
      <alignment horizontal="center"/>
    </xf>
    <xf numFmtId="0" fontId="50" fillId="13" borderId="13" xfId="0" applyFont="1" applyFill="1" applyBorder="1" applyAlignment="1">
      <alignment horizontal="center"/>
    </xf>
    <xf numFmtId="0" fontId="50" fillId="0" borderId="28" xfId="0" applyFont="1" applyBorder="1" applyAlignment="1">
      <alignment horizontal="center"/>
    </xf>
    <xf numFmtId="0" fontId="50" fillId="0" borderId="12" xfId="0" applyFont="1" applyBorder="1" applyAlignment="1">
      <alignment horizontal="center"/>
    </xf>
    <xf numFmtId="2" fontId="50" fillId="0" borderId="28" xfId="0" applyNumberFormat="1" applyFont="1" applyBorder="1" applyAlignment="1">
      <alignment horizontal="center"/>
    </xf>
    <xf numFmtId="2" fontId="50" fillId="0" borderId="13" xfId="0" applyNumberFormat="1" applyFont="1" applyBorder="1" applyAlignment="1">
      <alignment horizontal="center"/>
    </xf>
    <xf numFmtId="2" fontId="50" fillId="0" borderId="12" xfId="0" applyNumberFormat="1" applyFont="1" applyBorder="1" applyAlignment="1">
      <alignment horizontal="center"/>
    </xf>
    <xf numFmtId="2" fontId="50" fillId="15" borderId="13" xfId="2" applyNumberFormat="1" applyFont="1" applyFill="1" applyBorder="1" applyAlignment="1">
      <alignment horizontal="centerContinuous"/>
    </xf>
    <xf numFmtId="2" fontId="50" fillId="15" borderId="12" xfId="2" applyNumberFormat="1" applyFont="1" applyFill="1" applyBorder="1" applyAlignment="1">
      <alignment horizontal="centerContinuous"/>
    </xf>
    <xf numFmtId="2" fontId="64" fillId="0" borderId="10" xfId="2" applyNumberFormat="1" applyFont="1" applyBorder="1" applyAlignment="1">
      <alignment horizontal="center"/>
    </xf>
    <xf numFmtId="39" fontId="65" fillId="0" borderId="0" xfId="2" applyFont="1"/>
    <xf numFmtId="39" fontId="50" fillId="0" borderId="0" xfId="2" applyFont="1"/>
    <xf numFmtId="1" fontId="50" fillId="0" borderId="3" xfId="2" applyNumberFormat="1" applyFont="1" applyBorder="1" applyAlignment="1">
      <alignment horizontal="center"/>
    </xf>
    <xf numFmtId="39" fontId="50" fillId="0" borderId="19" xfId="2" applyFont="1" applyBorder="1" applyAlignment="1">
      <alignment horizontal="center"/>
    </xf>
    <xf numFmtId="0" fontId="50" fillId="0" borderId="15" xfId="0" applyFont="1" applyBorder="1"/>
    <xf numFmtId="2" fontId="64" fillId="13" borderId="14" xfId="2" applyNumberFormat="1" applyFont="1" applyFill="1" applyBorder="1" applyAlignment="1">
      <alignment horizontal="center"/>
    </xf>
    <xf numFmtId="2" fontId="64" fillId="0" borderId="14" xfId="2" applyNumberFormat="1" applyFont="1" applyBorder="1" applyAlignment="1">
      <alignment horizontal="center"/>
    </xf>
    <xf numFmtId="2" fontId="64" fillId="15" borderId="14" xfId="2" applyNumberFormat="1" applyFont="1" applyFill="1" applyBorder="1" applyAlignment="1">
      <alignment horizontal="center"/>
    </xf>
    <xf numFmtId="2" fontId="64" fillId="0" borderId="15" xfId="2" applyNumberFormat="1" applyFont="1" applyBorder="1" applyAlignment="1">
      <alignment horizontal="center"/>
    </xf>
    <xf numFmtId="1" fontId="50" fillId="0" borderId="6" xfId="2" applyNumberFormat="1" applyFont="1" applyBorder="1" applyAlignment="1">
      <alignment horizontal="center"/>
    </xf>
    <xf numFmtId="39" fontId="50" fillId="0" borderId="23" xfId="2" quotePrefix="1" applyFont="1" applyBorder="1" applyAlignment="1">
      <alignment horizontal="center"/>
    </xf>
    <xf numFmtId="39" fontId="50" fillId="0" borderId="0" xfId="2" quotePrefix="1" applyFont="1" applyAlignment="1">
      <alignment horizontal="center"/>
    </xf>
    <xf numFmtId="39" fontId="64" fillId="0" borderId="2" xfId="2" applyFont="1" applyBorder="1"/>
    <xf numFmtId="39" fontId="50" fillId="0" borderId="2" xfId="2" applyFont="1" applyBorder="1"/>
    <xf numFmtId="39" fontId="50" fillId="13" borderId="2" xfId="2" applyFont="1" applyFill="1" applyBorder="1" applyAlignment="1">
      <alignment horizontal="right"/>
    </xf>
    <xf numFmtId="0" fontId="50" fillId="13" borderId="10" xfId="0" applyFont="1" applyFill="1" applyBorder="1"/>
    <xf numFmtId="0" fontId="50" fillId="0" borderId="10" xfId="0" applyFont="1" applyBorder="1"/>
    <xf numFmtId="0" fontId="50" fillId="15" borderId="10" xfId="0" applyFont="1" applyFill="1" applyBorder="1"/>
    <xf numFmtId="1" fontId="50" fillId="0" borderId="1" xfId="2" applyNumberFormat="1" applyFont="1" applyBorder="1" applyAlignment="1">
      <alignment horizontal="center"/>
    </xf>
    <xf numFmtId="194" fontId="50" fillId="0" borderId="19" xfId="0" applyNumberFormat="1" applyFont="1" applyBorder="1" applyAlignment="1">
      <alignment horizontal="center"/>
    </xf>
    <xf numFmtId="194" fontId="50" fillId="0" borderId="24" xfId="0" applyNumberFormat="1" applyFont="1" applyBorder="1" applyAlignment="1">
      <alignment horizontal="center"/>
    </xf>
    <xf numFmtId="39" fontId="33" fillId="0" borderId="2" xfId="2" applyFont="1" applyBorder="1" applyAlignment="1">
      <alignment horizontal="center"/>
    </xf>
    <xf numFmtId="187" fontId="50" fillId="13" borderId="2" xfId="2" applyNumberFormat="1" applyFont="1" applyFill="1" applyBorder="1"/>
    <xf numFmtId="187" fontId="66" fillId="13" borderId="2" xfId="2" applyNumberFormat="1" applyFont="1" applyFill="1" applyBorder="1"/>
    <xf numFmtId="187" fontId="66" fillId="0" borderId="2" xfId="2" applyNumberFormat="1" applyFont="1" applyBorder="1"/>
    <xf numFmtId="2" fontId="50" fillId="15" borderId="2" xfId="2" applyNumberFormat="1" applyFont="1" applyFill="1" applyBorder="1" applyAlignment="1">
      <alignment horizontal="center"/>
    </xf>
    <xf numFmtId="2" fontId="64" fillId="0" borderId="2" xfId="2" applyNumberFormat="1" applyFont="1" applyBorder="1" applyAlignment="1">
      <alignment horizontal="center"/>
    </xf>
    <xf numFmtId="39" fontId="33" fillId="0" borderId="2" xfId="2" applyFont="1" applyBorder="1"/>
    <xf numFmtId="0" fontId="50" fillId="13" borderId="2" xfId="0" applyFont="1" applyFill="1" applyBorder="1"/>
    <xf numFmtId="0" fontId="66" fillId="13" borderId="2" xfId="0" applyFont="1" applyFill="1" applyBorder="1"/>
    <xf numFmtId="0" fontId="66" fillId="0" borderId="2" xfId="0" applyFont="1" applyBorder="1"/>
    <xf numFmtId="0" fontId="50" fillId="15" borderId="2" xfId="0" applyFont="1" applyFill="1" applyBorder="1" applyAlignment="1">
      <alignment horizontal="center"/>
    </xf>
    <xf numFmtId="0" fontId="50" fillId="0" borderId="2" xfId="0" applyFont="1" applyBorder="1" applyAlignment="1">
      <alignment horizontal="center"/>
    </xf>
    <xf numFmtId="39" fontId="50" fillId="0" borderId="3" xfId="2" applyFont="1" applyBorder="1" applyAlignment="1">
      <alignment horizontal="center"/>
    </xf>
    <xf numFmtId="39" fontId="50" fillId="0" borderId="9" xfId="2" applyFont="1" applyBorder="1" applyAlignment="1">
      <alignment horizontal="center"/>
    </xf>
    <xf numFmtId="39" fontId="50" fillId="0" borderId="4" xfId="2" applyFont="1" applyBorder="1" applyAlignment="1">
      <alignment horizontal="center"/>
    </xf>
    <xf numFmtId="39" fontId="50" fillId="0" borderId="5" xfId="2" applyFont="1" applyBorder="1" applyAlignment="1">
      <alignment horizontal="center"/>
    </xf>
    <xf numFmtId="39" fontId="50" fillId="0" borderId="6" xfId="2" applyFont="1" applyBorder="1" applyAlignment="1">
      <alignment horizontal="center"/>
    </xf>
    <xf numFmtId="39" fontId="50" fillId="0" borderId="7" xfId="2" applyFont="1" applyBorder="1" applyAlignment="1">
      <alignment horizontal="center"/>
    </xf>
    <xf numFmtId="39" fontId="50" fillId="0" borderId="18" xfId="2" applyFont="1" applyBorder="1" applyAlignment="1">
      <alignment horizontal="center"/>
    </xf>
    <xf numFmtId="0" fontId="50" fillId="0" borderId="18" xfId="0" applyFont="1" applyBorder="1" applyAlignment="1">
      <alignment horizontal="center"/>
    </xf>
    <xf numFmtId="0" fontId="50" fillId="0" borderId="8" xfId="0" applyFont="1" applyBorder="1" applyAlignment="1">
      <alignment horizontal="center"/>
    </xf>
    <xf numFmtId="39" fontId="50" fillId="0" borderId="1" xfId="2" applyFont="1" applyBorder="1" applyAlignment="1">
      <alignment horizontal="center"/>
    </xf>
    <xf numFmtId="195" fontId="50" fillId="16" borderId="17" xfId="2" applyNumberFormat="1" applyFont="1" applyFill="1" applyBorder="1" applyAlignment="1">
      <alignment horizontal="center"/>
    </xf>
    <xf numFmtId="188" fontId="64" fillId="0" borderId="9" xfId="0" applyNumberFormat="1" applyFont="1" applyBorder="1" applyAlignment="1">
      <alignment horizontal="center" vertical="center"/>
    </xf>
    <xf numFmtId="195" fontId="50" fillId="0" borderId="17" xfId="2" applyNumberFormat="1" applyFont="1" applyBorder="1" applyAlignment="1">
      <alignment horizontal="center"/>
    </xf>
    <xf numFmtId="39" fontId="50" fillId="0" borderId="17" xfId="2" applyFont="1" applyBorder="1" applyAlignment="1">
      <alignment horizontal="center"/>
    </xf>
    <xf numFmtId="195" fontId="67" fillId="0" borderId="2" xfId="2" applyNumberFormat="1" applyFont="1" applyBorder="1" applyAlignment="1">
      <alignment horizontal="center"/>
    </xf>
    <xf numFmtId="192" fontId="66" fillId="0" borderId="9" xfId="0" applyNumberFormat="1" applyFont="1" applyBorder="1" applyAlignment="1">
      <alignment horizontal="center"/>
    </xf>
    <xf numFmtId="188" fontId="66" fillId="0" borderId="19" xfId="0" applyNumberFormat="1" applyFont="1" applyBorder="1" applyAlignment="1">
      <alignment horizontal="center"/>
    </xf>
    <xf numFmtId="188" fontId="50" fillId="0" borderId="0" xfId="0" applyNumberFormat="1" applyFont="1"/>
    <xf numFmtId="187" fontId="50" fillId="15" borderId="2" xfId="2" applyNumberFormat="1" applyFont="1" applyFill="1" applyBorder="1" applyAlignment="1">
      <alignment horizontal="center"/>
    </xf>
    <xf numFmtId="187" fontId="64" fillId="0" borderId="2" xfId="2" applyNumberFormat="1" applyFont="1" applyBorder="1" applyAlignment="1">
      <alignment horizontal="center"/>
    </xf>
    <xf numFmtId="188" fontId="64" fillId="0" borderId="2" xfId="0" applyNumberFormat="1" applyFont="1" applyBorder="1" applyAlignment="1">
      <alignment horizontal="center" vertical="center"/>
    </xf>
    <xf numFmtId="188" fontId="64" fillId="0" borderId="17" xfId="2" applyNumberFormat="1" applyFont="1" applyBorder="1" applyAlignment="1">
      <alignment horizontal="center"/>
    </xf>
    <xf numFmtId="192" fontId="66" fillId="0" borderId="2" xfId="0" applyNumberFormat="1" applyFont="1" applyBorder="1" applyAlignment="1">
      <alignment horizontal="center"/>
    </xf>
    <xf numFmtId="188" fontId="66" fillId="0" borderId="24" xfId="0" applyNumberFormat="1" applyFont="1" applyBorder="1" applyAlignment="1">
      <alignment horizontal="center"/>
    </xf>
    <xf numFmtId="39" fontId="50" fillId="0" borderId="2" xfId="2" applyFont="1" applyBorder="1" applyAlignment="1">
      <alignment horizontal="center"/>
    </xf>
    <xf numFmtId="2" fontId="50" fillId="13" borderId="2" xfId="2" applyNumberFormat="1" applyFont="1" applyFill="1" applyBorder="1"/>
    <xf numFmtId="2" fontId="66" fillId="13" borderId="2" xfId="2" applyNumberFormat="1" applyFont="1" applyFill="1" applyBorder="1"/>
    <xf numFmtId="2" fontId="66" fillId="0" borderId="2" xfId="2" applyNumberFormat="1" applyFont="1" applyBorder="1"/>
    <xf numFmtId="195" fontId="50" fillId="16" borderId="7" xfId="2" applyNumberFormat="1" applyFont="1" applyFill="1" applyBorder="1" applyAlignment="1">
      <alignment horizontal="center"/>
    </xf>
    <xf numFmtId="188" fontId="64" fillId="0" borderId="7" xfId="2" applyNumberFormat="1" applyFont="1" applyBorder="1" applyAlignment="1">
      <alignment horizontal="center"/>
    </xf>
    <xf numFmtId="195" fontId="50" fillId="0" borderId="18" xfId="2" applyNumberFormat="1" applyFont="1" applyBorder="1" applyAlignment="1">
      <alignment horizontal="center"/>
    </xf>
    <xf numFmtId="192" fontId="66" fillId="0" borderId="18" xfId="0" applyNumberFormat="1" applyFont="1" applyBorder="1" applyAlignment="1">
      <alignment horizontal="center"/>
    </xf>
    <xf numFmtId="188" fontId="66" fillId="0" borderId="23" xfId="0" applyNumberFormat="1" applyFont="1" applyBorder="1" applyAlignment="1">
      <alignment horizontal="center"/>
    </xf>
    <xf numFmtId="39" fontId="50" fillId="0" borderId="16" xfId="2" applyFont="1" applyBorder="1" applyAlignment="1">
      <alignment horizontal="centerContinuous"/>
    </xf>
    <xf numFmtId="39" fontId="50" fillId="0" borderId="16" xfId="2" applyFont="1" applyBorder="1" applyAlignment="1">
      <alignment horizontal="center"/>
    </xf>
    <xf numFmtId="39" fontId="50" fillId="0" borderId="12" xfId="2" applyFont="1" applyBorder="1" applyAlignment="1">
      <alignment horizontal="center"/>
    </xf>
    <xf numFmtId="201" fontId="50" fillId="0" borderId="0" xfId="0" applyNumberFormat="1" applyFont="1"/>
    <xf numFmtId="2" fontId="50" fillId="0" borderId="17" xfId="2" applyNumberFormat="1" applyFont="1" applyBorder="1" applyAlignment="1">
      <alignment horizontal="center"/>
    </xf>
    <xf numFmtId="2" fontId="50" fillId="0" borderId="0" xfId="2" applyNumberFormat="1" applyFont="1" applyAlignment="1">
      <alignment horizontal="centerContinuous"/>
    </xf>
    <xf numFmtId="0" fontId="50" fillId="13" borderId="2" xfId="0" applyFont="1" applyFill="1" applyBorder="1" applyAlignment="1">
      <alignment horizontal="center"/>
    </xf>
    <xf numFmtId="0" fontId="66" fillId="13" borderId="2" xfId="0" applyFont="1" applyFill="1" applyBorder="1" applyAlignment="1">
      <alignment horizontal="center"/>
    </xf>
    <xf numFmtId="0" fontId="66" fillId="0" borderId="2" xfId="0" applyFont="1" applyBorder="1" applyAlignment="1">
      <alignment horizontal="center"/>
    </xf>
    <xf numFmtId="39" fontId="50" fillId="0" borderId="15" xfId="2" applyFont="1" applyBorder="1"/>
    <xf numFmtId="39" fontId="50" fillId="0" borderId="15" xfId="2" applyFont="1" applyBorder="1" applyAlignment="1">
      <alignment horizontal="center"/>
    </xf>
    <xf numFmtId="2" fontId="50" fillId="0" borderId="14" xfId="2" applyNumberFormat="1" applyFont="1" applyBorder="1" applyAlignment="1">
      <alignment horizontal="center"/>
    </xf>
    <xf numFmtId="0" fontId="50" fillId="0" borderId="2" xfId="0" applyFont="1" applyBorder="1"/>
    <xf numFmtId="2" fontId="50" fillId="13" borderId="2" xfId="0" applyNumberFormat="1" applyFont="1" applyFill="1" applyBorder="1"/>
    <xf numFmtId="2" fontId="66" fillId="13" borderId="2" xfId="0" applyNumberFormat="1" applyFont="1" applyFill="1" applyBorder="1"/>
    <xf numFmtId="0" fontId="64" fillId="0" borderId="2" xfId="0" applyFont="1" applyBorder="1"/>
    <xf numFmtId="0" fontId="50" fillId="13" borderId="2" xfId="0" applyFont="1" applyFill="1" applyBorder="1" applyAlignment="1">
      <alignment horizontal="right"/>
    </xf>
    <xf numFmtId="0" fontId="50" fillId="15" borderId="2" xfId="0" applyFont="1" applyFill="1" applyBorder="1"/>
    <xf numFmtId="0" fontId="20" fillId="13" borderId="64" xfId="0" applyFont="1" applyFill="1" applyBorder="1" applyAlignment="1">
      <alignment horizontal="center"/>
    </xf>
    <xf numFmtId="0" fontId="20" fillId="13" borderId="65" xfId="0" applyFont="1" applyFill="1" applyBorder="1" applyAlignment="1">
      <alignment horizontal="center"/>
    </xf>
    <xf numFmtId="0" fontId="20" fillId="13" borderId="65" xfId="0" applyFont="1" applyFill="1" applyBorder="1" applyAlignment="1">
      <alignment horizontal="center"/>
    </xf>
    <xf numFmtId="190" fontId="19" fillId="13" borderId="63" xfId="2" applyNumberFormat="1" applyFont="1" applyFill="1" applyBorder="1" applyAlignment="1">
      <alignment horizontal="center"/>
    </xf>
    <xf numFmtId="2" fontId="50" fillId="13" borderId="2" xfId="0" applyNumberFormat="1" applyFont="1" applyFill="1" applyBorder="1" applyAlignment="1">
      <alignment horizontal="right"/>
    </xf>
    <xf numFmtId="2" fontId="66" fillId="0" borderId="2" xfId="0" applyNumberFormat="1" applyFont="1" applyBorder="1"/>
    <xf numFmtId="0" fontId="50" fillId="15" borderId="15" xfId="0" applyFont="1" applyFill="1" applyBorder="1"/>
    <xf numFmtId="194" fontId="50" fillId="0" borderId="62" xfId="0" applyNumberFormat="1" applyFont="1" applyBorder="1" applyAlignment="1">
      <alignment horizontal="center"/>
    </xf>
    <xf numFmtId="194" fontId="50" fillId="0" borderId="46" xfId="0" applyNumberFormat="1" applyFont="1" applyBorder="1" applyAlignment="1">
      <alignment horizontal="center"/>
    </xf>
    <xf numFmtId="2" fontId="50" fillId="0" borderId="0" xfId="0" applyNumberFormat="1" applyFont="1" applyAlignment="1">
      <alignment horizontal="center"/>
    </xf>
    <xf numFmtId="1" fontId="47" fillId="0" borderId="51" xfId="2" quotePrefix="1" applyNumberFormat="1" applyFont="1" applyBorder="1"/>
    <xf numFmtId="39" fontId="33" fillId="0" borderId="53" xfId="2" applyFont="1" applyBorder="1"/>
    <xf numFmtId="39" fontId="33" fillId="0" borderId="5" xfId="2" applyFont="1" applyBorder="1"/>
    <xf numFmtId="39" fontId="69" fillId="0" borderId="51" xfId="2" applyFont="1" applyBorder="1"/>
    <xf numFmtId="0" fontId="33" fillId="0" borderId="5" xfId="0" applyFont="1" applyBorder="1"/>
    <xf numFmtId="1" fontId="33" fillId="0" borderId="52" xfId="2" applyNumberFormat="1" applyFont="1" applyBorder="1" applyAlignment="1">
      <alignment horizontal="left"/>
    </xf>
    <xf numFmtId="2" fontId="47" fillId="0" borderId="49" xfId="0" applyNumberFormat="1" applyFont="1" applyBorder="1" applyAlignment="1">
      <alignment horizontal="center"/>
    </xf>
    <xf numFmtId="39" fontId="33" fillId="0" borderId="8" xfId="2" applyFont="1" applyBorder="1" applyAlignment="1">
      <alignment horizontal="center"/>
    </xf>
    <xf numFmtId="2" fontId="47" fillId="0" borderId="52" xfId="0" applyNumberFormat="1" applyFont="1" applyBorder="1" applyAlignment="1">
      <alignment horizontal="center"/>
    </xf>
    <xf numFmtId="4" fontId="20" fillId="0" borderId="0" xfId="0" applyNumberFormat="1" applyFont="1"/>
    <xf numFmtId="3" fontId="20" fillId="0" borderId="0" xfId="0" applyNumberFormat="1" applyFont="1"/>
    <xf numFmtId="3" fontId="20" fillId="0" borderId="0" xfId="0" applyNumberFormat="1" applyFont="1" applyAlignment="1">
      <alignment horizontal="center"/>
    </xf>
    <xf numFmtId="0" fontId="19" fillId="0" borderId="0" xfId="0" applyFont="1" applyAlignment="1">
      <alignment horizontal="left"/>
    </xf>
    <xf numFmtId="191" fontId="20" fillId="0" borderId="0" xfId="0" applyNumberFormat="1" applyFont="1" applyAlignment="1">
      <alignment horizontal="center"/>
    </xf>
    <xf numFmtId="189" fontId="20" fillId="17" borderId="0" xfId="0" applyNumberFormat="1" applyFont="1" applyFill="1" applyAlignment="1">
      <alignment horizontal="center"/>
    </xf>
    <xf numFmtId="49" fontId="20" fillId="17" borderId="0" xfId="0" applyNumberFormat="1" applyFont="1" applyFill="1" applyAlignment="1">
      <alignment horizontal="center"/>
    </xf>
    <xf numFmtId="189" fontId="20" fillId="0" borderId="0" xfId="0" applyNumberFormat="1" applyFont="1"/>
    <xf numFmtId="0" fontId="20" fillId="0" borderId="0" xfId="0" applyFont="1"/>
    <xf numFmtId="202" fontId="20" fillId="17" borderId="0" xfId="0" applyNumberFormat="1" applyFont="1" applyFill="1" applyAlignment="1">
      <alignment horizontal="center"/>
    </xf>
    <xf numFmtId="208" fontId="20" fillId="0" borderId="0" xfId="0" applyNumberFormat="1" applyFont="1" applyAlignment="1">
      <alignment horizontal="center"/>
    </xf>
    <xf numFmtId="3" fontId="20" fillId="0" borderId="0" xfId="0" applyNumberFormat="1" applyFont="1" applyAlignment="1">
      <alignment horizontal="left"/>
    </xf>
    <xf numFmtId="0" fontId="33" fillId="0" borderId="0" xfId="0" applyFont="1" applyAlignment="1">
      <alignment horizontal="left"/>
    </xf>
    <xf numFmtId="43" fontId="20" fillId="0" borderId="0" xfId="0" applyNumberFormat="1" applyFont="1" applyAlignment="1">
      <alignment horizontal="right"/>
    </xf>
    <xf numFmtId="197" fontId="20" fillId="0" borderId="0" xfId="0" applyNumberFormat="1" applyFont="1"/>
    <xf numFmtId="0" fontId="20" fillId="0" borderId="0" xfId="0" applyFont="1" applyAlignment="1">
      <alignment horizontal="right"/>
    </xf>
    <xf numFmtId="0" fontId="20" fillId="0" borderId="25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3" fontId="20" fillId="0" borderId="25" xfId="0" applyNumberFormat="1" applyFont="1" applyBorder="1" applyAlignment="1">
      <alignment horizontal="center"/>
    </xf>
    <xf numFmtId="3" fontId="20" fillId="0" borderId="11" xfId="0" applyNumberFormat="1" applyFont="1" applyBorder="1" applyAlignment="1">
      <alignment horizontal="center"/>
    </xf>
    <xf numFmtId="3" fontId="20" fillId="0" borderId="28" xfId="0" applyNumberFormat="1" applyFont="1" applyBorder="1" applyAlignment="1">
      <alignment horizontal="center"/>
    </xf>
    <xf numFmtId="3" fontId="20" fillId="0" borderId="13" xfId="0" applyNumberFormat="1" applyFont="1" applyBorder="1" applyAlignment="1">
      <alignment horizontal="center"/>
    </xf>
    <xf numFmtId="3" fontId="20" fillId="0" borderId="12" xfId="0" applyNumberFormat="1" applyFont="1" applyBorder="1" applyAlignment="1">
      <alignment horizontal="center"/>
    </xf>
    <xf numFmtId="0" fontId="20" fillId="0" borderId="25" xfId="0" applyFont="1" applyBorder="1" applyAlignment="1">
      <alignment horizontal="left"/>
    </xf>
    <xf numFmtId="0" fontId="20" fillId="0" borderId="30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43" fontId="20" fillId="0" borderId="30" xfId="1" applyFont="1" applyBorder="1" applyAlignment="1" applyProtection="1">
      <alignment horizontal="center"/>
    </xf>
    <xf numFmtId="43" fontId="20" fillId="0" borderId="11" xfId="1" applyFont="1" applyBorder="1" applyAlignment="1" applyProtection="1">
      <alignment horizontal="center"/>
    </xf>
    <xf numFmtId="3" fontId="20" fillId="0" borderId="27" xfId="0" applyNumberFormat="1" applyFont="1" applyBorder="1"/>
    <xf numFmtId="0" fontId="20" fillId="0" borderId="30" xfId="0" applyFont="1" applyBorder="1"/>
    <xf numFmtId="0" fontId="20" fillId="0" borderId="17" xfId="0" applyFont="1" applyBorder="1"/>
    <xf numFmtId="0" fontId="20" fillId="0" borderId="27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17" xfId="0" applyFont="1" applyBorder="1" applyAlignment="1">
      <alignment horizontal="left"/>
    </xf>
    <xf numFmtId="43" fontId="20" fillId="0" borderId="0" xfId="1" applyFont="1" applyBorder="1" applyAlignment="1" applyProtection="1">
      <alignment horizontal="center"/>
    </xf>
    <xf numFmtId="43" fontId="20" fillId="0" borderId="17" xfId="1" applyFont="1" applyBorder="1" applyAlignment="1" applyProtection="1">
      <alignment horizontal="center"/>
    </xf>
    <xf numFmtId="3" fontId="28" fillId="0" borderId="27" xfId="0" applyNumberFormat="1" applyFont="1" applyBorder="1"/>
    <xf numFmtId="196" fontId="20" fillId="0" borderId="17" xfId="0" applyNumberFormat="1" applyFont="1" applyBorder="1"/>
    <xf numFmtId="43" fontId="20" fillId="0" borderId="27" xfId="1" applyFont="1" applyBorder="1" applyAlignment="1" applyProtection="1">
      <alignment horizontal="center"/>
    </xf>
    <xf numFmtId="39" fontId="28" fillId="0" borderId="0" xfId="0" applyNumberFormat="1" applyFont="1"/>
    <xf numFmtId="43" fontId="20" fillId="0" borderId="28" xfId="1" applyFont="1" applyBorder="1" applyAlignment="1" applyProtection="1">
      <alignment horizontal="center"/>
    </xf>
    <xf numFmtId="43" fontId="20" fillId="0" borderId="12" xfId="1" applyFont="1" applyBorder="1" applyAlignment="1" applyProtection="1">
      <alignment horizontal="center"/>
    </xf>
    <xf numFmtId="3" fontId="20" fillId="0" borderId="25" xfId="0" applyNumberFormat="1" applyFont="1" applyBorder="1"/>
    <xf numFmtId="0" fontId="20" fillId="0" borderId="11" xfId="0" applyFont="1" applyBorder="1"/>
    <xf numFmtId="43" fontId="20" fillId="0" borderId="66" xfId="1" applyFont="1" applyBorder="1" applyAlignment="1" applyProtection="1">
      <alignment horizontal="center"/>
    </xf>
    <xf numFmtId="43" fontId="20" fillId="0" borderId="67" xfId="1" applyFont="1" applyBorder="1" applyAlignment="1" applyProtection="1">
      <alignment horizontal="center"/>
    </xf>
    <xf numFmtId="43" fontId="20" fillId="0" borderId="0" xfId="1" applyFont="1"/>
    <xf numFmtId="43" fontId="20" fillId="0" borderId="0" xfId="0" applyNumberFormat="1" applyFont="1"/>
    <xf numFmtId="0" fontId="19" fillId="0" borderId="26" xfId="0" applyFont="1" applyBorder="1"/>
    <xf numFmtId="3" fontId="20" fillId="0" borderId="29" xfId="0" applyNumberFormat="1" applyFont="1" applyBorder="1" applyAlignment="1">
      <alignment horizontal="center"/>
    </xf>
    <xf numFmtId="3" fontId="20" fillId="0" borderId="29" xfId="0" applyNumberFormat="1" applyFont="1" applyBorder="1"/>
    <xf numFmtId="0" fontId="20" fillId="0" borderId="14" xfId="0" applyFont="1" applyBorder="1"/>
    <xf numFmtId="191" fontId="20" fillId="0" borderId="30" xfId="0" applyNumberFormat="1" applyFont="1" applyBorder="1" applyAlignment="1">
      <alignment horizontal="center"/>
    </xf>
    <xf numFmtId="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88" fontId="64" fillId="0" borderId="18" xfId="0" applyNumberFormat="1" applyFont="1" applyBorder="1" applyAlignment="1">
      <alignment horizontal="center" vertical="center"/>
    </xf>
    <xf numFmtId="195" fontId="67" fillId="0" borderId="18" xfId="2" applyNumberFormat="1" applyFont="1" applyBorder="1" applyAlignment="1">
      <alignment horizontal="center"/>
    </xf>
    <xf numFmtId="39" fontId="50" fillId="0" borderId="20" xfId="2" applyFont="1" applyBorder="1" applyAlignment="1">
      <alignment horizontal="center"/>
    </xf>
    <xf numFmtId="39" fontId="50" fillId="0" borderId="22" xfId="2" applyFont="1" applyBorder="1" applyAlignment="1">
      <alignment horizontal="center"/>
    </xf>
    <xf numFmtId="39" fontId="50" fillId="0" borderId="21" xfId="2" applyFont="1" applyBorder="1" applyAlignment="1">
      <alignment horizontal="center"/>
    </xf>
    <xf numFmtId="199" fontId="50" fillId="0" borderId="21" xfId="2" applyNumberFormat="1" applyFont="1" applyBorder="1" applyAlignment="1">
      <alignment horizontal="center"/>
    </xf>
    <xf numFmtId="195" fontId="50" fillId="0" borderId="21" xfId="2" applyNumberFormat="1" applyFont="1" applyBorder="1" applyAlignment="1">
      <alignment horizontal="center"/>
    </xf>
    <xf numFmtId="195" fontId="68" fillId="6" borderId="21" xfId="2" applyNumberFormat="1" applyFont="1" applyFill="1" applyBorder="1" applyAlignment="1">
      <alignment horizontal="center"/>
    </xf>
    <xf numFmtId="195" fontId="68" fillId="0" borderId="21" xfId="2" applyNumberFormat="1" applyFont="1" applyBorder="1" applyAlignment="1">
      <alignment horizontal="center"/>
    </xf>
    <xf numFmtId="39" fontId="50" fillId="0" borderId="21" xfId="2" applyFont="1" applyBorder="1"/>
    <xf numFmtId="39" fontId="50" fillId="0" borderId="22" xfId="2" applyFont="1" applyBorder="1"/>
    <xf numFmtId="37" fontId="50" fillId="0" borderId="8" xfId="2" applyNumberFormat="1" applyFont="1" applyBorder="1" applyAlignment="1">
      <alignment horizontal="center"/>
    </xf>
    <xf numFmtId="39" fontId="50" fillId="0" borderId="60" xfId="2" applyFont="1" applyBorder="1" applyAlignment="1">
      <alignment horizontal="center"/>
    </xf>
    <xf numFmtId="195" fontId="50" fillId="0" borderId="60" xfId="2" applyNumberFormat="1" applyFont="1" applyBorder="1" applyAlignment="1">
      <alignment horizontal="center"/>
    </xf>
    <xf numFmtId="195" fontId="68" fillId="6" borderId="60" xfId="2" applyNumberFormat="1" applyFont="1" applyFill="1" applyBorder="1" applyAlignment="1">
      <alignment horizontal="center"/>
    </xf>
    <xf numFmtId="195" fontId="68" fillId="0" borderId="60" xfId="2" applyNumberFormat="1" applyFont="1" applyBorder="1" applyAlignment="1">
      <alignment horizontal="center"/>
    </xf>
    <xf numFmtId="39" fontId="50" fillId="0" borderId="60" xfId="2" applyFont="1" applyBorder="1"/>
    <xf numFmtId="39" fontId="50" fillId="0" borderId="8" xfId="2" applyFont="1" applyBorder="1"/>
    <xf numFmtId="37" fontId="50" fillId="0" borderId="22" xfId="2" applyNumberFormat="1" applyFont="1" applyBorder="1" applyAlignment="1">
      <alignment horizontal="center"/>
    </xf>
    <xf numFmtId="49" fontId="47" fillId="0" borderId="28" xfId="0" applyNumberFormat="1" applyFont="1" applyBorder="1" applyAlignment="1">
      <alignment horizontal="left"/>
    </xf>
    <xf numFmtId="49" fontId="47" fillId="0" borderId="12" xfId="0" applyNumberFormat="1" applyFont="1" applyBorder="1" applyAlignment="1">
      <alignment horizontal="left"/>
    </xf>
    <xf numFmtId="39" fontId="33" fillId="0" borderId="28" xfId="0" applyNumberFormat="1" applyFont="1" applyBorder="1" applyAlignment="1">
      <alignment horizontal="left"/>
    </xf>
    <xf numFmtId="39" fontId="33" fillId="0" borderId="12" xfId="0" applyNumberFormat="1" applyFont="1" applyBorder="1" applyAlignment="1">
      <alignment horizontal="left"/>
    </xf>
    <xf numFmtId="0" fontId="33" fillId="0" borderId="28" xfId="0" applyFont="1" applyBorder="1" applyAlignment="1">
      <alignment horizontal="left"/>
    </xf>
    <xf numFmtId="0" fontId="33" fillId="0" borderId="12" xfId="0" applyFont="1" applyBorder="1" applyAlignment="1">
      <alignment horizontal="left"/>
    </xf>
    <xf numFmtId="0" fontId="47" fillId="0" borderId="28" xfId="0" applyFont="1" applyBorder="1" applyAlignment="1">
      <alignment horizontal="left"/>
    </xf>
    <xf numFmtId="0" fontId="47" fillId="0" borderId="12" xfId="0" applyFont="1" applyBorder="1" applyAlignment="1">
      <alignment horizontal="left"/>
    </xf>
    <xf numFmtId="0" fontId="19" fillId="0" borderId="15" xfId="0" applyFont="1" applyBorder="1" applyAlignment="1">
      <alignment horizontal="center"/>
    </xf>
    <xf numFmtId="0" fontId="19" fillId="0" borderId="15" xfId="0" applyFont="1" applyBorder="1"/>
    <xf numFmtId="0" fontId="20" fillId="0" borderId="16" xfId="0" applyFont="1" applyBorder="1" applyAlignment="1">
      <alignment horizontal="left"/>
    </xf>
    <xf numFmtId="2" fontId="20" fillId="13" borderId="16" xfId="0" applyNumberFormat="1" applyFont="1" applyFill="1" applyBorder="1" applyAlignment="1">
      <alignment horizontal="center"/>
    </xf>
    <xf numFmtId="43" fontId="20" fillId="0" borderId="16" xfId="1" applyFont="1" applyBorder="1" applyAlignment="1">
      <alignment horizontal="center"/>
    </xf>
    <xf numFmtId="189" fontId="20" fillId="0" borderId="16" xfId="0" applyNumberFormat="1" applyFont="1" applyBorder="1" applyAlignment="1">
      <alignment horizontal="center"/>
    </xf>
    <xf numFmtId="2" fontId="20" fillId="0" borderId="16" xfId="0" applyNumberFormat="1" applyFont="1" applyBorder="1" applyAlignment="1">
      <alignment horizontal="center"/>
    </xf>
    <xf numFmtId="2" fontId="19" fillId="0" borderId="16" xfId="0" applyNumberFormat="1" applyFont="1" applyBorder="1" applyAlignment="1">
      <alignment horizontal="center"/>
    </xf>
    <xf numFmtId="43" fontId="19" fillId="0" borderId="16" xfId="1" applyFont="1" applyBorder="1" applyAlignment="1">
      <alignment horizontal="center"/>
    </xf>
    <xf numFmtId="0" fontId="70" fillId="0" borderId="0" xfId="0" applyFont="1" applyAlignment="1">
      <alignment horizontal="center"/>
    </xf>
    <xf numFmtId="43" fontId="20" fillId="13" borderId="16" xfId="1" applyFont="1" applyFill="1" applyBorder="1" applyAlignment="1">
      <alignment horizontal="center"/>
    </xf>
    <xf numFmtId="43" fontId="20" fillId="0" borderId="16" xfId="1" applyFont="1" applyBorder="1" applyAlignment="1">
      <alignment horizontal="left"/>
    </xf>
    <xf numFmtId="2" fontId="20" fillId="0" borderId="0" xfId="0" applyNumberFormat="1" applyFont="1"/>
    <xf numFmtId="0" fontId="71" fillId="0" borderId="0" xfId="0" applyFont="1" applyFill="1" applyAlignment="1">
      <alignment horizontal="center"/>
    </xf>
    <xf numFmtId="0" fontId="20" fillId="0" borderId="0" xfId="0" applyFont="1" applyFill="1"/>
    <xf numFmtId="0" fontId="72" fillId="0" borderId="49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7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47" fillId="0" borderId="9" xfId="0" applyFont="1" applyFill="1" applyBorder="1" applyAlignment="1">
      <alignment horizontal="center" vertical="center"/>
    </xf>
    <xf numFmtId="0" fontId="73" fillId="0" borderId="9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center" vertical="center"/>
    </xf>
    <xf numFmtId="0" fontId="20" fillId="0" borderId="73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73" fillId="0" borderId="15" xfId="0" applyFont="1" applyFill="1" applyBorder="1" applyAlignment="1">
      <alignment horizontal="center"/>
    </xf>
    <xf numFmtId="0" fontId="47" fillId="0" borderId="15" xfId="0" applyFont="1" applyFill="1" applyBorder="1" applyAlignment="1">
      <alignment horizontal="center"/>
    </xf>
    <xf numFmtId="0" fontId="20" fillId="0" borderId="83" xfId="0" applyFont="1" applyFill="1" applyBorder="1" applyAlignment="1">
      <alignment horizontal="center" vertical="center"/>
    </xf>
    <xf numFmtId="0" fontId="74" fillId="0" borderId="84" xfId="0" applyFont="1" applyFill="1" applyBorder="1" applyAlignment="1">
      <alignment horizontal="center"/>
    </xf>
    <xf numFmtId="0" fontId="74" fillId="0" borderId="85" xfId="0" applyFont="1" applyFill="1" applyBorder="1"/>
    <xf numFmtId="0" fontId="71" fillId="0" borderId="11" xfId="0" applyFont="1" applyFill="1" applyBorder="1"/>
    <xf numFmtId="0" fontId="71" fillId="0" borderId="68" xfId="0" applyFont="1" applyFill="1" applyBorder="1"/>
    <xf numFmtId="0" fontId="75" fillId="0" borderId="86" xfId="0" applyFont="1" applyFill="1" applyBorder="1"/>
    <xf numFmtId="0" fontId="71" fillId="0" borderId="86" xfId="0" applyFont="1" applyFill="1" applyBorder="1" applyAlignment="1">
      <alignment horizontal="center"/>
    </xf>
    <xf numFmtId="0" fontId="71" fillId="0" borderId="87" xfId="0" applyFont="1" applyFill="1" applyBorder="1"/>
    <xf numFmtId="0" fontId="71" fillId="0" borderId="0" xfId="0" applyFont="1" applyFill="1"/>
    <xf numFmtId="0" fontId="19" fillId="0" borderId="88" xfId="0" applyFont="1" applyFill="1" applyBorder="1" applyAlignment="1">
      <alignment horizontal="center"/>
    </xf>
    <xf numFmtId="0" fontId="19" fillId="0" borderId="89" xfId="0" applyFont="1" applyFill="1" applyBorder="1"/>
    <xf numFmtId="0" fontId="20" fillId="0" borderId="69" xfId="0" applyFont="1" applyFill="1" applyBorder="1"/>
    <xf numFmtId="0" fontId="76" fillId="0" borderId="69" xfId="0" applyFont="1" applyFill="1" applyBorder="1"/>
    <xf numFmtId="0" fontId="20" fillId="0" borderId="89" xfId="0" applyFont="1" applyFill="1" applyBorder="1" applyAlignment="1">
      <alignment horizontal="center"/>
    </xf>
    <xf numFmtId="0" fontId="20" fillId="0" borderId="90" xfId="0" applyFont="1" applyFill="1" applyBorder="1"/>
    <xf numFmtId="0" fontId="20" fillId="0" borderId="88" xfId="0" applyFont="1" applyFill="1" applyBorder="1"/>
    <xf numFmtId="0" fontId="20" fillId="0" borderId="89" xfId="0" applyFont="1" applyFill="1" applyBorder="1"/>
    <xf numFmtId="0" fontId="20" fillId="0" borderId="91" xfId="0" applyFont="1" applyFill="1" applyBorder="1"/>
    <xf numFmtId="200" fontId="20" fillId="0" borderId="69" xfId="1" applyNumberFormat="1" applyFont="1" applyFill="1" applyBorder="1"/>
    <xf numFmtId="0" fontId="20" fillId="0" borderId="69" xfId="0" applyFont="1" applyFill="1" applyBorder="1" applyAlignment="1">
      <alignment horizontal="center"/>
    </xf>
    <xf numFmtId="187" fontId="76" fillId="0" borderId="69" xfId="0" applyNumberFormat="1" applyFont="1" applyFill="1" applyBorder="1"/>
    <xf numFmtId="43" fontId="20" fillId="0" borderId="89" xfId="1" applyFont="1" applyFill="1" applyBorder="1" applyAlignment="1"/>
    <xf numFmtId="0" fontId="33" fillId="0" borderId="90" xfId="0" applyFont="1" applyFill="1" applyBorder="1"/>
    <xf numFmtId="43" fontId="20" fillId="0" borderId="69" xfId="1" applyFont="1" applyFill="1" applyBorder="1"/>
    <xf numFmtId="203" fontId="76" fillId="0" borderId="69" xfId="1" applyNumberFormat="1" applyFont="1" applyFill="1" applyBorder="1"/>
    <xf numFmtId="0" fontId="20" fillId="0" borderId="92" xfId="0" applyFont="1" applyFill="1" applyBorder="1"/>
    <xf numFmtId="0" fontId="20" fillId="0" borderId="93" xfId="0" applyFont="1" applyFill="1" applyBorder="1"/>
    <xf numFmtId="0" fontId="20" fillId="0" borderId="94" xfId="0" applyFont="1" applyFill="1" applyBorder="1"/>
    <xf numFmtId="200" fontId="20" fillId="0" borderId="71" xfId="1" applyNumberFormat="1" applyFont="1" applyFill="1" applyBorder="1"/>
    <xf numFmtId="0" fontId="20" fillId="0" borderId="71" xfId="0" applyFont="1" applyFill="1" applyBorder="1" applyAlignment="1">
      <alignment horizontal="center"/>
    </xf>
    <xf numFmtId="0" fontId="76" fillId="0" borderId="71" xfId="0" applyFont="1" applyFill="1" applyBorder="1" applyAlignment="1">
      <alignment horizontal="center"/>
    </xf>
    <xf numFmtId="200" fontId="19" fillId="0" borderId="71" xfId="1" applyNumberFormat="1" applyFont="1" applyFill="1" applyBorder="1" applyAlignment="1"/>
    <xf numFmtId="0" fontId="19" fillId="0" borderId="95" xfId="0" applyFont="1" applyFill="1" applyBorder="1"/>
    <xf numFmtId="0" fontId="19" fillId="0" borderId="96" xfId="0" applyFont="1" applyFill="1" applyBorder="1" applyAlignment="1">
      <alignment horizontal="center"/>
    </xf>
    <xf numFmtId="0" fontId="20" fillId="0" borderId="70" xfId="0" applyFont="1" applyFill="1" applyBorder="1"/>
    <xf numFmtId="0" fontId="76" fillId="0" borderId="70" xfId="0" applyFont="1" applyFill="1" applyBorder="1"/>
    <xf numFmtId="0" fontId="20" fillId="0" borderId="91" xfId="0" applyFont="1" applyFill="1" applyBorder="1" applyAlignment="1">
      <alignment horizontal="center"/>
    </xf>
    <xf numFmtId="0" fontId="20" fillId="0" borderId="97" xfId="0" applyFont="1" applyFill="1" applyBorder="1"/>
    <xf numFmtId="209" fontId="76" fillId="0" borderId="69" xfId="0" applyNumberFormat="1" applyFont="1" applyFill="1" applyBorder="1"/>
    <xf numFmtId="0" fontId="20" fillId="0" borderId="98" xfId="0" applyFont="1" applyFill="1" applyBorder="1"/>
    <xf numFmtId="0" fontId="76" fillId="0" borderId="69" xfId="0" applyFont="1" applyFill="1" applyBorder="1" applyAlignment="1">
      <alignment horizontal="center"/>
    </xf>
    <xf numFmtId="200" fontId="19" fillId="0" borderId="69" xfId="1" applyNumberFormat="1" applyFont="1" applyFill="1" applyBorder="1" applyAlignment="1"/>
    <xf numFmtId="0" fontId="19" fillId="0" borderId="90" xfId="0" applyFont="1" applyFill="1" applyBorder="1"/>
    <xf numFmtId="0" fontId="20" fillId="0" borderId="99" xfId="0" applyFont="1" applyFill="1" applyBorder="1"/>
    <xf numFmtId="0" fontId="20" fillId="0" borderId="100" xfId="0" applyFont="1" applyFill="1" applyBorder="1"/>
    <xf numFmtId="0" fontId="20" fillId="0" borderId="101" xfId="0" applyFont="1" applyFill="1" applyBorder="1"/>
    <xf numFmtId="200" fontId="20" fillId="0" borderId="102" xfId="1" applyNumberFormat="1" applyFont="1" applyFill="1" applyBorder="1"/>
    <xf numFmtId="0" fontId="20" fillId="0" borderId="102" xfId="0" applyFont="1" applyFill="1" applyBorder="1"/>
    <xf numFmtId="0" fontId="76" fillId="0" borderId="102" xfId="0" applyFont="1" applyFill="1" applyBorder="1"/>
    <xf numFmtId="0" fontId="20" fillId="0" borderId="103" xfId="0" applyFont="1" applyFill="1" applyBorder="1"/>
    <xf numFmtId="200" fontId="20" fillId="0" borderId="0" xfId="1" applyNumberFormat="1" applyFont="1" applyFill="1" applyBorder="1"/>
    <xf numFmtId="0" fontId="76" fillId="0" borderId="0" xfId="0" applyFont="1" applyFill="1"/>
    <xf numFmtId="0" fontId="33" fillId="0" borderId="53" xfId="0" applyFont="1" applyFill="1" applyBorder="1" applyAlignment="1">
      <alignment horizontal="center"/>
    </xf>
    <xf numFmtId="0" fontId="74" fillId="0" borderId="49" xfId="0" applyFont="1" applyFill="1" applyBorder="1" applyAlignment="1">
      <alignment horizontal="center"/>
    </xf>
    <xf numFmtId="0" fontId="71" fillId="0" borderId="86" xfId="0" applyFont="1" applyFill="1" applyBorder="1"/>
    <xf numFmtId="0" fontId="20" fillId="0" borderId="101" xfId="0" applyFont="1" applyFill="1" applyBorder="1" applyAlignment="1">
      <alignment horizontal="center"/>
    </xf>
    <xf numFmtId="0" fontId="77" fillId="0" borderId="0" xfId="0" applyFont="1" applyFill="1" applyAlignment="1">
      <alignment horizontal="center"/>
    </xf>
    <xf numFmtId="0" fontId="28" fillId="0" borderId="87" xfId="0" applyFont="1" applyFill="1" applyBorder="1"/>
    <xf numFmtId="0" fontId="19" fillId="0" borderId="98" xfId="0" applyFont="1" applyFill="1" applyBorder="1"/>
    <xf numFmtId="0" fontId="28" fillId="0" borderId="97" xfId="0" applyFont="1" applyFill="1" applyBorder="1"/>
    <xf numFmtId="0" fontId="33" fillId="0" borderId="98" xfId="0" applyFont="1" applyFill="1" applyBorder="1"/>
    <xf numFmtId="200" fontId="33" fillId="0" borderId="69" xfId="1" applyNumberFormat="1" applyFont="1" applyFill="1" applyBorder="1"/>
    <xf numFmtId="0" fontId="33" fillId="0" borderId="69" xfId="0" applyFont="1" applyFill="1" applyBorder="1" applyAlignment="1">
      <alignment horizontal="center"/>
    </xf>
    <xf numFmtId="200" fontId="19" fillId="0" borderId="89" xfId="0" applyNumberFormat="1" applyFont="1" applyFill="1" applyBorder="1" applyAlignment="1">
      <alignment horizontal="center"/>
    </xf>
    <xf numFmtId="0" fontId="28" fillId="0" borderId="90" xfId="0" applyFont="1" applyFill="1" applyBorder="1"/>
    <xf numFmtId="0" fontId="28" fillId="0" borderId="90" xfId="0" applyFont="1" applyFill="1" applyBorder="1" applyAlignment="1">
      <alignment horizontal="center"/>
    </xf>
    <xf numFmtId="0" fontId="33" fillId="0" borderId="93" xfId="0" applyFont="1" applyFill="1" applyBorder="1"/>
    <xf numFmtId="200" fontId="33" fillId="0" borderId="71" xfId="1" applyNumberFormat="1" applyFont="1" applyFill="1" applyBorder="1"/>
    <xf numFmtId="0" fontId="33" fillId="0" borderId="71" xfId="0" applyFont="1" applyFill="1" applyBorder="1" applyAlignment="1">
      <alignment horizontal="center"/>
    </xf>
    <xf numFmtId="0" fontId="28" fillId="0" borderId="104" xfId="0" applyFont="1" applyFill="1" applyBorder="1" applyAlignment="1">
      <alignment horizontal="center"/>
    </xf>
    <xf numFmtId="200" fontId="71" fillId="0" borderId="68" xfId="1" applyNumberFormat="1" applyFont="1" applyFill="1" applyBorder="1"/>
    <xf numFmtId="0" fontId="71" fillId="0" borderId="68" xfId="0" applyFont="1" applyFill="1" applyBorder="1" applyAlignment="1">
      <alignment horizontal="center"/>
    </xf>
    <xf numFmtId="0" fontId="75" fillId="0" borderId="68" xfId="0" applyFont="1" applyFill="1" applyBorder="1" applyAlignment="1">
      <alignment horizontal="center"/>
    </xf>
    <xf numFmtId="0" fontId="71" fillId="0" borderId="87" xfId="0" applyFont="1" applyFill="1" applyBorder="1" applyAlignment="1">
      <alignment horizontal="center"/>
    </xf>
    <xf numFmtId="0" fontId="20" fillId="0" borderId="90" xfId="0" applyFont="1" applyFill="1" applyBorder="1" applyAlignment="1">
      <alignment horizontal="center"/>
    </xf>
    <xf numFmtId="200" fontId="19" fillId="0" borderId="94" xfId="1" applyNumberFormat="1" applyFont="1" applyFill="1" applyBorder="1" applyAlignment="1"/>
    <xf numFmtId="0" fontId="20" fillId="0" borderId="95" xfId="0" applyFont="1" applyFill="1" applyBorder="1"/>
    <xf numFmtId="43" fontId="76" fillId="0" borderId="69" xfId="1" applyFont="1" applyFill="1" applyBorder="1"/>
    <xf numFmtId="187" fontId="76" fillId="0" borderId="69" xfId="0" applyNumberFormat="1" applyFont="1" applyFill="1" applyBorder="1" applyAlignment="1">
      <alignment horizontal="center"/>
    </xf>
    <xf numFmtId="0" fontId="20" fillId="0" borderId="102" xfId="0" applyFont="1" applyFill="1" applyBorder="1" applyAlignment="1">
      <alignment horizontal="center"/>
    </xf>
    <xf numFmtId="0" fontId="76" fillId="0" borderId="102" xfId="0" applyFont="1" applyFill="1" applyBorder="1" applyAlignment="1">
      <alignment horizontal="center"/>
    </xf>
    <xf numFmtId="200" fontId="19" fillId="0" borderId="101" xfId="1" applyNumberFormat="1" applyFont="1" applyFill="1" applyBorder="1" applyAlignment="1"/>
    <xf numFmtId="0" fontId="20" fillId="0" borderId="0" xfId="0" applyFont="1" applyFill="1" applyAlignment="1">
      <alignment horizontal="center"/>
    </xf>
    <xf numFmtId="0" fontId="76" fillId="0" borderId="0" xfId="0" applyFont="1" applyFill="1" applyAlignment="1">
      <alignment horizontal="center"/>
    </xf>
    <xf numFmtId="200" fontId="76" fillId="0" borderId="69" xfId="1" applyNumberFormat="1" applyFont="1" applyFill="1" applyBorder="1" applyAlignment="1"/>
    <xf numFmtId="200" fontId="20" fillId="0" borderId="89" xfId="1" applyNumberFormat="1" applyFont="1" applyFill="1" applyBorder="1" applyAlignment="1"/>
    <xf numFmtId="200" fontId="19" fillId="0" borderId="94" xfId="0" applyNumberFormat="1" applyFont="1" applyFill="1" applyBorder="1"/>
    <xf numFmtId="0" fontId="20" fillId="0" borderId="105" xfId="0" applyFont="1" applyFill="1" applyBorder="1"/>
    <xf numFmtId="0" fontId="19" fillId="0" borderId="106" xfId="0" applyFont="1" applyFill="1" applyBorder="1"/>
    <xf numFmtId="43" fontId="76" fillId="0" borderId="69" xfId="1" applyFont="1" applyFill="1" applyBorder="1" applyAlignment="1"/>
    <xf numFmtId="200" fontId="19" fillId="0" borderId="89" xfId="0" applyNumberFormat="1" applyFont="1" applyFill="1" applyBorder="1"/>
    <xf numFmtId="0" fontId="74" fillId="0" borderId="96" xfId="0" applyFont="1" applyFill="1" applyBorder="1" applyAlignment="1">
      <alignment horizontal="center"/>
    </xf>
    <xf numFmtId="0" fontId="74" fillId="0" borderId="107" xfId="0" applyFont="1" applyFill="1" applyBorder="1"/>
    <xf numFmtId="0" fontId="71" fillId="0" borderId="91" xfId="0" applyFont="1" applyFill="1" applyBorder="1"/>
    <xf numFmtId="0" fontId="71" fillId="0" borderId="70" xfId="0" applyFont="1" applyFill="1" applyBorder="1"/>
    <xf numFmtId="0" fontId="75" fillId="0" borderId="70" xfId="0" applyFont="1" applyFill="1" applyBorder="1"/>
    <xf numFmtId="0" fontId="71" fillId="0" borderId="91" xfId="0" applyFont="1" applyFill="1" applyBorder="1" applyAlignment="1">
      <alignment horizontal="center"/>
    </xf>
    <xf numFmtId="0" fontId="20" fillId="0" borderId="17" xfId="0" applyFont="1" applyFill="1" applyBorder="1"/>
    <xf numFmtId="0" fontId="20" fillId="0" borderId="68" xfId="0" applyFont="1" applyFill="1" applyBorder="1"/>
    <xf numFmtId="0" fontId="19" fillId="0" borderId="91" xfId="0" applyFont="1" applyFill="1" applyBorder="1"/>
    <xf numFmtId="0" fontId="20" fillId="0" borderId="96" xfId="0" applyFont="1" applyFill="1" applyBorder="1"/>
    <xf numFmtId="0" fontId="20" fillId="0" borderId="107" xfId="0" applyFont="1" applyFill="1" applyBorder="1"/>
    <xf numFmtId="43" fontId="20" fillId="0" borderId="70" xfId="1" applyFont="1" applyFill="1" applyBorder="1"/>
    <xf numFmtId="0" fontId="20" fillId="0" borderId="70" xfId="0" applyFont="1" applyFill="1" applyBorder="1" applyAlignment="1">
      <alignment horizontal="center"/>
    </xf>
    <xf numFmtId="43" fontId="19" fillId="0" borderId="102" xfId="1" applyFont="1" applyFill="1" applyBorder="1" applyAlignment="1"/>
    <xf numFmtId="0" fontId="19" fillId="0" borderId="103" xfId="0" applyFont="1" applyFill="1" applyBorder="1"/>
    <xf numFmtId="210" fontId="76" fillId="0" borderId="69" xfId="0" applyNumberFormat="1" applyFont="1" applyFill="1" applyBorder="1"/>
    <xf numFmtId="43" fontId="19" fillId="0" borderId="94" xfId="1" applyFont="1" applyFill="1" applyBorder="1" applyAlignment="1"/>
    <xf numFmtId="200" fontId="76" fillId="0" borderId="69" xfId="0" applyNumberFormat="1" applyFont="1" applyFill="1" applyBorder="1"/>
    <xf numFmtId="200" fontId="19" fillId="0" borderId="89" xfId="1" applyNumberFormat="1" applyFont="1" applyFill="1" applyBorder="1" applyAlignment="1"/>
    <xf numFmtId="0" fontId="20" fillId="0" borderId="108" xfId="0" applyFont="1" applyFill="1" applyBorder="1"/>
    <xf numFmtId="43" fontId="19" fillId="0" borderId="101" xfId="1" applyFont="1" applyFill="1" applyBorder="1" applyAlignment="1"/>
    <xf numFmtId="187" fontId="76" fillId="0" borderId="70" xfId="0" applyNumberFormat="1" applyFont="1" applyFill="1" applyBorder="1"/>
    <xf numFmtId="0" fontId="20" fillId="0" borderId="79" xfId="0" applyFont="1" applyFill="1" applyBorder="1"/>
    <xf numFmtId="0" fontId="20" fillId="0" borderId="73" xfId="0" applyFont="1" applyFill="1" applyBorder="1"/>
    <xf numFmtId="0" fontId="20" fillId="0" borderId="26" xfId="0" applyFont="1" applyFill="1" applyBorder="1"/>
    <xf numFmtId="0" fontId="20" fillId="0" borderId="14" xfId="0" applyFont="1" applyFill="1" applyBorder="1"/>
    <xf numFmtId="200" fontId="20" fillId="0" borderId="15" xfId="1" applyNumberFormat="1" applyFont="1" applyFill="1" applyBorder="1"/>
    <xf numFmtId="0" fontId="20" fillId="0" borderId="15" xfId="0" applyFont="1" applyFill="1" applyBorder="1" applyAlignment="1">
      <alignment horizontal="center"/>
    </xf>
    <xf numFmtId="0" fontId="76" fillId="0" borderId="15" xfId="0" applyFont="1" applyFill="1" applyBorder="1" applyAlignment="1">
      <alignment horizontal="center"/>
    </xf>
    <xf numFmtId="200" fontId="19" fillId="0" borderId="14" xfId="1" applyNumberFormat="1" applyFont="1" applyFill="1" applyBorder="1" applyAlignment="1"/>
    <xf numFmtId="0" fontId="19" fillId="0" borderId="74" xfId="0" applyFont="1" applyFill="1" applyBorder="1"/>
    <xf numFmtId="2" fontId="19" fillId="0" borderId="96" xfId="0" applyNumberFormat="1" applyFont="1" applyFill="1" applyBorder="1" applyAlignment="1">
      <alignment horizontal="center"/>
    </xf>
    <xf numFmtId="0" fontId="20" fillId="0" borderId="109" xfId="0" applyFont="1" applyFill="1" applyBorder="1"/>
    <xf numFmtId="0" fontId="75" fillId="0" borderId="69" xfId="0" applyFont="1" applyFill="1" applyBorder="1"/>
    <xf numFmtId="0" fontId="71" fillId="0" borderId="89" xfId="0" applyFont="1" applyFill="1" applyBorder="1" applyAlignment="1">
      <alignment horizontal="center"/>
    </xf>
    <xf numFmtId="0" fontId="71" fillId="0" borderId="90" xfId="0" applyFont="1" applyFill="1" applyBorder="1"/>
    <xf numFmtId="0" fontId="33" fillId="0" borderId="90" xfId="0" applyFont="1" applyFill="1" applyBorder="1" applyAlignment="1">
      <alignment horizontal="center"/>
    </xf>
    <xf numFmtId="210" fontId="20" fillId="0" borderId="69" xfId="1" applyNumberFormat="1" applyFont="1" applyFill="1" applyBorder="1"/>
    <xf numFmtId="43" fontId="76" fillId="0" borderId="70" xfId="1" applyFont="1" applyFill="1" applyBorder="1"/>
    <xf numFmtId="43" fontId="20" fillId="0" borderId="91" xfId="1" applyFont="1" applyFill="1" applyBorder="1" applyAlignment="1"/>
    <xf numFmtId="0" fontId="33" fillId="0" borderId="97" xfId="0" applyFont="1" applyFill="1" applyBorder="1" applyAlignment="1">
      <alignment horizontal="center"/>
    </xf>
    <xf numFmtId="0" fontId="65" fillId="0" borderId="90" xfId="0" applyFont="1" applyFill="1" applyBorder="1" applyAlignment="1">
      <alignment horizontal="center"/>
    </xf>
    <xf numFmtId="193" fontId="19" fillId="0" borderId="96" xfId="0" applyNumberFormat="1" applyFont="1" applyFill="1" applyBorder="1" applyAlignment="1">
      <alignment horizontal="center"/>
    </xf>
    <xf numFmtId="0" fontId="20" fillId="0" borderId="80" xfId="0" applyFont="1" applyFill="1" applyBorder="1"/>
    <xf numFmtId="0" fontId="20" fillId="0" borderId="110" xfId="0" applyFont="1" applyFill="1" applyBorder="1"/>
    <xf numFmtId="0" fontId="20" fillId="0" borderId="111" xfId="0" applyFont="1" applyFill="1" applyBorder="1"/>
    <xf numFmtId="200" fontId="20" fillId="0" borderId="82" xfId="1" applyNumberFormat="1" applyFont="1" applyFill="1" applyBorder="1"/>
    <xf numFmtId="0" fontId="20" fillId="0" borderId="82" xfId="0" applyFont="1" applyFill="1" applyBorder="1" applyAlignment="1">
      <alignment horizontal="center"/>
    </xf>
    <xf numFmtId="0" fontId="76" fillId="0" borderId="82" xfId="0" applyFont="1" applyFill="1" applyBorder="1" applyAlignment="1">
      <alignment horizontal="center"/>
    </xf>
    <xf numFmtId="200" fontId="19" fillId="0" borderId="111" xfId="1" applyNumberFormat="1" applyFont="1" applyFill="1" applyBorder="1" applyAlignment="1"/>
    <xf numFmtId="0" fontId="20" fillId="0" borderId="106" xfId="0" applyFont="1" applyFill="1" applyBorder="1"/>
    <xf numFmtId="200" fontId="20" fillId="0" borderId="70" xfId="1" applyNumberFormat="1" applyFont="1" applyFill="1" applyBorder="1"/>
    <xf numFmtId="0" fontId="76" fillId="0" borderId="70" xfId="0" applyFont="1" applyFill="1" applyBorder="1" applyAlignment="1">
      <alignment horizontal="center"/>
    </xf>
    <xf numFmtId="200" fontId="19" fillId="0" borderId="91" xfId="1" applyNumberFormat="1" applyFont="1" applyFill="1" applyBorder="1" applyAlignment="1"/>
    <xf numFmtId="0" fontId="19" fillId="0" borderId="97" xfId="0" applyFont="1" applyFill="1" applyBorder="1"/>
    <xf numFmtId="0" fontId="19" fillId="0" borderId="101" xfId="0" applyFont="1" applyFill="1" applyBorder="1"/>
    <xf numFmtId="0" fontId="19" fillId="0" borderId="0" xfId="0" applyFont="1" applyFill="1"/>
    <xf numFmtId="0" fontId="33" fillId="0" borderId="94" xfId="0" applyFont="1" applyFill="1" applyBorder="1"/>
    <xf numFmtId="0" fontId="76" fillId="0" borderId="18" xfId="0" applyFont="1" applyFill="1" applyBorder="1"/>
    <xf numFmtId="0" fontId="19" fillId="0" borderId="84" xfId="0" applyFont="1" applyFill="1" applyBorder="1" applyAlignment="1">
      <alignment horizontal="center"/>
    </xf>
    <xf numFmtId="0" fontId="20" fillId="0" borderId="86" xfId="0" applyFont="1" applyFill="1" applyBorder="1"/>
    <xf numFmtId="0" fontId="20" fillId="0" borderId="112" xfId="0" applyFont="1" applyFill="1" applyBorder="1"/>
    <xf numFmtId="0" fontId="20" fillId="0" borderId="113" xfId="0" applyFont="1" applyFill="1" applyBorder="1"/>
    <xf numFmtId="0" fontId="20" fillId="0" borderId="114" xfId="0" applyFont="1" applyFill="1" applyBorder="1"/>
    <xf numFmtId="0" fontId="20" fillId="0" borderId="115" xfId="0" applyFont="1" applyFill="1" applyBorder="1"/>
    <xf numFmtId="0" fontId="20" fillId="0" borderId="116" xfId="0" applyFont="1" applyFill="1" applyBorder="1"/>
    <xf numFmtId="0" fontId="33" fillId="0" borderId="101" xfId="0" applyFont="1" applyFill="1" applyBorder="1"/>
    <xf numFmtId="0" fontId="33" fillId="0" borderId="0" xfId="0" applyFont="1" applyFill="1"/>
    <xf numFmtId="0" fontId="20" fillId="0" borderId="53" xfId="0" applyFont="1" applyFill="1" applyBorder="1"/>
    <xf numFmtId="200" fontId="20" fillId="0" borderId="53" xfId="1" applyNumberFormat="1" applyFont="1" applyFill="1" applyBorder="1"/>
    <xf numFmtId="0" fontId="20" fillId="0" borderId="53" xfId="0" applyFont="1" applyFill="1" applyBorder="1" applyAlignment="1">
      <alignment horizontal="center"/>
    </xf>
    <xf numFmtId="0" fontId="76" fillId="0" borderId="53" xfId="0" applyFont="1" applyFill="1" applyBorder="1" applyAlignment="1">
      <alignment horizontal="center"/>
    </xf>
    <xf numFmtId="0" fontId="33" fillId="0" borderId="0" xfId="0" applyFont="1" applyFill="1" applyAlignment="1">
      <alignment horizontal="center"/>
    </xf>
    <xf numFmtId="205" fontId="19" fillId="0" borderId="89" xfId="1" applyNumberFormat="1" applyFont="1" applyFill="1" applyBorder="1" applyAlignment="1"/>
    <xf numFmtId="0" fontId="20" fillId="0" borderId="6" xfId="0" applyFont="1" applyFill="1" applyBorder="1"/>
    <xf numFmtId="0" fontId="20" fillId="0" borderId="76" xfId="0" applyFont="1" applyFill="1" applyBorder="1"/>
    <xf numFmtId="0" fontId="20" fillId="0" borderId="7" xfId="0" applyFont="1" applyFill="1" applyBorder="1"/>
    <xf numFmtId="200" fontId="20" fillId="0" borderId="18" xfId="1" applyNumberFormat="1" applyFont="1" applyFill="1" applyBorder="1"/>
    <xf numFmtId="0" fontId="20" fillId="0" borderId="18" xfId="0" applyFont="1" applyFill="1" applyBorder="1" applyAlignment="1">
      <alignment horizontal="center"/>
    </xf>
    <xf numFmtId="0" fontId="76" fillId="0" borderId="18" xfId="0" applyFont="1" applyFill="1" applyBorder="1" applyAlignment="1">
      <alignment horizontal="center"/>
    </xf>
    <xf numFmtId="200" fontId="19" fillId="0" borderId="7" xfId="1" applyNumberFormat="1" applyFont="1" applyFill="1" applyBorder="1" applyAlignment="1"/>
    <xf numFmtId="0" fontId="20" fillId="0" borderId="8" xfId="0" applyFont="1" applyFill="1" applyBorder="1"/>
    <xf numFmtId="0" fontId="70" fillId="0" borderId="49" xfId="0" applyFont="1" applyFill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47" fillId="0" borderId="10" xfId="0" applyFont="1" applyBorder="1" applyAlignment="1">
      <alignment horizontal="center"/>
    </xf>
    <xf numFmtId="0" fontId="47" fillId="0" borderId="25" xfId="0" applyFont="1" applyBorder="1" applyAlignment="1">
      <alignment horizontal="center"/>
    </xf>
    <xf numFmtId="0" fontId="47" fillId="0" borderId="30" xfId="0" applyFont="1" applyBorder="1" applyAlignment="1">
      <alignment horizontal="center"/>
    </xf>
    <xf numFmtId="0" fontId="47" fillId="0" borderId="28" xfId="0" applyFont="1" applyBorder="1"/>
    <xf numFmtId="0" fontId="47" fillId="0" borderId="12" xfId="0" applyFont="1" applyBorder="1"/>
    <xf numFmtId="0" fontId="47" fillId="0" borderId="15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55" fillId="0" borderId="69" xfId="0" applyFont="1" applyBorder="1" applyAlignment="1">
      <alignment horizontal="left"/>
    </xf>
    <xf numFmtId="0" fontId="35" fillId="0" borderId="69" xfId="0" applyFont="1" applyBorder="1"/>
    <xf numFmtId="43" fontId="35" fillId="0" borderId="69" xfId="1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43" fontId="35" fillId="0" borderId="82" xfId="1" applyFont="1" applyBorder="1" applyAlignment="1">
      <alignment horizontal="center"/>
    </xf>
    <xf numFmtId="0" fontId="35" fillId="0" borderId="82" xfId="0" applyFont="1" applyBorder="1"/>
    <xf numFmtId="0" fontId="35" fillId="0" borderId="16" xfId="0" applyFont="1" applyBorder="1" applyAlignment="1">
      <alignment horizontal="center"/>
    </xf>
    <xf numFmtId="2" fontId="35" fillId="0" borderId="16" xfId="0" applyNumberFormat="1" applyFont="1" applyBorder="1" applyAlignment="1">
      <alignment horizontal="center"/>
    </xf>
    <xf numFmtId="43" fontId="35" fillId="0" borderId="16" xfId="1" applyFont="1" applyBorder="1" applyAlignment="1">
      <alignment horizontal="center"/>
    </xf>
    <xf numFmtId="0" fontId="35" fillId="0" borderId="16" xfId="0" applyFont="1" applyBorder="1"/>
    <xf numFmtId="43" fontId="35" fillId="0" borderId="16" xfId="0" applyNumberFormat="1" applyFont="1" applyBorder="1" applyAlignment="1">
      <alignment horizontal="center"/>
    </xf>
    <xf numFmtId="43" fontId="47" fillId="18" borderId="16" xfId="1" applyFont="1" applyFill="1" applyBorder="1" applyAlignment="1">
      <alignment horizontal="center"/>
    </xf>
    <xf numFmtId="0" fontId="39" fillId="13" borderId="16" xfId="0" applyFont="1" applyFill="1" applyBorder="1"/>
    <xf numFmtId="0" fontId="78" fillId="13" borderId="16" xfId="0" applyFont="1" applyFill="1" applyBorder="1" applyAlignment="1">
      <alignment horizontal="center"/>
    </xf>
    <xf numFmtId="43" fontId="78" fillId="13" borderId="16" xfId="0" applyNumberFormat="1" applyFont="1" applyFill="1" applyBorder="1"/>
    <xf numFmtId="43" fontId="35" fillId="0" borderId="0" xfId="0" applyNumberFormat="1" applyFont="1"/>
    <xf numFmtId="0" fontId="79" fillId="0" borderId="0" xfId="0" applyFont="1"/>
    <xf numFmtId="0" fontId="24" fillId="0" borderId="0" xfId="0" applyFont="1"/>
    <xf numFmtId="43" fontId="20" fillId="0" borderId="16" xfId="0" applyNumberFormat="1" applyFont="1" applyBorder="1" applyAlignment="1">
      <alignment horizontal="center"/>
    </xf>
    <xf numFmtId="0" fontId="33" fillId="0" borderId="16" xfId="0" applyFont="1" applyBorder="1" applyAlignment="1">
      <alignment horizontal="left"/>
    </xf>
    <xf numFmtId="2" fontId="33" fillId="13" borderId="16" xfId="0" applyNumberFormat="1" applyFont="1" applyFill="1" applyBorder="1" applyAlignment="1">
      <alignment horizontal="center"/>
    </xf>
    <xf numFmtId="43" fontId="33" fillId="0" borderId="16" xfId="1" applyFont="1" applyBorder="1" applyAlignment="1">
      <alignment horizontal="center"/>
    </xf>
    <xf numFmtId="2" fontId="33" fillId="0" borderId="16" xfId="0" applyNumberFormat="1" applyFont="1" applyBorder="1" applyAlignment="1">
      <alignment horizontal="center"/>
    </xf>
    <xf numFmtId="43" fontId="47" fillId="0" borderId="16" xfId="1" applyFont="1" applyBorder="1" applyAlignment="1">
      <alignment horizontal="center"/>
    </xf>
    <xf numFmtId="0" fontId="19" fillId="0" borderId="16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43" fontId="33" fillId="13" borderId="16" xfId="1" applyFont="1" applyFill="1" applyBorder="1" applyAlignment="1">
      <alignment horizontal="center"/>
    </xf>
    <xf numFmtId="0" fontId="33" fillId="0" borderId="0" xfId="0" applyFont="1" applyAlignment="1">
      <alignment vertical="center"/>
    </xf>
    <xf numFmtId="0" fontId="33" fillId="0" borderId="0" xfId="0" quotePrefix="1" applyFont="1" applyAlignment="1">
      <alignment horizontal="center" vertical="center"/>
    </xf>
    <xf numFmtId="0" fontId="52" fillId="0" borderId="0" xfId="8" applyFont="1" applyAlignment="1">
      <alignment vertical="center"/>
    </xf>
    <xf numFmtId="0" fontId="33" fillId="0" borderId="0" xfId="8" applyFont="1" applyAlignment="1">
      <alignment vertical="center"/>
    </xf>
    <xf numFmtId="0" fontId="33" fillId="0" borderId="0" xfId="8" applyFont="1" applyAlignment="1">
      <alignment horizontal="center" vertical="center"/>
    </xf>
    <xf numFmtId="0" fontId="33" fillId="0" borderId="29" xfId="8" applyFont="1" applyBorder="1" applyAlignment="1">
      <alignment vertical="center"/>
    </xf>
    <xf numFmtId="2" fontId="33" fillId="0" borderId="77" xfId="8" applyNumberFormat="1" applyFont="1" applyBorder="1" applyAlignment="1">
      <alignment vertical="center"/>
    </xf>
    <xf numFmtId="2" fontId="33" fillId="0" borderId="0" xfId="8" applyNumberFormat="1" applyFont="1" applyAlignment="1">
      <alignment horizontal="right" vertical="center"/>
    </xf>
    <xf numFmtId="187" fontId="33" fillId="0" borderId="0" xfId="8" applyNumberFormat="1" applyFont="1" applyAlignment="1">
      <alignment vertical="center"/>
    </xf>
    <xf numFmtId="2" fontId="33" fillId="0" borderId="78" xfId="8" applyNumberFormat="1" applyFont="1" applyBorder="1" applyAlignment="1">
      <alignment horizontal="center" vertical="center"/>
    </xf>
    <xf numFmtId="0" fontId="33" fillId="0" borderId="78" xfId="8" applyFont="1" applyBorder="1" applyAlignment="1">
      <alignment vertical="center"/>
    </xf>
    <xf numFmtId="2" fontId="33" fillId="0" borderId="13" xfId="8" applyNumberFormat="1" applyFont="1" applyBorder="1" applyAlignment="1">
      <alignment horizontal="right" vertical="center"/>
    </xf>
    <xf numFmtId="2" fontId="33" fillId="0" borderId="13" xfId="0" applyNumberFormat="1" applyFont="1" applyBorder="1" applyAlignment="1">
      <alignment horizontal="right" vertical="center"/>
    </xf>
    <xf numFmtId="2" fontId="33" fillId="0" borderId="0" xfId="8" applyNumberFormat="1" applyFont="1" applyAlignment="1">
      <alignment vertical="center"/>
    </xf>
    <xf numFmtId="187" fontId="33" fillId="0" borderId="29" xfId="1" applyNumberFormat="1" applyFont="1" applyBorder="1" applyAlignment="1">
      <alignment horizontal="right" vertical="center"/>
    </xf>
    <xf numFmtId="0" fontId="33" fillId="0" borderId="0" xfId="8" applyFont="1" applyAlignment="1">
      <alignment horizontal="right" vertical="center"/>
    </xf>
    <xf numFmtId="2" fontId="33" fillId="0" borderId="77" xfId="8" applyNumberFormat="1" applyFont="1" applyBorder="1" applyAlignment="1">
      <alignment horizontal="right" vertical="center"/>
    </xf>
    <xf numFmtId="0" fontId="47" fillId="0" borderId="0" xfId="8" applyFont="1" applyAlignment="1">
      <alignment vertical="center"/>
    </xf>
    <xf numFmtId="2" fontId="33" fillId="0" borderId="78" xfId="8" applyNumberFormat="1" applyFont="1" applyBorder="1" applyAlignment="1">
      <alignment vertical="center"/>
    </xf>
    <xf numFmtId="2" fontId="33" fillId="0" borderId="13" xfId="0" applyNumberFormat="1" applyFont="1" applyBorder="1" applyAlignment="1">
      <alignment vertical="center"/>
    </xf>
    <xf numFmtId="0" fontId="33" fillId="0" borderId="13" xfId="0" applyFont="1" applyBorder="1" applyAlignment="1">
      <alignment vertical="center"/>
    </xf>
    <xf numFmtId="4" fontId="33" fillId="0" borderId="13" xfId="8" applyNumberFormat="1" applyFont="1" applyBorder="1" applyAlignment="1">
      <alignment vertical="center"/>
    </xf>
    <xf numFmtId="0" fontId="33" fillId="13" borderId="0" xfId="8" applyFont="1" applyFill="1" applyAlignment="1">
      <alignment vertical="center"/>
    </xf>
    <xf numFmtId="0" fontId="33" fillId="13" borderId="0" xfId="8" applyFont="1" applyFill="1" applyAlignment="1">
      <alignment horizontal="right" vertical="center"/>
    </xf>
    <xf numFmtId="0" fontId="33" fillId="13" borderId="0" xfId="8" applyFont="1" applyFill="1" applyAlignment="1">
      <alignment horizontal="center" vertical="center"/>
    </xf>
    <xf numFmtId="2" fontId="39" fillId="13" borderId="77" xfId="8" applyNumberFormat="1" applyFont="1" applyFill="1" applyBorder="1" applyAlignment="1">
      <alignment vertical="center"/>
    </xf>
    <xf numFmtId="49" fontId="33" fillId="0" borderId="0" xfId="0" applyNumberFormat="1" applyFont="1" applyAlignment="1">
      <alignment horizontal="right" vertical="center"/>
    </xf>
    <xf numFmtId="0" fontId="52" fillId="0" borderId="0" xfId="8" applyFont="1" applyAlignment="1">
      <alignment horizontal="center" vertical="center"/>
    </xf>
    <xf numFmtId="0" fontId="47" fillId="0" borderId="0" xfId="8" applyFont="1" applyAlignment="1">
      <alignment horizontal="center" vertical="center"/>
    </xf>
    <xf numFmtId="2" fontId="47" fillId="0" borderId="78" xfId="8" applyNumberFormat="1" applyFont="1" applyBorder="1" applyAlignment="1">
      <alignment horizontal="center" vertical="center"/>
    </xf>
    <xf numFmtId="0" fontId="33" fillId="0" borderId="78" xfId="8" applyFont="1" applyBorder="1" applyAlignment="1">
      <alignment horizontal="center" vertical="center"/>
    </xf>
    <xf numFmtId="0" fontId="33" fillId="0" borderId="0" xfId="8" applyFont="1" applyAlignment="1">
      <alignment horizontal="left" vertical="center"/>
    </xf>
    <xf numFmtId="2" fontId="33" fillId="0" borderId="0" xfId="8" applyNumberFormat="1" applyFont="1" applyAlignment="1">
      <alignment horizontal="left" vertical="center"/>
    </xf>
    <xf numFmtId="2" fontId="33" fillId="0" borderId="79" xfId="8" applyNumberFormat="1" applyFont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4" fontId="33" fillId="0" borderId="0" xfId="8" applyNumberFormat="1" applyFont="1" applyAlignment="1">
      <alignment vertical="center"/>
    </xf>
    <xf numFmtId="4" fontId="33" fillId="0" borderId="0" xfId="8" applyNumberFormat="1" applyFont="1" applyAlignment="1">
      <alignment horizontal="center" vertical="center"/>
    </xf>
    <xf numFmtId="4" fontId="33" fillId="0" borderId="78" xfId="8" applyNumberFormat="1" applyFont="1" applyBorder="1" applyAlignment="1">
      <alignment horizontal="center" vertical="center"/>
    </xf>
    <xf numFmtId="187" fontId="33" fillId="0" borderId="78" xfId="9" applyNumberFormat="1" applyFont="1" applyBorder="1" applyAlignment="1">
      <alignment horizontal="center" vertical="center"/>
    </xf>
    <xf numFmtId="2" fontId="33" fillId="0" borderId="13" xfId="1" applyNumberFormat="1" applyFont="1" applyFill="1" applyBorder="1" applyAlignment="1">
      <alignment horizontal="right" vertical="center"/>
    </xf>
    <xf numFmtId="187" fontId="33" fillId="0" borderId="0" xfId="9" applyNumberFormat="1" applyFont="1" applyBorder="1" applyAlignment="1">
      <alignment horizontal="center" vertical="center"/>
    </xf>
    <xf numFmtId="2" fontId="33" fillId="0" borderId="0" xfId="1" applyNumberFormat="1" applyFont="1" applyFill="1" applyBorder="1" applyAlignment="1">
      <alignment horizontal="right" vertical="center"/>
    </xf>
    <xf numFmtId="187" fontId="33" fillId="0" borderId="80" xfId="8" applyNumberFormat="1" applyFont="1" applyBorder="1" applyAlignment="1">
      <alignment horizontal="center" vertical="center"/>
    </xf>
    <xf numFmtId="187" fontId="33" fillId="0" borderId="29" xfId="1" applyNumberFormat="1" applyFont="1" applyBorder="1" applyAlignment="1">
      <alignment vertical="center"/>
    </xf>
    <xf numFmtId="187" fontId="33" fillId="0" borderId="78" xfId="8" applyNumberFormat="1" applyFont="1" applyBorder="1" applyAlignment="1">
      <alignment horizontal="center" vertical="center"/>
    </xf>
    <xf numFmtId="2" fontId="33" fillId="0" borderId="0" xfId="8" applyNumberFormat="1" applyFont="1" applyAlignment="1">
      <alignment horizontal="center" vertical="center"/>
    </xf>
    <xf numFmtId="2" fontId="33" fillId="0" borderId="78" xfId="0" applyNumberFormat="1" applyFont="1" applyBorder="1" applyAlignment="1">
      <alignment horizontal="center" vertical="center"/>
    </xf>
    <xf numFmtId="4" fontId="33" fillId="0" borderId="80" xfId="8" applyNumberFormat="1" applyFont="1" applyBorder="1" applyAlignment="1">
      <alignment horizontal="center" vertical="center"/>
    </xf>
    <xf numFmtId="187" fontId="33" fillId="0" borderId="0" xfId="9" applyNumberFormat="1" applyFont="1" applyBorder="1" applyAlignment="1">
      <alignment horizontal="center" vertical="center"/>
    </xf>
    <xf numFmtId="187" fontId="33" fillId="0" borderId="13" xfId="1" applyNumberFormat="1" applyFont="1" applyFill="1" applyBorder="1" applyAlignment="1">
      <alignment horizontal="right" vertical="center"/>
    </xf>
    <xf numFmtId="187" fontId="33" fillId="0" borderId="0" xfId="1" applyNumberFormat="1" applyFont="1" applyBorder="1" applyAlignment="1">
      <alignment vertical="center"/>
    </xf>
    <xf numFmtId="207" fontId="33" fillId="0" borderId="78" xfId="1" applyNumberFormat="1" applyFont="1" applyFill="1" applyBorder="1" applyAlignment="1">
      <alignment horizontal="center" vertical="center"/>
    </xf>
    <xf numFmtId="0" fontId="33" fillId="13" borderId="78" xfId="8" applyFont="1" applyFill="1" applyBorder="1" applyAlignment="1">
      <alignment horizontal="center" vertical="center"/>
    </xf>
    <xf numFmtId="187" fontId="33" fillId="0" borderId="78" xfId="1" applyNumberFormat="1" applyFont="1" applyFill="1" applyBorder="1" applyAlignment="1">
      <alignment vertical="center"/>
    </xf>
    <xf numFmtId="4" fontId="33" fillId="0" borderId="81" xfId="8" applyNumberFormat="1" applyFont="1" applyBorder="1" applyAlignment="1">
      <alignment vertical="center"/>
    </xf>
    <xf numFmtId="0" fontId="33" fillId="0" borderId="0" xfId="8" applyFont="1" applyAlignment="1">
      <alignment horizontal="left" vertical="center"/>
    </xf>
    <xf numFmtId="187" fontId="33" fillId="0" borderId="13" xfId="1" applyNumberFormat="1" applyFont="1" applyBorder="1" applyAlignment="1">
      <alignment vertical="center"/>
    </xf>
    <xf numFmtId="2" fontId="33" fillId="0" borderId="29" xfId="8" applyNumberFormat="1" applyFont="1" applyBorder="1" applyAlignment="1">
      <alignment horizontal="right" vertical="center"/>
    </xf>
    <xf numFmtId="187" fontId="33" fillId="0" borderId="0" xfId="1" applyNumberFormat="1" applyFont="1" applyBorder="1" applyAlignment="1">
      <alignment horizontal="center" vertical="center"/>
    </xf>
    <xf numFmtId="2" fontId="33" fillId="0" borderId="80" xfId="8" applyNumberFormat="1" applyFont="1" applyBorder="1" applyAlignment="1">
      <alignment horizontal="center" vertical="center"/>
    </xf>
    <xf numFmtId="4" fontId="33" fillId="0" borderId="78" xfId="8" applyNumberFormat="1" applyFont="1" applyBorder="1" applyAlignment="1">
      <alignment horizontal="center" vertical="center"/>
    </xf>
    <xf numFmtId="4" fontId="33" fillId="0" borderId="29" xfId="9" applyNumberFormat="1" applyFont="1" applyBorder="1" applyAlignment="1">
      <alignment vertical="center"/>
    </xf>
    <xf numFmtId="4" fontId="33" fillId="0" borderId="13" xfId="9" applyNumberFormat="1" applyFont="1" applyBorder="1" applyAlignment="1">
      <alignment vertical="center"/>
    </xf>
    <xf numFmtId="4" fontId="33" fillId="0" borderId="81" xfId="9" applyNumberFormat="1" applyFont="1" applyBorder="1" applyAlignment="1">
      <alignment vertical="center"/>
    </xf>
    <xf numFmtId="187" fontId="33" fillId="0" borderId="78" xfId="1" applyNumberFormat="1" applyFont="1" applyFill="1" applyBorder="1" applyAlignment="1">
      <alignment horizontal="center" vertical="center"/>
    </xf>
    <xf numFmtId="4" fontId="33" fillId="0" borderId="77" xfId="8" applyNumberFormat="1" applyFont="1" applyBorder="1" applyAlignment="1">
      <alignment vertical="center"/>
    </xf>
    <xf numFmtId="187" fontId="33" fillId="0" borderId="0" xfId="1" applyNumberFormat="1" applyFont="1" applyFill="1" applyBorder="1" applyAlignment="1">
      <alignment horizontal="center" vertical="center"/>
    </xf>
    <xf numFmtId="2" fontId="33" fillId="0" borderId="30" xfId="0" applyNumberFormat="1" applyFont="1" applyBorder="1" applyAlignment="1">
      <alignment horizontal="right" vertical="center"/>
    </xf>
    <xf numFmtId="2" fontId="47" fillId="0" borderId="0" xfId="8" applyNumberFormat="1" applyFont="1" applyAlignment="1">
      <alignment vertical="center"/>
    </xf>
    <xf numFmtId="2" fontId="47" fillId="0" borderId="0" xfId="8" applyNumberFormat="1" applyFont="1" applyAlignment="1">
      <alignment horizontal="center" vertical="center"/>
    </xf>
    <xf numFmtId="2" fontId="33" fillId="0" borderId="0" xfId="0" applyNumberFormat="1" applyFont="1" applyAlignment="1">
      <alignment horizontal="right" vertical="center"/>
    </xf>
    <xf numFmtId="0" fontId="33" fillId="0" borderId="0" xfId="8" quotePrefix="1" applyFont="1" applyAlignment="1">
      <alignment horizontal="left" vertical="center"/>
    </xf>
    <xf numFmtId="2" fontId="33" fillId="0" borderId="29" xfId="0" applyNumberFormat="1" applyFont="1" applyBorder="1" applyAlignment="1">
      <alignment horizontal="right" vertical="center"/>
    </xf>
    <xf numFmtId="0" fontId="33" fillId="0" borderId="0" xfId="8" quotePrefix="1" applyFont="1" applyAlignment="1">
      <alignment vertical="center"/>
    </xf>
    <xf numFmtId="43" fontId="33" fillId="0" borderId="78" xfId="8" applyNumberFormat="1" applyFont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43" fontId="20" fillId="0" borderId="0" xfId="5" applyNumberFormat="1" applyFont="1" applyAlignment="1">
      <alignment vertical="center"/>
    </xf>
    <xf numFmtId="39" fontId="33" fillId="0" borderId="78" xfId="8" applyNumberFormat="1" applyFont="1" applyBorder="1" applyAlignment="1">
      <alignment vertical="center"/>
    </xf>
    <xf numFmtId="43" fontId="33" fillId="0" borderId="78" xfId="1" applyFont="1" applyBorder="1" applyAlignment="1">
      <alignment vertical="center"/>
    </xf>
    <xf numFmtId="43" fontId="33" fillId="0" borderId="0" xfId="1" applyFont="1" applyAlignment="1">
      <alignment horizontal="right" vertical="center"/>
    </xf>
    <xf numFmtId="43" fontId="33" fillId="0" borderId="13" xfId="1" applyFont="1" applyBorder="1" applyAlignment="1">
      <alignment horizontal="right" vertical="center"/>
    </xf>
    <xf numFmtId="43" fontId="33" fillId="0" borderId="29" xfId="1" applyFont="1" applyBorder="1" applyAlignment="1">
      <alignment horizontal="right" vertical="center"/>
    </xf>
    <xf numFmtId="43" fontId="33" fillId="0" borderId="77" xfId="1" applyFont="1" applyBorder="1" applyAlignment="1">
      <alignment horizontal="right" vertical="center"/>
    </xf>
    <xf numFmtId="0" fontId="80" fillId="0" borderId="0" xfId="6" applyFont="1" applyAlignment="1">
      <alignment horizontal="center" vertical="center"/>
    </xf>
  </cellXfs>
  <cellStyles count="10">
    <cellStyle name="0,0_x000d__x000a_NA_x000d__x000a_" xfId="4" xr:uid="{00000000-0005-0000-0000-000000000000}"/>
    <cellStyle name="Comma 6" xfId="7" xr:uid="{00000000-0005-0000-0000-000002000000}"/>
    <cellStyle name="Normal_47อบ.23017" xfId="2" xr:uid="{00000000-0005-0000-0000-000004000000}"/>
    <cellStyle name="Normal_สรุปผลการประเมินราคา" xfId="3" xr:uid="{00000000-0005-0000-0000-000005000000}"/>
    <cellStyle name="เครื่องหมายจุลภาค 4" xfId="9" xr:uid="{00000000-0005-0000-0000-000006000000}"/>
    <cellStyle name="จุลภาค" xfId="1" builtinId="3"/>
    <cellStyle name="ปกติ" xfId="0" builtinId="0"/>
    <cellStyle name="ปกติ 2" xfId="8" xr:uid="{00000000-0005-0000-0000-000007000000}"/>
    <cellStyle name="ปกติ_1_งานก่อสร้างทางและสะพาน" xfId="6" xr:uid="{00000000-0005-0000-0000-000008000000}"/>
    <cellStyle name="ปกติ_BOQ-BANG-NGA 2" xfId="5" xr:uid="{00000000-0005-0000-0000-000009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66FF99"/>
      <color rgb="FFE4F2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2352675</xdr:colOff>
      <xdr:row>10</xdr:row>
      <xdr:rowOff>219075</xdr:rowOff>
    </xdr:from>
    <xdr:to>
      <xdr:col>1</xdr:col>
      <xdr:colOff>2581275</xdr:colOff>
      <xdr:row>14</xdr:row>
      <xdr:rowOff>38100</xdr:rowOff>
    </xdr:to>
    <xdr:sp macro="" textlink="">
      <xdr:nvSpPr>
        <xdr:cNvPr id="2" name="วงเล็บปีกกาขวา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2686050" y="2981325"/>
          <a:ext cx="228600" cy="9239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</xdr:col>
      <xdr:colOff>9525</xdr:colOff>
      <xdr:row>10</xdr:row>
      <xdr:rowOff>266700</xdr:rowOff>
    </xdr:from>
    <xdr:to>
      <xdr:col>1</xdr:col>
      <xdr:colOff>238125</xdr:colOff>
      <xdr:row>13</xdr:row>
      <xdr:rowOff>171450</xdr:rowOff>
    </xdr:to>
    <xdr:sp macro="" textlink="">
      <xdr:nvSpPr>
        <xdr:cNvPr id="3" name="วงเล็บปีกกาซ้าย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342900" y="3028950"/>
          <a:ext cx="228600" cy="73342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25</xdr:row>
      <xdr:rowOff>161924</xdr:rowOff>
    </xdr:from>
    <xdr:to>
      <xdr:col>9</xdr:col>
      <xdr:colOff>558469</xdr:colOff>
      <xdr:row>33</xdr:row>
      <xdr:rowOff>133349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F0CA81F3-5ACF-492C-87E0-00BF714F18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7067549"/>
          <a:ext cx="6044868" cy="21812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33</xdr:row>
      <xdr:rowOff>19050</xdr:rowOff>
    </xdr:from>
    <xdr:to>
      <xdr:col>8</xdr:col>
      <xdr:colOff>771525</xdr:colOff>
      <xdr:row>42</xdr:row>
      <xdr:rowOff>209549</xdr:rowOff>
    </xdr:to>
    <xdr:sp macro="" textlink="">
      <xdr:nvSpPr>
        <xdr:cNvPr id="2" name="วงเล็บปีกกาขวา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/>
      </xdr:nvSpPr>
      <xdr:spPr>
        <a:xfrm>
          <a:off x="6810375" y="9153525"/>
          <a:ext cx="466725" cy="2762249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8</xdr:col>
      <xdr:colOff>19050</xdr:colOff>
      <xdr:row>53</xdr:row>
      <xdr:rowOff>19050</xdr:rowOff>
    </xdr:from>
    <xdr:to>
      <xdr:col>8</xdr:col>
      <xdr:colOff>466725</xdr:colOff>
      <xdr:row>63</xdr:row>
      <xdr:rowOff>276225</xdr:rowOff>
    </xdr:to>
    <xdr:sp macro="" textlink="">
      <xdr:nvSpPr>
        <xdr:cNvPr id="3" name="วงเล็บปีกกาขวา 2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SpPr/>
      </xdr:nvSpPr>
      <xdr:spPr>
        <a:xfrm>
          <a:off x="6524625" y="14868525"/>
          <a:ext cx="447675" cy="31146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446485</xdr:colOff>
      <xdr:row>21</xdr:row>
      <xdr:rowOff>99219</xdr:rowOff>
    </xdr:from>
    <xdr:to>
      <xdr:col>8</xdr:col>
      <xdr:colOff>803672</xdr:colOff>
      <xdr:row>29</xdr:row>
      <xdr:rowOff>29766</xdr:rowOff>
    </xdr:to>
    <xdr:sp macro="" textlink="">
      <xdr:nvSpPr>
        <xdr:cNvPr id="2" name="วงเล็บปีกกาขวา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/>
      </xdr:nvSpPr>
      <xdr:spPr>
        <a:xfrm>
          <a:off x="6766719" y="6131719"/>
          <a:ext cx="357187" cy="2232422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8</xdr:col>
      <xdr:colOff>664766</xdr:colOff>
      <xdr:row>23</xdr:row>
      <xdr:rowOff>218281</xdr:rowOff>
    </xdr:from>
    <xdr:to>
      <xdr:col>9</xdr:col>
      <xdr:colOff>79375</xdr:colOff>
      <xdr:row>27</xdr:row>
      <xdr:rowOff>99219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SpPr txBox="1"/>
      </xdr:nvSpPr>
      <xdr:spPr>
        <a:xfrm>
          <a:off x="6746875" y="6826250"/>
          <a:ext cx="625078" cy="1031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/>
            <a:t>ไม่ขยายผิวทาง</a:t>
          </a:r>
        </a:p>
      </xdr:txBody>
    </xdr:sp>
    <xdr:clientData/>
  </xdr:twoCellAnchor>
  <xdr:twoCellAnchor>
    <xdr:from>
      <xdr:col>8</xdr:col>
      <xdr:colOff>69453</xdr:colOff>
      <xdr:row>52</xdr:row>
      <xdr:rowOff>39686</xdr:rowOff>
    </xdr:from>
    <xdr:to>
      <xdr:col>8</xdr:col>
      <xdr:colOff>426640</xdr:colOff>
      <xdr:row>59</xdr:row>
      <xdr:rowOff>257968</xdr:rowOff>
    </xdr:to>
    <xdr:sp macro="" textlink="">
      <xdr:nvSpPr>
        <xdr:cNvPr id="5" name="วงเล็บปีกกาขวา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SpPr/>
      </xdr:nvSpPr>
      <xdr:spPr>
        <a:xfrm>
          <a:off x="5933281" y="14991952"/>
          <a:ext cx="357187" cy="2232422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8</xdr:col>
      <xdr:colOff>426641</xdr:colOff>
      <xdr:row>54</xdr:row>
      <xdr:rowOff>9923</xdr:rowOff>
    </xdr:from>
    <xdr:to>
      <xdr:col>8</xdr:col>
      <xdr:colOff>992188</xdr:colOff>
      <xdr:row>58</xdr:row>
      <xdr:rowOff>138907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1A00-000007000000}"/>
            </a:ext>
          </a:extLst>
        </xdr:cNvPr>
        <xdr:cNvSpPr txBox="1"/>
      </xdr:nvSpPr>
      <xdr:spPr>
        <a:xfrm>
          <a:off x="6290469" y="15537657"/>
          <a:ext cx="565547" cy="12799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/>
            <a:t>บริเวณหน้าแขวง</a:t>
          </a:r>
        </a:p>
        <a:p>
          <a:endParaRPr lang="th-TH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%20&#3629;&#3610;&#3592;.&#3614;&#3632;&#3648;&#3618;&#3634;/&#3591;&#3634;&#3609;&#3621;&#3634;&#3604;&#3618;&#3634;&#3591;/&#3611;&#3619;&#3632;&#3617;&#3634;&#3603;&#3619;&#3634;&#3588;&#3634;&#3606;&#3609;&#3609;&#3621;&#3634;&#3604;&#3618;&#3634;&#359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%20&#3629;&#3610;&#3592;.&#3614;&#3632;&#3648;&#3618;&#3634;/&#3591;&#3634;&#3609;&#3621;&#3634;&#3604;&#3618;&#3634;&#3591;/&#3611;&#3619;&#3632;&#3617;&#3634;&#3603;&#3619;&#3634;&#3588;&#3634;&#3606;&#3609;&#3609;&#3621;&#3634;&#3604;&#3618;&#3634;&#3591;(&#3649;&#3585;&#3657;&#3652;&#3586;&#3609;&#3657;&#3635;&#3617;&#3633;&#3609;35.5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%20&#3629;&#3610;&#3592;.&#3614;&#3632;&#3648;&#3618;&#3634;/&#3650;&#3588;&#3619;&#3591;&#3585;&#3634;&#3619;&#3586;&#3657;&#3629;&#3610;&#3633;&#3597;&#3633;&#3605;&#3636;%202567/&#3619;&#3634;&#3591;&#3619;&#3632;&#3610;&#3634;&#3618;&#3609;&#3657;&#3635;&#3626;&#3609;&#3634;&#3617;&#3585;&#3637;&#3628;&#3634;/&#3619;&#3634;&#3591;&#3619;&#3632;&#3610;&#3634;&#3618;&#3609;&#3657;&#3635;&#3611;&#3619;&#3633;&#3610;&#3605;&#3619;&#3591;&#3591;&#3610;(&#3619;&#3634;&#3588;&#3634;&#3585;&#3621;&#3634;&#3591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3591;&#3634;&#3609;%20&#3629;&#3610;&#3592;.&#3614;&#3632;&#3648;&#3618;&#3634;/&#3650;&#3588;&#3619;&#3591;&#3585;&#3634;&#3619;&#3586;&#3657;&#3629;&#3610;&#3633;&#3597;&#3633;&#3605;&#3636;%202567/&#3606;&#3609;&#3609;%20&#3588;&#3626;&#3621;/&#3611;&#3619;&#3632;&#3617;&#3634;&#3603;&#3585;&#3634;&#3619;%20&#3606;&#3609;&#3609;%20&#3588;&#3626;&#3621;.%20&#3626;&#3634;&#3618;&#3627;&#3609;&#3629;&#3591;&#3586;&#3637;&#3657;&#3648;&#3627;&#3621;&#3655;&#3585;%20&#3610;&#3657;&#3634;&#3609;&#3627;&#3621;&#3656;&#3634;&#3618;%20&#3627;&#3617;&#3641;&#3656;%204%20&#3605;.&#3629;&#3629;&#3618;%20&#3629;.&#3611;&#3591;%20&#3592;.&#3614;&#3632;&#3648;&#3618;&#36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2"/>
      <sheetName val="S3"/>
      <sheetName val="ข้อมูล"/>
      <sheetName val="ปร.4"/>
      <sheetName val="ปร.5"/>
    </sheetNames>
    <sheetDataSet>
      <sheetData sheetId="0"/>
      <sheetData sheetId="1"/>
      <sheetData sheetId="2">
        <row r="10">
          <cell r="Q10">
            <v>0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2"/>
      <sheetName val="S3"/>
      <sheetName val="ข้อมูล"/>
      <sheetName val="ปร.4"/>
      <sheetName val="ปร.5"/>
    </sheetNames>
    <sheetDataSet>
      <sheetData sheetId="0">
        <row r="10">
          <cell r="BT10">
            <v>97.64</v>
          </cell>
        </row>
      </sheetData>
      <sheetData sheetId="1"/>
      <sheetData sheetId="2"/>
      <sheetData sheetId="3">
        <row r="16">
          <cell r="D16">
            <v>0</v>
          </cell>
        </row>
        <row r="19">
          <cell r="D19">
            <v>8000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แบบสรุปราคาค่างานฯ "/>
      <sheetName val="รางระบายน้ำ"/>
      <sheetName val="ท่อ 40"/>
      <sheetName val="factor"/>
      <sheetName val="บ่อพัก 40"/>
      <sheetName val="รายการคำนวณปริมาณวัสดุ"/>
      <sheetName val="รายการคำนวณต้นทุนต่อหน่วย)"/>
      <sheetName val="รางระบายน้ำงาน1เมตร"/>
    </sheetNames>
    <sheetDataSet>
      <sheetData sheetId="0"/>
      <sheetData sheetId="1"/>
      <sheetData sheetId="2"/>
      <sheetData sheetId="3"/>
      <sheetData sheetId="4"/>
      <sheetData sheetId="5"/>
      <sheetData sheetId="6">
        <row r="151">
          <cell r="L151">
            <v>88.006666666666661</v>
          </cell>
        </row>
        <row r="159">
          <cell r="L159">
            <v>54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ข้อมูลราคาวัสดุ"/>
      <sheetName val="ข้อมูลคอนกรีต"/>
      <sheetName val="ไม้แบบ"/>
      <sheetName val="ค่างานต้นทุนต่อหน่วย"/>
      <sheetName val="ปร.6"/>
      <sheetName val="ปร.4.-5"/>
      <sheetName val="factorF"/>
      <sheetName val="FACTOR F"/>
    </sheetNames>
    <sheetDataSet>
      <sheetData sheetId="0">
        <row r="13">
          <cell r="J13">
            <v>30400.66</v>
          </cell>
        </row>
        <row r="14">
          <cell r="E14">
            <v>24219.38</v>
          </cell>
        </row>
        <row r="15">
          <cell r="J15">
            <v>28662.79</v>
          </cell>
        </row>
        <row r="18">
          <cell r="J18">
            <v>41.12</v>
          </cell>
        </row>
        <row r="19">
          <cell r="J19">
            <v>2100</v>
          </cell>
        </row>
        <row r="23">
          <cell r="J23">
            <v>543.62</v>
          </cell>
        </row>
        <row r="24">
          <cell r="E24">
            <v>543.62</v>
          </cell>
          <cell r="J24">
            <v>582.84</v>
          </cell>
        </row>
        <row r="25">
          <cell r="J25">
            <v>15</v>
          </cell>
        </row>
        <row r="29">
          <cell r="J29">
            <v>528.04</v>
          </cell>
        </row>
        <row r="30">
          <cell r="F30">
            <v>0</v>
          </cell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</sheetData>
      <sheetData sheetId="1">
        <row r="21">
          <cell r="K21">
            <v>2007.05</v>
          </cell>
        </row>
        <row r="54">
          <cell r="K54">
            <v>1738.07</v>
          </cell>
          <cell r="M54">
            <v>1623.34</v>
          </cell>
        </row>
      </sheetData>
      <sheetData sheetId="2">
        <row r="12">
          <cell r="I12">
            <v>359.65</v>
          </cell>
        </row>
        <row r="24">
          <cell r="I24">
            <v>316.32</v>
          </cell>
        </row>
      </sheetData>
      <sheetData sheetId="3"/>
      <sheetData sheetId="4"/>
      <sheetData sheetId="5">
        <row r="3">
          <cell r="D3" t="str">
            <v>องค์การบริหารส่วนจังหวัดพะเยา</v>
          </cell>
        </row>
        <row r="4">
          <cell r="D4" t="str">
            <v>ก่อสร้างถนน ค.ส.ล. สายหนองขี้เหล็ก บ้านหล่าย หมู่ที่ 4 ต.ออย อ.ปง จ.พะเยา</v>
          </cell>
        </row>
        <row r="5">
          <cell r="D5" t="str">
            <v xml:space="preserve">ขนาดผิวจราจรกว้าง 4.00 ม. ยาวรวม 198.00 ม. หนา 0.15 ม. หรือมีพื้นที่ไม่น้อยกว่า 792.00 ตร.ม. </v>
          </cell>
        </row>
        <row r="6">
          <cell r="D6" t="str">
            <v>รายละเอียดตามประมาณการและแบบแปลน อบจ.พะเยา</v>
          </cell>
        </row>
        <row r="9">
          <cell r="D9" t="str">
            <v>23 เดือน มิถุนายน 2566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CJ208"/>
  <sheetViews>
    <sheetView topLeftCell="A20" zoomScale="70" zoomScaleNormal="70" workbookViewId="0">
      <pane xSplit="8" topLeftCell="BS1" activePane="topRight" state="frozen"/>
      <selection pane="topRight" activeCell="CA8" sqref="CA8"/>
    </sheetView>
  </sheetViews>
  <sheetFormatPr defaultColWidth="9.140625" defaultRowHeight="18" x14ac:dyDescent="0.3"/>
  <cols>
    <col min="1" max="1" width="4.7109375" style="599" customWidth="1"/>
    <col min="2" max="2" width="10.5703125" style="599" customWidth="1"/>
    <col min="3" max="3" width="9.5703125" style="599" customWidth="1"/>
    <col min="4" max="4" width="10.7109375" style="599" customWidth="1"/>
    <col min="5" max="5" width="11" style="599" customWidth="1"/>
    <col min="6" max="6" width="11.140625" style="599" customWidth="1"/>
    <col min="7" max="7" width="6" style="599" customWidth="1"/>
    <col min="8" max="8" width="29.28515625" style="599" customWidth="1"/>
    <col min="9" max="23" width="9.140625" style="599"/>
    <col min="24" max="29" width="9.140625" style="599" customWidth="1"/>
    <col min="30" max="72" width="9.140625" style="599"/>
    <col min="73" max="73" width="6.5703125" style="599" customWidth="1"/>
    <col min="74" max="74" width="12.140625" style="599" customWidth="1"/>
    <col min="75" max="75" width="14.7109375" style="599" customWidth="1"/>
    <col min="76" max="76" width="14.140625" style="599" customWidth="1"/>
    <col min="77" max="77" width="13.7109375" style="599" bestFit="1" customWidth="1"/>
    <col min="78" max="78" width="35.7109375" style="599" customWidth="1"/>
    <col min="79" max="79" width="10.42578125" style="599" customWidth="1"/>
    <col min="80" max="80" width="10.140625" style="599" customWidth="1"/>
    <col min="81" max="81" width="9.85546875" style="599" customWidth="1"/>
    <col min="82" max="82" width="9.42578125" style="599" customWidth="1"/>
    <col min="83" max="83" width="10.85546875" style="599" customWidth="1"/>
    <col min="84" max="84" width="9.85546875" style="599" customWidth="1"/>
    <col min="85" max="85" width="11.42578125" style="599" bestFit="1" customWidth="1"/>
    <col min="86" max="86" width="13.140625" style="599" customWidth="1"/>
    <col min="87" max="87" width="12.5703125" style="599" customWidth="1"/>
    <col min="88" max="16384" width="9.140625" style="599"/>
  </cols>
  <sheetData>
    <row r="1" spans="2:88" ht="18.75" x14ac:dyDescent="0.3">
      <c r="B1" s="715" t="s">
        <v>1339</v>
      </c>
      <c r="C1" s="716"/>
      <c r="D1" s="717"/>
      <c r="E1" s="718" t="s">
        <v>125</v>
      </c>
      <c r="F1" s="719"/>
      <c r="H1" s="600" t="s">
        <v>81</v>
      </c>
      <c r="I1" s="397" t="s">
        <v>161</v>
      </c>
      <c r="J1" s="397"/>
      <c r="K1" s="601">
        <f>C2</f>
        <v>33.5</v>
      </c>
      <c r="L1" s="397"/>
      <c r="M1" s="397"/>
      <c r="N1" s="397"/>
      <c r="O1" s="397"/>
      <c r="P1" s="397"/>
      <c r="Q1" s="397"/>
      <c r="R1" s="397"/>
      <c r="S1" s="397"/>
      <c r="T1" s="397"/>
      <c r="U1" s="601"/>
      <c r="V1" s="397"/>
      <c r="W1" s="397"/>
      <c r="X1" s="602"/>
      <c r="Y1" s="603"/>
      <c r="Z1" s="602"/>
      <c r="AA1" s="604"/>
      <c r="AB1" s="602"/>
      <c r="AC1" s="602"/>
      <c r="AD1" s="602"/>
      <c r="AE1" s="602"/>
      <c r="AF1" s="602"/>
      <c r="AG1" s="602"/>
      <c r="AH1" s="602"/>
      <c r="AI1" s="602"/>
      <c r="AJ1" s="602"/>
      <c r="AK1" s="602"/>
      <c r="AL1" s="602"/>
      <c r="AM1" s="602"/>
      <c r="BW1" s="605" t="s">
        <v>107</v>
      </c>
      <c r="BX1" s="606"/>
      <c r="BY1" s="606"/>
      <c r="BZ1" s="606"/>
      <c r="CA1" s="606"/>
      <c r="CB1" s="606"/>
      <c r="CC1" s="606"/>
      <c r="CD1" s="606"/>
      <c r="CE1" s="606"/>
    </row>
    <row r="2" spans="2:88" ht="18.75" thickBot="1" x14ac:dyDescent="0.35">
      <c r="B2" s="720" t="s">
        <v>65</v>
      </c>
      <c r="C2" s="721">
        <f>ข้อมูล!F167</f>
        <v>33.5</v>
      </c>
      <c r="D2" s="722" t="s">
        <v>66</v>
      </c>
      <c r="E2" s="723">
        <f>ข้อมูล!F167</f>
        <v>33.5</v>
      </c>
      <c r="F2" s="722" t="s">
        <v>66</v>
      </c>
      <c r="G2" s="601"/>
      <c r="H2" s="607" t="s">
        <v>1</v>
      </c>
      <c r="I2" s="608" t="s">
        <v>25</v>
      </c>
      <c r="J2" s="609">
        <v>15.5</v>
      </c>
      <c r="K2" s="610"/>
      <c r="L2" s="609">
        <v>16.5</v>
      </c>
      <c r="M2" s="610"/>
      <c r="N2" s="609">
        <v>17.5</v>
      </c>
      <c r="O2" s="610"/>
      <c r="P2" s="609">
        <v>18.5</v>
      </c>
      <c r="Q2" s="610"/>
      <c r="R2" s="609">
        <v>19.5</v>
      </c>
      <c r="S2" s="610"/>
      <c r="T2" s="609">
        <v>20.5</v>
      </c>
      <c r="U2" s="610"/>
      <c r="V2" s="609">
        <v>21.5</v>
      </c>
      <c r="W2" s="610"/>
      <c r="X2" s="609">
        <v>22.5</v>
      </c>
      <c r="Y2" s="610"/>
      <c r="Z2" s="609">
        <v>23.5</v>
      </c>
      <c r="AA2" s="610"/>
      <c r="AB2" s="609">
        <v>24.5</v>
      </c>
      <c r="AC2" s="610"/>
      <c r="AD2" s="611">
        <v>25.5</v>
      </c>
      <c r="AE2" s="611"/>
      <c r="AF2" s="609">
        <v>26.5</v>
      </c>
      <c r="AG2" s="610"/>
      <c r="AH2" s="611">
        <v>27.5</v>
      </c>
      <c r="AI2" s="611"/>
      <c r="AJ2" s="609">
        <v>28.5</v>
      </c>
      <c r="AK2" s="610"/>
      <c r="AL2" s="609">
        <v>29.5</v>
      </c>
      <c r="AM2" s="610"/>
      <c r="AN2" s="609">
        <v>30.5</v>
      </c>
      <c r="AO2" s="610"/>
      <c r="AP2" s="609">
        <v>31.5</v>
      </c>
      <c r="AQ2" s="610"/>
      <c r="AR2" s="609">
        <v>32.5</v>
      </c>
      <c r="AS2" s="610"/>
      <c r="AT2" s="609">
        <v>33.5</v>
      </c>
      <c r="AU2" s="612"/>
      <c r="AV2" s="609">
        <v>34.5</v>
      </c>
      <c r="AW2" s="610"/>
      <c r="AX2" s="612">
        <v>35.5</v>
      </c>
      <c r="AY2" s="612"/>
      <c r="AZ2" s="613">
        <v>36.5</v>
      </c>
      <c r="BA2" s="614"/>
      <c r="BB2" s="613">
        <v>37.5</v>
      </c>
      <c r="BC2" s="614"/>
      <c r="BD2" s="613">
        <v>38.5</v>
      </c>
      <c r="BE2" s="614"/>
      <c r="BF2" s="613">
        <v>39.5</v>
      </c>
      <c r="BG2" s="614"/>
      <c r="BH2" s="615">
        <v>21.5</v>
      </c>
      <c r="BI2" s="616"/>
      <c r="BJ2" s="615">
        <v>20.5</v>
      </c>
      <c r="BK2" s="617"/>
      <c r="BL2" s="615">
        <v>19.5</v>
      </c>
      <c r="BM2" s="617"/>
      <c r="BN2" s="615">
        <v>18.5</v>
      </c>
      <c r="BO2" s="617"/>
      <c r="BP2" s="615">
        <v>17.5</v>
      </c>
      <c r="BQ2" s="617"/>
      <c r="BR2" s="618" t="s">
        <v>82</v>
      </c>
      <c r="BS2" s="619"/>
      <c r="BT2" s="620"/>
      <c r="BW2" s="621"/>
      <c r="BX2" s="622" t="s">
        <v>108</v>
      </c>
      <c r="BY2" s="622"/>
      <c r="BZ2" s="622" t="s">
        <v>108</v>
      </c>
      <c r="CA2" s="622"/>
      <c r="CB2" s="622"/>
      <c r="CC2" s="622"/>
      <c r="CD2" s="622"/>
      <c r="CE2" s="622"/>
    </row>
    <row r="3" spans="2:88" x14ac:dyDescent="0.3">
      <c r="B3" s="623" t="s">
        <v>5</v>
      </c>
      <c r="C3" s="624" t="s">
        <v>64</v>
      </c>
      <c r="D3" s="624" t="s">
        <v>64</v>
      </c>
      <c r="E3" s="624" t="s">
        <v>64</v>
      </c>
      <c r="F3" s="624" t="s">
        <v>64</v>
      </c>
      <c r="G3" s="601"/>
      <c r="H3" s="625"/>
      <c r="I3" s="625"/>
      <c r="J3" s="626" t="s">
        <v>83</v>
      </c>
      <c r="K3" s="626" t="s">
        <v>80</v>
      </c>
      <c r="L3" s="626" t="s">
        <v>83</v>
      </c>
      <c r="M3" s="626" t="s">
        <v>80</v>
      </c>
      <c r="N3" s="626" t="s">
        <v>83</v>
      </c>
      <c r="O3" s="626" t="s">
        <v>80</v>
      </c>
      <c r="P3" s="626" t="s">
        <v>83</v>
      </c>
      <c r="Q3" s="626" t="s">
        <v>80</v>
      </c>
      <c r="R3" s="626" t="s">
        <v>83</v>
      </c>
      <c r="S3" s="626" t="s">
        <v>80</v>
      </c>
      <c r="T3" s="626" t="s">
        <v>83</v>
      </c>
      <c r="U3" s="626" t="s">
        <v>80</v>
      </c>
      <c r="V3" s="626" t="s">
        <v>83</v>
      </c>
      <c r="W3" s="626" t="s">
        <v>80</v>
      </c>
      <c r="X3" s="626" t="s">
        <v>83</v>
      </c>
      <c r="Y3" s="626" t="s">
        <v>80</v>
      </c>
      <c r="Z3" s="626" t="s">
        <v>83</v>
      </c>
      <c r="AA3" s="626" t="s">
        <v>80</v>
      </c>
      <c r="AB3" s="626" t="s">
        <v>83</v>
      </c>
      <c r="AC3" s="626" t="s">
        <v>80</v>
      </c>
      <c r="AD3" s="626" t="s">
        <v>83</v>
      </c>
      <c r="AE3" s="626" t="s">
        <v>80</v>
      </c>
      <c r="AF3" s="626" t="s">
        <v>83</v>
      </c>
      <c r="AG3" s="626" t="s">
        <v>80</v>
      </c>
      <c r="AH3" s="626" t="s">
        <v>83</v>
      </c>
      <c r="AI3" s="626" t="s">
        <v>80</v>
      </c>
      <c r="AJ3" s="626" t="s">
        <v>83</v>
      </c>
      <c r="AK3" s="626" t="s">
        <v>80</v>
      </c>
      <c r="AL3" s="626" t="s">
        <v>83</v>
      </c>
      <c r="AM3" s="626" t="s">
        <v>80</v>
      </c>
      <c r="AN3" s="626" t="s">
        <v>83</v>
      </c>
      <c r="AO3" s="626" t="s">
        <v>80</v>
      </c>
      <c r="AP3" s="626" t="s">
        <v>83</v>
      </c>
      <c r="AQ3" s="626" t="s">
        <v>80</v>
      </c>
      <c r="AR3" s="626" t="s">
        <v>83</v>
      </c>
      <c r="AS3" s="626" t="s">
        <v>80</v>
      </c>
      <c r="AT3" s="626" t="s">
        <v>83</v>
      </c>
      <c r="AU3" s="626" t="s">
        <v>80</v>
      </c>
      <c r="AV3" s="626" t="s">
        <v>83</v>
      </c>
      <c r="AW3" s="626" t="s">
        <v>80</v>
      </c>
      <c r="AX3" s="626" t="s">
        <v>83</v>
      </c>
      <c r="AY3" s="626" t="s">
        <v>80</v>
      </c>
      <c r="AZ3" s="627" t="s">
        <v>83</v>
      </c>
      <c r="BA3" s="627" t="s">
        <v>80</v>
      </c>
      <c r="BB3" s="627" t="s">
        <v>83</v>
      </c>
      <c r="BC3" s="627" t="s">
        <v>80</v>
      </c>
      <c r="BD3" s="627" t="s">
        <v>83</v>
      </c>
      <c r="BE3" s="627" t="s">
        <v>80</v>
      </c>
      <c r="BF3" s="627" t="s">
        <v>83</v>
      </c>
      <c r="BG3" s="627" t="s">
        <v>80</v>
      </c>
      <c r="BH3" s="627" t="s">
        <v>83</v>
      </c>
      <c r="BI3" s="627" t="s">
        <v>80</v>
      </c>
      <c r="BJ3" s="627" t="s">
        <v>83</v>
      </c>
      <c r="BK3" s="627" t="s">
        <v>80</v>
      </c>
      <c r="BL3" s="627" t="s">
        <v>83</v>
      </c>
      <c r="BM3" s="627" t="s">
        <v>80</v>
      </c>
      <c r="BN3" s="627" t="s">
        <v>83</v>
      </c>
      <c r="BO3" s="627" t="s">
        <v>80</v>
      </c>
      <c r="BP3" s="627" t="s">
        <v>83</v>
      </c>
      <c r="BQ3" s="627" t="s">
        <v>80</v>
      </c>
      <c r="BR3" s="628" t="s">
        <v>83</v>
      </c>
      <c r="BS3" s="628" t="s">
        <v>80</v>
      </c>
      <c r="BT3" s="629" t="str">
        <f>IF(ข้อมูล!Q14=0,BR3,IF(ข้อมูล!Q14=1,BS3,IF(ข้อมูล!Q14=2,BS3,)))</f>
        <v>ปกติ</v>
      </c>
      <c r="BW3" s="621"/>
      <c r="BX3" s="622" t="s">
        <v>68</v>
      </c>
      <c r="BY3" s="622"/>
      <c r="BZ3" s="622" t="s">
        <v>68</v>
      </c>
      <c r="CA3" s="622">
        <v>6</v>
      </c>
      <c r="CB3" s="622" t="s">
        <v>69</v>
      </c>
      <c r="CC3" s="622"/>
      <c r="CD3" s="622"/>
      <c r="CE3" s="622"/>
    </row>
    <row r="4" spans="2:88" ht="18.75" thickBot="1" x14ac:dyDescent="0.35">
      <c r="B4" s="630" t="s">
        <v>44</v>
      </c>
      <c r="C4" s="631" t="s">
        <v>9</v>
      </c>
      <c r="D4" s="631" t="s">
        <v>4</v>
      </c>
      <c r="E4" s="631" t="s">
        <v>9</v>
      </c>
      <c r="F4" s="631" t="s">
        <v>4</v>
      </c>
      <c r="G4" s="632"/>
      <c r="H4" s="633" t="s">
        <v>84</v>
      </c>
      <c r="I4" s="634"/>
      <c r="J4" s="635"/>
      <c r="K4" s="635"/>
      <c r="L4" s="635"/>
      <c r="M4" s="635"/>
      <c r="N4" s="635"/>
      <c r="O4" s="635"/>
      <c r="P4" s="635"/>
      <c r="Q4" s="635"/>
      <c r="R4" s="635"/>
      <c r="S4" s="635"/>
      <c r="T4" s="635"/>
      <c r="U4" s="635"/>
      <c r="V4" s="635"/>
      <c r="W4" s="635"/>
      <c r="X4" s="636"/>
      <c r="Y4" s="636"/>
      <c r="Z4" s="636"/>
      <c r="AA4" s="636"/>
      <c r="AB4" s="636"/>
      <c r="AC4" s="636"/>
      <c r="AD4" s="636"/>
      <c r="AE4" s="636"/>
      <c r="AF4" s="636"/>
      <c r="AG4" s="636"/>
      <c r="AH4" s="636"/>
      <c r="AI4" s="636"/>
      <c r="AJ4" s="636"/>
      <c r="AK4" s="636"/>
      <c r="AL4" s="636"/>
      <c r="AM4" s="636"/>
      <c r="AN4" s="636"/>
      <c r="AO4" s="636"/>
      <c r="AP4" s="636"/>
      <c r="AQ4" s="636"/>
      <c r="AR4" s="636"/>
      <c r="AS4" s="636"/>
      <c r="AT4" s="636"/>
      <c r="AU4" s="636"/>
      <c r="AV4" s="636"/>
      <c r="AW4" s="636"/>
      <c r="AX4" s="636"/>
      <c r="AY4" s="636"/>
      <c r="AZ4" s="637"/>
      <c r="BA4" s="637"/>
      <c r="BB4" s="637"/>
      <c r="BC4" s="637"/>
      <c r="BD4" s="637"/>
      <c r="BE4" s="637"/>
      <c r="BF4" s="637"/>
      <c r="BG4" s="637"/>
      <c r="BH4" s="637"/>
      <c r="BI4" s="637"/>
      <c r="BJ4" s="637"/>
      <c r="BK4" s="637"/>
      <c r="BL4" s="637"/>
      <c r="BM4" s="637"/>
      <c r="BN4" s="637"/>
      <c r="BO4" s="637"/>
      <c r="BP4" s="637"/>
      <c r="BQ4" s="637"/>
      <c r="BR4" s="638"/>
      <c r="BS4" s="638"/>
      <c r="BT4" s="637"/>
      <c r="BW4" s="621"/>
      <c r="BX4" s="622" t="s">
        <v>71</v>
      </c>
      <c r="BY4" s="622"/>
      <c r="BZ4" s="622" t="s">
        <v>71</v>
      </c>
      <c r="CA4" s="622">
        <v>0</v>
      </c>
      <c r="CB4" s="622" t="s">
        <v>69</v>
      </c>
      <c r="CC4" s="622"/>
      <c r="CD4" s="622"/>
      <c r="CE4" s="622"/>
    </row>
    <row r="5" spans="2:88" ht="18.75" thickBot="1" x14ac:dyDescent="0.35">
      <c r="B5" s="639">
        <v>1</v>
      </c>
      <c r="C5" s="640">
        <f>IF($C$2=15.5,'S3'!A5,IF($C$2=16.5,'S3'!B5,IF($C$2=17.5,'S3'!C5,IF($C$2=18.5,'S3'!D5,IF($C$2=19.5,'S3'!E5,IF($C$2=20.5,'S3'!F5,IF($C$2=21.5,'S3'!G5,IF($C$2=22.5,'S3'!H5,IF($C$2=23.5,'S3'!I5,IF($C$2=24.5,'S3'!J5,IF($C$2=25.5,'S3'!K5,IF($C$2=26.5,'S3'!L5,IF($C$2=27.5,'S3'!M5,IF($C$2=28.5,'S3'!N5,IF($C$2=29.5,'S3'!O5,IF($C$2=30.5,'S3'!P5,IF($C$2=31.5,'S3'!Q5,IF($C$2=32.5,'S3'!R5,IF($C$2=33.5,'S3'!S5,IF($C$2=34.5,'S3'!T5,IF($C$2=35.5,'S3'!U5)))))))))))))))))))))</f>
        <v>8.25</v>
      </c>
      <c r="D5" s="640">
        <f>ROUND(C5*1.4,2)</f>
        <v>11.55</v>
      </c>
      <c r="E5" s="641">
        <f>IF($E$2=15.5,'S3'!AF5,IF($E$2=16.5,'S3'!AG5,IF($E$2=17.5,'S3'!AH5,IF($E$2=18.5,'S3'!AI5,IF($E$2=19.5,'S3'!AJ5,IF($E$2=20.5,'S3'!AK5,IF($E$2=21.5,'S3'!AL5,IF($E$2=22.5,'S3'!AM5,IF($E$2=23.5,'S3'!AN5,IF($E$2=24.5,'S3'!AO5,IF($E$2=25.5,'S3'!AP5,IF($E$2=26.5,'S3'!AQ5,IF($E$2=27.5,'S3'!AR5,IF($E$2=28.5,'S3'!AS5,IF($E$2=29.5,'S3'!AT5,IF($E$2=30.5,'S3'!AU5,IF($E$2=31.5,'S3'!AV5,IF($E$2=32.5,'S3'!AW5,IF($E$2=33.5,'S3'!AX5,IF($E$2=34.5,'S3'!AY5,IF($E$2=35.5,'S3'!AZ5)))))))))))))))))))))</f>
        <v>4.58</v>
      </c>
      <c r="F5" s="640">
        <f>ROUND(E5*1.4,2)</f>
        <v>6.41</v>
      </c>
      <c r="H5" s="634" t="s">
        <v>85</v>
      </c>
      <c r="I5" s="642" t="s">
        <v>86</v>
      </c>
      <c r="J5" s="635">
        <v>27.52</v>
      </c>
      <c r="K5" s="635">
        <v>29.15</v>
      </c>
      <c r="L5" s="635">
        <v>27.82</v>
      </c>
      <c r="M5" s="635">
        <v>29.45</v>
      </c>
      <c r="N5" s="635">
        <v>28.13</v>
      </c>
      <c r="O5" s="635">
        <v>29.76</v>
      </c>
      <c r="P5" s="635">
        <v>28.43</v>
      </c>
      <c r="Q5" s="635">
        <v>30.06</v>
      </c>
      <c r="R5" s="635">
        <v>28.73</v>
      </c>
      <c r="S5" s="635">
        <v>30.36</v>
      </c>
      <c r="T5" s="635">
        <v>29.04</v>
      </c>
      <c r="U5" s="635">
        <v>30.67</v>
      </c>
      <c r="V5" s="635">
        <v>29.34</v>
      </c>
      <c r="W5" s="635">
        <v>30.97</v>
      </c>
      <c r="X5" s="643">
        <v>29.64</v>
      </c>
      <c r="Y5" s="643">
        <v>31.27</v>
      </c>
      <c r="Z5" s="643">
        <v>29.95</v>
      </c>
      <c r="AA5" s="643">
        <v>31.58</v>
      </c>
      <c r="AB5" s="643">
        <v>30.25</v>
      </c>
      <c r="AC5" s="643">
        <v>31.88</v>
      </c>
      <c r="AD5" s="643">
        <v>30.56</v>
      </c>
      <c r="AE5" s="643">
        <v>32.19</v>
      </c>
      <c r="AF5" s="643">
        <v>30.86</v>
      </c>
      <c r="AG5" s="643">
        <v>32.49</v>
      </c>
      <c r="AH5" s="643">
        <v>31.16</v>
      </c>
      <c r="AI5" s="643">
        <v>32.79</v>
      </c>
      <c r="AJ5" s="643">
        <v>31.47</v>
      </c>
      <c r="AK5" s="643">
        <v>33.1</v>
      </c>
      <c r="AL5" s="643">
        <v>31.77</v>
      </c>
      <c r="AM5" s="643">
        <v>33.4</v>
      </c>
      <c r="AN5" s="643">
        <v>32.07</v>
      </c>
      <c r="AO5" s="643">
        <v>33.700000000000003</v>
      </c>
      <c r="AP5" s="643">
        <v>32.380000000000003</v>
      </c>
      <c r="AQ5" s="643">
        <v>34.01</v>
      </c>
      <c r="AR5" s="644">
        <v>32.68</v>
      </c>
      <c r="AS5" s="644">
        <v>34.31</v>
      </c>
      <c r="AT5" s="644">
        <v>32.99</v>
      </c>
      <c r="AU5" s="644">
        <v>34.619999999999997</v>
      </c>
      <c r="AV5" s="644">
        <v>33.29</v>
      </c>
      <c r="AW5" s="644">
        <v>34.92</v>
      </c>
      <c r="AX5" s="644">
        <v>33.590000000000003</v>
      </c>
      <c r="AY5" s="644">
        <v>35.22</v>
      </c>
      <c r="AZ5" s="645">
        <v>30.7</v>
      </c>
      <c r="BA5" s="645">
        <v>32.29</v>
      </c>
      <c r="BB5" s="645">
        <v>31.01</v>
      </c>
      <c r="BC5" s="645">
        <v>32.6</v>
      </c>
      <c r="BD5" s="645">
        <v>31.31</v>
      </c>
      <c r="BE5" s="645">
        <v>32.9</v>
      </c>
      <c r="BF5" s="645">
        <v>31.61</v>
      </c>
      <c r="BG5" s="645">
        <v>33.21</v>
      </c>
      <c r="BH5" s="645">
        <v>26.15</v>
      </c>
      <c r="BI5" s="645">
        <v>27.74</v>
      </c>
      <c r="BJ5" s="645">
        <v>25.85</v>
      </c>
      <c r="BK5" s="645">
        <v>27.44</v>
      </c>
      <c r="BL5" s="645">
        <v>25.54</v>
      </c>
      <c r="BM5" s="645">
        <v>27.13</v>
      </c>
      <c r="BN5" s="645">
        <v>25.24</v>
      </c>
      <c r="BO5" s="645">
        <v>26.83</v>
      </c>
      <c r="BP5" s="645">
        <v>24.93</v>
      </c>
      <c r="BQ5" s="645">
        <v>26.52</v>
      </c>
      <c r="BR5" s="646">
        <f>IF($C$2=15.5,J5,IF($C$2=16.5,L5,IF($C$2=17.5,N5,IF($C$2=18.5,P5,IF($C$2=19.5,R5,IF($C$2=20.5,T5,IF($C$2=21.5,V5,IF($C$2=22.5,X5,IF($C$2=23.5,Z5,IF($C$2=24.5,AB5,IF($C$2=25.5,AD5,IF($C$2=26.5,AF5,IF($C$2=27.5,AH5,IF($C$2=28.5,AJ5,IF($C$2=29.5,AL5,IF($C$2=30.5,AN5,IF($C$2=31.5,AP5,IF($C$2=32.5,AR5,IF($C$2=33.5,AT5,IF($C$2=34.5,AV5,IF($C$2=35.5,AY5)))))))))))))))))))))</f>
        <v>32.99</v>
      </c>
      <c r="BS5" s="646">
        <f t="shared" ref="BS5:BS7" si="0">IF($C$2=15.5,K5,IF($C$2=16.5,M5,IF($C$2=17.5,O5,IF($C$2=18.5,Q5,IF($C$2=19.5,S5,IF($C$2=20.5,U5,IF($C$2=21.5,W5,IF($C$2=22.5,Y5,IF($C$2=23.5,AA5,IF($C$2=24.5,AC5,IF($C$2=25.5,AE5,IF($C$2=26.5,AG5,IF($C$2=27.5,AI5,IF($C$2=28.5,AK5,IF($C$2=29.5,AM5,IF($C$2=30.5,AO5,IF($C$2=31.5,AQ5,IF($C$2=32.5,AS5,IF($C$2=33.5,AU5)))))))))))))))))))</f>
        <v>34.619999999999997</v>
      </c>
      <c r="BT5" s="647">
        <f>IF(ข้อมูล!$Q$14=0,BR5,IF(ข้อมูล!$Q$14=1,BS5,IF(ข้อมูล!$Q$14=2,BS5,)))</f>
        <v>32.99</v>
      </c>
      <c r="BW5" s="621"/>
      <c r="BX5" s="622" t="s">
        <v>73</v>
      </c>
      <c r="BY5" s="622"/>
      <c r="BZ5" s="622" t="s">
        <v>73</v>
      </c>
      <c r="CA5" s="622">
        <v>0</v>
      </c>
      <c r="CB5" s="622" t="s">
        <v>69</v>
      </c>
      <c r="CC5" s="622"/>
      <c r="CD5" s="622"/>
      <c r="CE5" s="622"/>
    </row>
    <row r="6" spans="2:88" ht="18.75" thickBot="1" x14ac:dyDescent="0.35">
      <c r="B6" s="639">
        <v>2</v>
      </c>
      <c r="C6" s="640">
        <f>IF($C$2=15.5,'S3'!A6,IF($C$2=16.5,'S3'!B6,IF($C$2=17.5,'S3'!C6,IF($C$2=18.5,'S3'!D6,IF($C$2=19.5,'S3'!E6,IF($C$2=20.5,'S3'!F6,IF($C$2=21.5,'S3'!G6,IF($C$2=22.5,'S3'!H6,IF($C$2=23.5,'S3'!I6,IF($C$2=24.5,'S3'!J6,IF($C$2=25.5,'S3'!K6,IF($C$2=26.5,'S3'!L6,IF($C$2=27.5,'S3'!M6,IF($C$2=28.5,'S3'!N6,IF($C$2=29.5,'S3'!O6,IF($C$2=30.5,'S3'!P6,IF($C$2=31.5,'S3'!Q6,IF($C$2=32.5,'S3'!R6,IF($C$2=33.5,'S3'!S6,IF($C$2=34.5,'S3'!T6,IF($C$2=35.5,'S3'!U6)))))))))))))))))))))</f>
        <v>10.19</v>
      </c>
      <c r="D6" s="641">
        <f>ROUND(C6*1.4,2)</f>
        <v>14.27</v>
      </c>
      <c r="E6" s="641">
        <f>IF($E$2=15.5,'S3'!AF6,IF($E$2=16.5,'S3'!AG6,IF($E$2=17.5,'S3'!AH6,IF($E$2=18.5,'S3'!AI6,IF($E$2=19.5,'S3'!AJ6,IF($E$2=20.5,'S3'!AK6,IF($E$2=21.5,'S3'!AL6,IF($E$2=22.5,'S3'!AM6,IF($E$2=23.5,'S3'!AN6,IF($E$2=24.5,'S3'!AO6,IF($E$2=25.5,'S3'!AP6,IF($E$2=26.5,'S3'!AQ6,IF($E$2=27.5,'S3'!AR6,IF($E$2=28.5,'S3'!AS6,IF($E$2=29.5,'S3'!AT6,IF($E$2=30.5,'S3'!AU6,IF($E$2=31.5,'S3'!AV6,IF($E$2=32.5,'S3'!AW6,IF($E$2=33.5,'S3'!AX6,IF($E$2=34.5,'S3'!AY6,IF($E$2=35.5,'S3'!AZ6)))))))))))))))))))))</f>
        <v>6.04</v>
      </c>
      <c r="F6" s="641">
        <f t="shared" ref="F6:F69" si="1">ROUND(E6*1.4,2)</f>
        <v>8.4600000000000009</v>
      </c>
      <c r="H6" s="634" t="s">
        <v>87</v>
      </c>
      <c r="I6" s="642" t="s">
        <v>88</v>
      </c>
      <c r="J6" s="635">
        <v>8.51</v>
      </c>
      <c r="K6" s="635">
        <v>8.8800000000000008</v>
      </c>
      <c r="L6" s="635">
        <v>8.3000000000000007</v>
      </c>
      <c r="M6" s="635">
        <v>8.9700000000000006</v>
      </c>
      <c r="N6" s="635">
        <v>8.68</v>
      </c>
      <c r="O6" s="635">
        <v>9.0500000000000007</v>
      </c>
      <c r="P6" s="635">
        <v>8.76</v>
      </c>
      <c r="Q6" s="635">
        <v>9.1300000000000008</v>
      </c>
      <c r="R6" s="635">
        <v>8.85</v>
      </c>
      <c r="S6" s="635">
        <v>9.2200000000000006</v>
      </c>
      <c r="T6" s="635">
        <v>8.93</v>
      </c>
      <c r="U6" s="635">
        <v>9.3000000000000007</v>
      </c>
      <c r="V6" s="635">
        <v>9.01</v>
      </c>
      <c r="W6" s="635">
        <v>9.3800000000000008</v>
      </c>
      <c r="X6" s="643">
        <v>9.09</v>
      </c>
      <c r="Y6" s="643">
        <v>9.4600000000000009</v>
      </c>
      <c r="Z6" s="643">
        <v>9.18</v>
      </c>
      <c r="AA6" s="643">
        <v>9.5500000000000007</v>
      </c>
      <c r="AB6" s="643">
        <v>9.26</v>
      </c>
      <c r="AC6" s="643">
        <v>9.6300000000000008</v>
      </c>
      <c r="AD6" s="643">
        <v>9.34</v>
      </c>
      <c r="AE6" s="643">
        <v>9.7100000000000009</v>
      </c>
      <c r="AF6" s="643">
        <v>9.42</v>
      </c>
      <c r="AG6" s="643">
        <v>9.2899999999999991</v>
      </c>
      <c r="AH6" s="643">
        <v>9.51</v>
      </c>
      <c r="AI6" s="643">
        <v>9.8800000000000008</v>
      </c>
      <c r="AJ6" s="643">
        <v>9.59</v>
      </c>
      <c r="AK6" s="643">
        <v>9.9600000000000009</v>
      </c>
      <c r="AL6" s="643">
        <v>9.67</v>
      </c>
      <c r="AM6" s="643">
        <v>10.039999999999999</v>
      </c>
      <c r="AN6" s="643">
        <v>9.76</v>
      </c>
      <c r="AO6" s="643">
        <v>10.130000000000001</v>
      </c>
      <c r="AP6" s="643">
        <v>9.84</v>
      </c>
      <c r="AQ6" s="643">
        <v>10.210000000000001</v>
      </c>
      <c r="AR6" s="644">
        <v>9.92</v>
      </c>
      <c r="AS6" s="644">
        <v>10.29</v>
      </c>
      <c r="AT6" s="644">
        <v>10</v>
      </c>
      <c r="AU6" s="644">
        <v>10.37</v>
      </c>
      <c r="AV6" s="644">
        <v>10.09</v>
      </c>
      <c r="AW6" s="644">
        <v>10.46</v>
      </c>
      <c r="AX6" s="644">
        <v>10.17</v>
      </c>
      <c r="AY6" s="644">
        <v>10.54</v>
      </c>
      <c r="AZ6" s="645">
        <v>8.15</v>
      </c>
      <c r="BA6" s="645">
        <v>8.4</v>
      </c>
      <c r="BB6" s="645">
        <v>8.23</v>
      </c>
      <c r="BC6" s="645">
        <v>8.48</v>
      </c>
      <c r="BD6" s="645">
        <v>8.31</v>
      </c>
      <c r="BE6" s="645">
        <v>8.57</v>
      </c>
      <c r="BF6" s="645">
        <v>8.4</v>
      </c>
      <c r="BG6" s="645">
        <v>8.65</v>
      </c>
      <c r="BH6" s="645">
        <v>6.91</v>
      </c>
      <c r="BI6" s="645">
        <v>7.16</v>
      </c>
      <c r="BJ6" s="645">
        <v>6.82</v>
      </c>
      <c r="BK6" s="645">
        <v>7.08</v>
      </c>
      <c r="BL6" s="645">
        <v>6.74</v>
      </c>
      <c r="BM6" s="645">
        <v>6.99</v>
      </c>
      <c r="BN6" s="645">
        <v>6.66</v>
      </c>
      <c r="BO6" s="645">
        <v>6.91</v>
      </c>
      <c r="BP6" s="645">
        <v>6.57</v>
      </c>
      <c r="BQ6" s="645">
        <v>6.83</v>
      </c>
      <c r="BR6" s="646">
        <f t="shared" ref="BR6:BR16" si="2">IF($C$2=15.5,J6,IF($C$2=16.5,L6,IF($C$2=17.5,N6,IF($C$2=18.5,P6,IF($C$2=19.5,R6,IF($C$2=20.5,T6,IF($C$2=21.5,V6,IF($C$2=22.5,X6,IF($C$2=23.5,Z6,IF($C$2=24.5,AB6,IF($C$2=25.5,AD6,IF($C$2=26.5,AF6,IF($C$2=27.5,AH6,IF($C$2=28.5,AJ6,IF($C$2=29.5,AL6,IF($C$2=30.5,AN6,IF($C$2=31.5,AP6,IF($C$2=32.5,AR6,IF($C$2=33.5,AT6,IF($C$2=34.5,AV6,IF($C$2=35.5,AY6)))))))))))))))))))))</f>
        <v>10</v>
      </c>
      <c r="BS6" s="646">
        <f t="shared" si="0"/>
        <v>10.37</v>
      </c>
      <c r="BT6" s="647">
        <f>IF(ข้อมูล!$Q$14=0,BR6,IF(ข้อมูล!$Q$14=1,BS6,IF(ข้อมูล!$Q$14=2,BS6,)))</f>
        <v>10</v>
      </c>
      <c r="BW6" s="621"/>
      <c r="BX6" s="622" t="s">
        <v>75</v>
      </c>
      <c r="BY6" s="622"/>
      <c r="BZ6" s="622" t="s">
        <v>75</v>
      </c>
      <c r="CA6" s="622">
        <f>[1]ข้อมูล!Q10</f>
        <v>0</v>
      </c>
      <c r="CB6" s="622" t="s">
        <v>69</v>
      </c>
      <c r="CC6" s="622"/>
      <c r="CD6" s="622"/>
      <c r="CE6" s="622"/>
    </row>
    <row r="7" spans="2:88" ht="19.5" thickBot="1" x14ac:dyDescent="0.35">
      <c r="B7" s="639">
        <v>3</v>
      </c>
      <c r="C7" s="640">
        <f>IF($C$2=15.5,'S3'!A7,IF($C$2=16.5,'S3'!B7,IF($C$2=17.5,'S3'!C7,IF($C$2=18.5,'S3'!D7,IF($C$2=19.5,'S3'!E7,IF($C$2=20.5,'S3'!F7,IF($C$2=21.5,'S3'!G7,IF($C$2=22.5,'S3'!H7,IF($C$2=23.5,'S3'!I7,IF($C$2=24.5,'S3'!J7,IF($C$2=25.5,'S3'!K7,IF($C$2=26.5,'S3'!L7,IF($C$2=27.5,'S3'!M7,IF($C$2=28.5,'S3'!N7,IF($C$2=29.5,'S3'!O7,IF($C$2=30.5,'S3'!P7,IF($C$2=31.5,'S3'!Q7,IF($C$2=32.5,'S3'!R7,IF($C$2=33.5,'S3'!S7,IF($C$2=34.5,'S3'!T7,IF($C$2=35.5,'S3'!U7)))))))))))))))))))))</f>
        <v>12.13</v>
      </c>
      <c r="D7" s="641">
        <f t="shared" ref="D7:D70" si="3">ROUND(C7*1.4,2)</f>
        <v>16.98</v>
      </c>
      <c r="E7" s="641">
        <f>IF($E$2=15.5,'S3'!AF7,IF($E$2=16.5,'S3'!AG7,IF($E$2=17.5,'S3'!AH7,IF($E$2=18.5,'S3'!AI7,IF($E$2=19.5,'S3'!AJ7,IF($E$2=20.5,'S3'!AK7,IF($E$2=21.5,'S3'!AL7,IF($E$2=22.5,'S3'!AM7,IF($E$2=23.5,'S3'!AN7,IF($E$2=24.5,'S3'!AO7,IF($E$2=25.5,'S3'!AP7,IF($E$2=26.5,'S3'!AQ7,IF($E$2=27.5,'S3'!AR7,IF($E$2=28.5,'S3'!AS7,IF($E$2=29.5,'S3'!AT7,IF($E$2=30.5,'S3'!AU7,IF($E$2=31.5,'S3'!AV7,IF($E$2=32.5,'S3'!AW7,IF($E$2=33.5,'S3'!AX7,IF($E$2=34.5,'S3'!AY7,IF($E$2=35.5,'S3'!AZ7)))))))))))))))))))))</f>
        <v>7.05</v>
      </c>
      <c r="F7" s="641">
        <f t="shared" si="1"/>
        <v>9.8699999999999992</v>
      </c>
      <c r="H7" s="634" t="s">
        <v>89</v>
      </c>
      <c r="I7" s="642" t="s">
        <v>88</v>
      </c>
      <c r="J7" s="635">
        <v>47.01</v>
      </c>
      <c r="K7" s="635">
        <v>50.25</v>
      </c>
      <c r="L7" s="635">
        <v>47.55</v>
      </c>
      <c r="M7" s="635">
        <v>50.79</v>
      </c>
      <c r="N7" s="635">
        <v>48.09</v>
      </c>
      <c r="O7" s="635">
        <v>51.33</v>
      </c>
      <c r="P7" s="635">
        <v>48.63</v>
      </c>
      <c r="Q7" s="635">
        <v>51.87</v>
      </c>
      <c r="R7" s="635">
        <v>49.17</v>
      </c>
      <c r="S7" s="635">
        <v>52.41</v>
      </c>
      <c r="T7" s="635">
        <v>49.71</v>
      </c>
      <c r="U7" s="635">
        <v>52.95</v>
      </c>
      <c r="V7" s="635">
        <v>50.25</v>
      </c>
      <c r="W7" s="635">
        <v>53.49</v>
      </c>
      <c r="X7" s="643">
        <v>50.8</v>
      </c>
      <c r="Y7" s="643">
        <v>54.04</v>
      </c>
      <c r="Z7" s="643">
        <v>51.34</v>
      </c>
      <c r="AA7" s="643">
        <v>54.58</v>
      </c>
      <c r="AB7" s="643">
        <v>51.88</v>
      </c>
      <c r="AC7" s="643">
        <v>55.12</v>
      </c>
      <c r="AD7" s="643">
        <v>52.42</v>
      </c>
      <c r="AE7" s="643">
        <v>55.66</v>
      </c>
      <c r="AF7" s="643">
        <v>52.96</v>
      </c>
      <c r="AG7" s="643">
        <v>56.2</v>
      </c>
      <c r="AH7" s="643">
        <v>53.5</v>
      </c>
      <c r="AI7" s="643">
        <v>56.74</v>
      </c>
      <c r="AJ7" s="643">
        <v>54.04</v>
      </c>
      <c r="AK7" s="643">
        <v>57.28</v>
      </c>
      <c r="AL7" s="643">
        <v>54.58</v>
      </c>
      <c r="AM7" s="643">
        <v>57.82</v>
      </c>
      <c r="AN7" s="643">
        <v>55.12</v>
      </c>
      <c r="AO7" s="643">
        <v>58.36</v>
      </c>
      <c r="AP7" s="643">
        <v>55.66</v>
      </c>
      <c r="AQ7" s="643">
        <v>58.9</v>
      </c>
      <c r="AR7" s="644">
        <v>56.21</v>
      </c>
      <c r="AS7" s="644">
        <v>59.45</v>
      </c>
      <c r="AT7" s="644">
        <v>56.75</v>
      </c>
      <c r="AU7" s="644">
        <v>59.99</v>
      </c>
      <c r="AV7" s="644">
        <v>57.29</v>
      </c>
      <c r="AW7" s="644">
        <v>60.53</v>
      </c>
      <c r="AX7" s="644">
        <v>57.83</v>
      </c>
      <c r="AY7" s="644">
        <v>61.07</v>
      </c>
      <c r="AZ7" s="645">
        <v>46.98</v>
      </c>
      <c r="BA7" s="645">
        <v>49.35</v>
      </c>
      <c r="BB7" s="645">
        <v>47.52</v>
      </c>
      <c r="BC7" s="645">
        <v>49.89</v>
      </c>
      <c r="BD7" s="645">
        <v>48.06</v>
      </c>
      <c r="BE7" s="645">
        <v>50.43</v>
      </c>
      <c r="BF7" s="645">
        <v>48.6</v>
      </c>
      <c r="BG7" s="645">
        <v>50.97</v>
      </c>
      <c r="BH7" s="645">
        <v>38.86</v>
      </c>
      <c r="BI7" s="645">
        <v>41.24</v>
      </c>
      <c r="BJ7" s="645">
        <v>38.32</v>
      </c>
      <c r="BK7" s="645">
        <v>40.700000000000003</v>
      </c>
      <c r="BL7" s="645">
        <v>37.78</v>
      </c>
      <c r="BM7" s="645">
        <v>40.15</v>
      </c>
      <c r="BN7" s="645">
        <v>37.24</v>
      </c>
      <c r="BO7" s="645">
        <v>39.61</v>
      </c>
      <c r="BP7" s="645">
        <v>36.700000000000003</v>
      </c>
      <c r="BQ7" s="645">
        <v>39.07</v>
      </c>
      <c r="BR7" s="646">
        <f t="shared" si="2"/>
        <v>56.75</v>
      </c>
      <c r="BS7" s="646">
        <f t="shared" si="0"/>
        <v>59.99</v>
      </c>
      <c r="BT7" s="647">
        <f>IF(ข้อมูล!$Q$14=0,BR7,IF(ข้อมูล!$Q$14=1,BS7,IF(ข้อมูล!$Q$14=2,BS7,)))</f>
        <v>56.75</v>
      </c>
      <c r="BW7" s="621"/>
      <c r="BX7" s="495" t="s">
        <v>109</v>
      </c>
      <c r="BY7" s="171"/>
      <c r="BZ7" s="495" t="s">
        <v>109</v>
      </c>
      <c r="CA7" s="599">
        <v>3</v>
      </c>
      <c r="CB7" s="495" t="s">
        <v>110</v>
      </c>
      <c r="CC7" s="622"/>
      <c r="CD7" s="622"/>
      <c r="CE7" s="622"/>
    </row>
    <row r="8" spans="2:88" ht="18.75" thickBot="1" x14ac:dyDescent="0.35">
      <c r="B8" s="639">
        <v>4</v>
      </c>
      <c r="C8" s="640">
        <f>IF($C$2=15.5,'S3'!A8,IF($C$2=16.5,'S3'!B8,IF($C$2=17.5,'S3'!C8,IF($C$2=18.5,'S3'!D8,IF($C$2=19.5,'S3'!E8,IF($C$2=20.5,'S3'!F8,IF($C$2=21.5,'S3'!G8,IF($C$2=22.5,'S3'!H8,IF($C$2=23.5,'S3'!I8,IF($C$2=24.5,'S3'!J8,IF($C$2=25.5,'S3'!K8,IF($C$2=26.5,'S3'!L8,IF($C$2=27.5,'S3'!M8,IF($C$2=28.5,'S3'!N8,IF($C$2=29.5,'S3'!O8,IF($C$2=30.5,'S3'!P8,IF($C$2=31.5,'S3'!Q8,IF($C$2=32.5,'S3'!R8,IF($C$2=33.5,'S3'!S8,IF($C$2=34.5,'S3'!T8,IF($C$2=35.5,'S3'!U8)))))))))))))))))))))</f>
        <v>14.08</v>
      </c>
      <c r="D8" s="641">
        <f t="shared" si="3"/>
        <v>19.71</v>
      </c>
      <c r="E8" s="641">
        <f>IF($E$2=15.5,'S3'!AF8,IF($E$2=16.5,'S3'!AG8,IF($E$2=17.5,'S3'!AH8,IF($E$2=18.5,'S3'!AI8,IF($E$2=19.5,'S3'!AJ8,IF($E$2=20.5,'S3'!AK8,IF($E$2=21.5,'S3'!AL8,IF($E$2=22.5,'S3'!AM8,IF($E$2=23.5,'S3'!AN8,IF($E$2=24.5,'S3'!AO8,IF($E$2=25.5,'S3'!AP8,IF($E$2=26.5,'S3'!AQ8,IF($E$2=27.5,'S3'!AR8,IF($E$2=28.5,'S3'!AS8,IF($E$2=29.5,'S3'!AT8,IF($E$2=30.5,'S3'!AU8,IF($E$2=31.5,'S3'!AV8,IF($E$2=32.5,'S3'!AW8,IF($E$2=33.5,'S3'!AX8,IF($E$2=34.5,'S3'!AY8,IF($E$2=35.5,'S3'!AZ8)))))))))))))))))))))</f>
        <v>8.9600000000000009</v>
      </c>
      <c r="F8" s="641">
        <f t="shared" si="1"/>
        <v>12.54</v>
      </c>
      <c r="H8" s="633" t="s">
        <v>90</v>
      </c>
      <c r="I8" s="648"/>
      <c r="J8" s="635"/>
      <c r="K8" s="635"/>
      <c r="L8" s="635"/>
      <c r="M8" s="635"/>
      <c r="N8" s="635"/>
      <c r="O8" s="635"/>
      <c r="P8" s="635"/>
      <c r="Q8" s="635"/>
      <c r="R8" s="635"/>
      <c r="S8" s="635"/>
      <c r="T8" s="635"/>
      <c r="U8" s="635"/>
      <c r="V8" s="635"/>
      <c r="W8" s="635"/>
      <c r="X8" s="649"/>
      <c r="Y8" s="649"/>
      <c r="Z8" s="649"/>
      <c r="AA8" s="649"/>
      <c r="AB8" s="649"/>
      <c r="AC8" s="649"/>
      <c r="AD8" s="649"/>
      <c r="AE8" s="649"/>
      <c r="AF8" s="649"/>
      <c r="AG8" s="649"/>
      <c r="AH8" s="649"/>
      <c r="AI8" s="649"/>
      <c r="AJ8" s="649"/>
      <c r="AK8" s="649"/>
      <c r="AL8" s="649"/>
      <c r="AM8" s="649"/>
      <c r="AN8" s="649"/>
      <c r="AO8" s="649"/>
      <c r="AP8" s="649"/>
      <c r="AQ8" s="649"/>
      <c r="AR8" s="650"/>
      <c r="AS8" s="650"/>
      <c r="AT8" s="650"/>
      <c r="AU8" s="650"/>
      <c r="AV8" s="650"/>
      <c r="AW8" s="650"/>
      <c r="AX8" s="650"/>
      <c r="AY8" s="650"/>
      <c r="AZ8" s="651"/>
      <c r="BA8" s="651"/>
      <c r="BB8" s="651"/>
      <c r="BC8" s="651"/>
      <c r="BD8" s="651"/>
      <c r="BE8" s="651"/>
      <c r="BF8" s="651"/>
      <c r="BG8" s="651"/>
      <c r="BH8" s="651"/>
      <c r="BI8" s="651"/>
      <c r="BJ8" s="651"/>
      <c r="BK8" s="651"/>
      <c r="BL8" s="651"/>
      <c r="BM8" s="651"/>
      <c r="BN8" s="651"/>
      <c r="BO8" s="651"/>
      <c r="BP8" s="651"/>
      <c r="BQ8" s="651"/>
      <c r="BR8" s="652"/>
      <c r="BS8" s="652"/>
      <c r="BT8" s="653"/>
      <c r="BW8" s="782" t="s">
        <v>111</v>
      </c>
      <c r="BX8" s="782" t="s">
        <v>111</v>
      </c>
      <c r="BY8" s="657" t="s">
        <v>111</v>
      </c>
      <c r="BZ8" s="654" t="s">
        <v>112</v>
      </c>
      <c r="CA8" s="656" t="s">
        <v>113</v>
      </c>
      <c r="CB8" s="656" t="s">
        <v>114</v>
      </c>
      <c r="CC8" s="656" t="s">
        <v>115</v>
      </c>
      <c r="CD8" s="656" t="s">
        <v>116</v>
      </c>
      <c r="CE8" s="656" t="s">
        <v>117</v>
      </c>
      <c r="CF8" s="656" t="s">
        <v>118</v>
      </c>
      <c r="CG8" s="655" t="s">
        <v>2</v>
      </c>
      <c r="CH8" s="655" t="s">
        <v>169</v>
      </c>
      <c r="CI8" s="657" t="s">
        <v>170</v>
      </c>
    </row>
    <row r="9" spans="2:88" ht="18.75" thickBot="1" x14ac:dyDescent="0.35">
      <c r="B9" s="639">
        <v>5</v>
      </c>
      <c r="C9" s="640">
        <f>IF($C$2=15.5,'S3'!A9,IF($C$2=16.5,'S3'!B9,IF($C$2=17.5,'S3'!C9,IF($C$2=18.5,'S3'!D9,IF($C$2=19.5,'S3'!E9,IF($C$2=20.5,'S3'!F9,IF($C$2=21.5,'S3'!G9,IF($C$2=22.5,'S3'!H9,IF($C$2=23.5,'S3'!I9,IF($C$2=24.5,'S3'!J9,IF($C$2=25.5,'S3'!K9,IF($C$2=26.5,'S3'!L9,IF($C$2=27.5,'S3'!M9,IF($C$2=28.5,'S3'!N9,IF($C$2=29.5,'S3'!O9,IF($C$2=30.5,'S3'!P9,IF($C$2=31.5,'S3'!Q9,IF($C$2=32.5,'S3'!R9,IF($C$2=33.5,'S3'!S9,IF($C$2=34.5,'S3'!T9,IF($C$2=35.5,'S3'!U9)))))))))))))))))))))</f>
        <v>16.02</v>
      </c>
      <c r="D9" s="641">
        <f t="shared" si="3"/>
        <v>22.43</v>
      </c>
      <c r="E9" s="641">
        <f>IF($E$2=15.5,'S3'!AF9,IF($E$2=16.5,'S3'!AG9,IF($E$2=17.5,'S3'!AH9,IF($E$2=18.5,'S3'!AI9,IF($E$2=19.5,'S3'!AJ9,IF($E$2=20.5,'S3'!AK9,IF($E$2=21.5,'S3'!AL9,IF($E$2=22.5,'S3'!AM9,IF($E$2=23.5,'S3'!AN9,IF($E$2=24.5,'S3'!AO9,IF($E$2=25.5,'S3'!AP9,IF($E$2=26.5,'S3'!AQ9,IF($E$2=27.5,'S3'!AR9,IF($E$2=28.5,'S3'!AS9,IF($E$2=29.5,'S3'!AT9,IF($E$2=30.5,'S3'!AU9,IF($E$2=31.5,'S3'!AV9,IF($E$2=32.5,'S3'!AW9,IF($E$2=33.5,'S3'!AX9,IF($E$2=34.5,'S3'!AY9,IF($E$2=35.5,'S3'!AZ9)))))))))))))))))))))</f>
        <v>10.43</v>
      </c>
      <c r="F9" s="641">
        <f t="shared" si="1"/>
        <v>14.6</v>
      </c>
      <c r="H9" s="634" t="s">
        <v>91</v>
      </c>
      <c r="I9" s="642" t="s">
        <v>88</v>
      </c>
      <c r="J9" s="635">
        <v>22.57</v>
      </c>
      <c r="K9" s="635">
        <v>23.62</v>
      </c>
      <c r="L9" s="635">
        <v>22.71</v>
      </c>
      <c r="M9" s="635">
        <v>23.76</v>
      </c>
      <c r="N9" s="635">
        <v>22.85</v>
      </c>
      <c r="O9" s="635">
        <v>23.9</v>
      </c>
      <c r="P9" s="635">
        <v>23</v>
      </c>
      <c r="Q9" s="635">
        <v>24.05</v>
      </c>
      <c r="R9" s="635">
        <v>23.14</v>
      </c>
      <c r="S9" s="635">
        <v>24.19</v>
      </c>
      <c r="T9" s="635">
        <v>23.28</v>
      </c>
      <c r="U9" s="635">
        <v>24.33</v>
      </c>
      <c r="V9" s="635">
        <v>23.43</v>
      </c>
      <c r="W9" s="635">
        <v>24.48</v>
      </c>
      <c r="X9" s="643">
        <v>23.57</v>
      </c>
      <c r="Y9" s="643">
        <v>24.62</v>
      </c>
      <c r="Z9" s="643">
        <v>23.71</v>
      </c>
      <c r="AA9" s="643">
        <v>24.76</v>
      </c>
      <c r="AB9" s="643">
        <v>23.85</v>
      </c>
      <c r="AC9" s="643">
        <v>24.9</v>
      </c>
      <c r="AD9" s="643">
        <v>24</v>
      </c>
      <c r="AE9" s="643">
        <v>25.05</v>
      </c>
      <c r="AF9" s="643">
        <v>24.14</v>
      </c>
      <c r="AG9" s="643">
        <v>25.19</v>
      </c>
      <c r="AH9" s="643">
        <v>24.28</v>
      </c>
      <c r="AI9" s="643">
        <v>25.33</v>
      </c>
      <c r="AJ9" s="643">
        <v>24.42</v>
      </c>
      <c r="AK9" s="643">
        <v>25.47</v>
      </c>
      <c r="AL9" s="643">
        <v>24.57</v>
      </c>
      <c r="AM9" s="643">
        <v>25.62</v>
      </c>
      <c r="AN9" s="643">
        <v>24.71</v>
      </c>
      <c r="AO9" s="643">
        <v>25.76</v>
      </c>
      <c r="AP9" s="643">
        <v>24.85</v>
      </c>
      <c r="AQ9" s="643">
        <v>25.9</v>
      </c>
      <c r="AR9" s="644">
        <v>25</v>
      </c>
      <c r="AS9" s="644">
        <v>26.05</v>
      </c>
      <c r="AT9" s="644">
        <v>25.14</v>
      </c>
      <c r="AU9" s="644">
        <v>26.19</v>
      </c>
      <c r="AV9" s="644">
        <v>25.28</v>
      </c>
      <c r="AW9" s="644">
        <v>26.33</v>
      </c>
      <c r="AX9" s="644">
        <v>25.42</v>
      </c>
      <c r="AY9" s="644">
        <v>26.47</v>
      </c>
      <c r="AZ9" s="645">
        <v>18.3</v>
      </c>
      <c r="BA9" s="645">
        <v>19.03</v>
      </c>
      <c r="BB9" s="645">
        <v>18.440000000000001</v>
      </c>
      <c r="BC9" s="645">
        <v>19.170000000000002</v>
      </c>
      <c r="BD9" s="645">
        <v>18.59</v>
      </c>
      <c r="BE9" s="645">
        <v>19.309999999999999</v>
      </c>
      <c r="BF9" s="645">
        <v>18.73</v>
      </c>
      <c r="BG9" s="645">
        <v>19.46</v>
      </c>
      <c r="BH9" s="645">
        <v>16.16</v>
      </c>
      <c r="BI9" s="645">
        <v>16.89</v>
      </c>
      <c r="BJ9" s="645">
        <v>16.02</v>
      </c>
      <c r="BK9" s="645">
        <v>16.739999999999998</v>
      </c>
      <c r="BL9" s="645">
        <v>15.87</v>
      </c>
      <c r="BM9" s="645">
        <v>16.600000000000001</v>
      </c>
      <c r="BN9" s="645">
        <v>15.73</v>
      </c>
      <c r="BO9" s="645">
        <v>16.46</v>
      </c>
      <c r="BP9" s="645">
        <v>15.59</v>
      </c>
      <c r="BQ9" s="645">
        <v>16.32</v>
      </c>
      <c r="BR9" s="646">
        <f t="shared" si="2"/>
        <v>25.14</v>
      </c>
      <c r="BS9" s="646">
        <f>IF($C$2=15.5,K9,IF($C$2=16.5,M9,IF($C$2=17.5,O9,IF($C$2=18.5,Q9,IF($C$2=19.5,S9,IF($C$2=20.5,U9,IF($C$2=21.5,W9,IF($C$2=22.5,Y9,IF($C$2=23.5,AA9,IF($C$2=24.5,AC9,IF($C$2=25.5,AE9,IF($C$2=26.5,AG9,IF($C$2=27.5,AI9,IF($C$2=28.5,AK9,IF($C$2=29.5,AM9,IF($C$2=30.5,AO9,IF($C$2=31.5,AQ9,IF($C$2=32.5,AS9,IF($C$2=33.5,AU9)))))))))))))))))))</f>
        <v>26.19</v>
      </c>
      <c r="BT9" s="647">
        <f>IF(ข้อมูล!$Q$14=0,BR9,IF(ข้อมูล!$Q$14=1,BS9,IF(ข้อมูล!$Q$14=2,BS9,)))</f>
        <v>25.14</v>
      </c>
      <c r="BW9" s="783" t="s">
        <v>83</v>
      </c>
      <c r="BX9" s="798" t="s">
        <v>158</v>
      </c>
      <c r="BY9" s="791" t="s">
        <v>159</v>
      </c>
      <c r="BZ9" s="658" t="s">
        <v>119</v>
      </c>
      <c r="CA9" s="659" t="s">
        <v>120</v>
      </c>
      <c r="CB9" s="659" t="s">
        <v>121</v>
      </c>
      <c r="CC9" s="659" t="s">
        <v>122</v>
      </c>
      <c r="CD9" s="659"/>
      <c r="CE9" s="659" t="s">
        <v>123</v>
      </c>
      <c r="CF9" s="659">
        <v>7</v>
      </c>
      <c r="CG9" s="660" t="s">
        <v>124</v>
      </c>
      <c r="CH9" s="661" t="s">
        <v>158</v>
      </c>
      <c r="CI9" s="662" t="s">
        <v>160</v>
      </c>
    </row>
    <row r="10" spans="2:88" ht="18.75" thickBot="1" x14ac:dyDescent="0.35">
      <c r="B10" s="639">
        <v>6</v>
      </c>
      <c r="C10" s="640">
        <f>IF($C$2=15.5,'S3'!A10,IF($C$2=16.5,'S3'!B10,IF($C$2=17.5,'S3'!C10,IF($C$2=18.5,'S3'!D10,IF($C$2=19.5,'S3'!E10,IF($C$2=20.5,'S3'!F10,IF($C$2=21.5,'S3'!G10,IF($C$2=22.5,'S3'!H10,IF($C$2=23.5,'S3'!I10,IF($C$2=24.5,'S3'!J10,IF($C$2=25.5,'S3'!K10,IF($C$2=26.5,'S3'!L10,IF($C$2=27.5,'S3'!M10,IF($C$2=28.5,'S3'!N10,IF($C$2=29.5,'S3'!O10,IF($C$2=30.5,'S3'!P10,IF($C$2=31.5,'S3'!Q10,IF($C$2=32.5,'S3'!R10,IF($C$2=33.5,'S3'!S10,IF($C$2=34.5,'S3'!T10,IF($C$2=35.5,'S3'!U10)))))))))))))))))))))</f>
        <v>17.96</v>
      </c>
      <c r="D10" s="641">
        <f t="shared" si="3"/>
        <v>25.14</v>
      </c>
      <c r="E10" s="641">
        <f>IF($E$2=15.5,'S3'!AF10,IF($E$2=16.5,'S3'!AG10,IF($E$2=17.5,'S3'!AH10,IF($E$2=18.5,'S3'!AI10,IF($E$2=19.5,'S3'!AJ10,IF($E$2=20.5,'S3'!AK10,IF($E$2=21.5,'S3'!AL10,IF($E$2=22.5,'S3'!AM10,IF($E$2=23.5,'S3'!AN10,IF($E$2=24.5,'S3'!AO10,IF($E$2=25.5,'S3'!AP10,IF($E$2=26.5,'S3'!AQ10,IF($E$2=27.5,'S3'!AR10,IF($E$2=28.5,'S3'!AS10,IF($E$2=29.5,'S3'!AT10,IF($E$2=30.5,'S3'!AU10,IF($E$2=31.5,'S3'!AV10,IF($E$2=32.5,'S3'!AW10,IF($E$2=33.5,'S3'!AX10,IF($E$2=34.5,'S3'!AY10,IF($E$2=35.5,'S3'!AZ10)))))))))))))))))))))</f>
        <v>11.89</v>
      </c>
      <c r="F10" s="641">
        <f t="shared" si="1"/>
        <v>16.649999999999999</v>
      </c>
      <c r="H10" s="634" t="s">
        <v>89</v>
      </c>
      <c r="I10" s="642" t="s">
        <v>88</v>
      </c>
      <c r="J10" s="635">
        <v>75.67</v>
      </c>
      <c r="K10" s="635">
        <v>82.1</v>
      </c>
      <c r="L10" s="635">
        <v>76.44</v>
      </c>
      <c r="M10" s="635">
        <v>82.87</v>
      </c>
      <c r="N10" s="635">
        <v>77.22</v>
      </c>
      <c r="O10" s="635">
        <v>83.65</v>
      </c>
      <c r="P10" s="635">
        <v>78</v>
      </c>
      <c r="Q10" s="635">
        <v>84.43</v>
      </c>
      <c r="R10" s="635">
        <v>78.78</v>
      </c>
      <c r="S10" s="635">
        <v>85.21</v>
      </c>
      <c r="T10" s="635">
        <v>79.55</v>
      </c>
      <c r="U10" s="635">
        <v>85.98</v>
      </c>
      <c r="V10" s="635">
        <v>80.33</v>
      </c>
      <c r="W10" s="635">
        <v>86.76</v>
      </c>
      <c r="X10" s="643">
        <v>81.11</v>
      </c>
      <c r="Y10" s="643">
        <v>87.54</v>
      </c>
      <c r="Z10" s="643">
        <v>81.88</v>
      </c>
      <c r="AA10" s="643">
        <v>88.31</v>
      </c>
      <c r="AB10" s="643">
        <v>82.66</v>
      </c>
      <c r="AC10" s="643">
        <v>89.09</v>
      </c>
      <c r="AD10" s="643">
        <v>83.44</v>
      </c>
      <c r="AE10" s="643">
        <v>89.87</v>
      </c>
      <c r="AF10" s="643">
        <v>84.22</v>
      </c>
      <c r="AG10" s="643">
        <v>90.65</v>
      </c>
      <c r="AH10" s="643">
        <v>84.99</v>
      </c>
      <c r="AI10" s="643">
        <v>91.42</v>
      </c>
      <c r="AJ10" s="643">
        <v>85.77</v>
      </c>
      <c r="AK10" s="643">
        <v>92.2</v>
      </c>
      <c r="AL10" s="643">
        <v>86.55</v>
      </c>
      <c r="AM10" s="643">
        <v>92.98</v>
      </c>
      <c r="AN10" s="643">
        <v>87.32</v>
      </c>
      <c r="AO10" s="643">
        <v>93.75</v>
      </c>
      <c r="AP10" s="643">
        <v>88.1</v>
      </c>
      <c r="AQ10" s="643">
        <v>94.53</v>
      </c>
      <c r="AR10" s="644">
        <v>88.88</v>
      </c>
      <c r="AS10" s="644">
        <v>95.31</v>
      </c>
      <c r="AT10" s="644">
        <v>89.66</v>
      </c>
      <c r="AU10" s="644">
        <v>96.09</v>
      </c>
      <c r="AV10" s="644">
        <v>90.43</v>
      </c>
      <c r="AW10" s="644">
        <v>96.86</v>
      </c>
      <c r="AX10" s="644">
        <v>91.21</v>
      </c>
      <c r="AY10" s="644">
        <v>97.64</v>
      </c>
      <c r="AZ10" s="645">
        <v>73.56</v>
      </c>
      <c r="BA10" s="645">
        <v>78.34</v>
      </c>
      <c r="BB10" s="645">
        <v>74.34</v>
      </c>
      <c r="BC10" s="645">
        <v>79.12</v>
      </c>
      <c r="BD10" s="645">
        <v>75.12</v>
      </c>
      <c r="BE10" s="645">
        <v>79.89</v>
      </c>
      <c r="BF10" s="645">
        <v>75.900000000000006</v>
      </c>
      <c r="BG10" s="645">
        <v>80.67</v>
      </c>
      <c r="BH10" s="645">
        <v>61.9</v>
      </c>
      <c r="BI10" s="645">
        <v>66.680000000000007</v>
      </c>
      <c r="BJ10" s="645">
        <v>61.13</v>
      </c>
      <c r="BK10" s="645">
        <v>65.900000000000006</v>
      </c>
      <c r="BL10" s="645">
        <v>60.35</v>
      </c>
      <c r="BM10" s="645">
        <v>65.13</v>
      </c>
      <c r="BN10" s="645">
        <v>64.349999999999994</v>
      </c>
      <c r="BO10" s="645">
        <v>64.349999999999994</v>
      </c>
      <c r="BP10" s="645">
        <v>58.8</v>
      </c>
      <c r="BQ10" s="645">
        <v>63.57</v>
      </c>
      <c r="BR10" s="646">
        <f t="shared" si="2"/>
        <v>89.66</v>
      </c>
      <c r="BS10" s="646">
        <f>IF($C$2=15.5,K10,IF($C$2=16.5,M10,IF($C$2=17.5,O10,IF($C$2=18.5,Q10,IF($C$2=19.5,S10,IF($C$2=20.5,U10,IF($C$2=21.5,W10,IF($C$2=22.5,Y10,IF($C$2=23.5,AA10,IF($C$2=24.5,AC10,IF($C$2=25.5,AE10,IF($C$2=26.5,AG10,IF($C$2=27.5,AI10,IF($C$2=28.5,AK10,IF($C$2=29.5,AM10,IF($C$2=30.5,AO10,IF($C$2=31.5,AQ10,IF($C$2=32.5,AS10,IF($C$2=33.5,AU10)))))))))))))))))))</f>
        <v>96.09</v>
      </c>
      <c r="BT10" s="647">
        <f>IF(ข้อมูล!$Q$14=0,BR10,IF(ข้อมูล!$Q$14=1,BS10,IF(ข้อมูล!$Q$14=2,BS10,)))</f>
        <v>89.66</v>
      </c>
      <c r="BW10" s="784">
        <f>ปร.4!I127</f>
        <v>21811971.880897</v>
      </c>
      <c r="BX10" s="784"/>
      <c r="BY10" s="792"/>
      <c r="BZ10" s="663">
        <v>5</v>
      </c>
      <c r="CA10" s="656">
        <v>5</v>
      </c>
      <c r="CB10" s="664">
        <v>20.834</v>
      </c>
      <c r="CC10" s="665">
        <v>1</v>
      </c>
      <c r="CD10" s="665">
        <v>5.5</v>
      </c>
      <c r="CE10" s="666">
        <f>1+( CB10+CC10+CD10)/100</f>
        <v>1.2733399999999999</v>
      </c>
      <c r="CF10" s="667">
        <f>CF9/100+1</f>
        <v>1.07</v>
      </c>
      <c r="CG10" s="668">
        <f>ROUNDDOWN(CE10*CF10,4)</f>
        <v>1.3624000000000001</v>
      </c>
      <c r="CH10" s="669">
        <v>1.3789</v>
      </c>
      <c r="CI10" s="670">
        <v>1.3987000000000001</v>
      </c>
      <c r="CJ10" s="671"/>
    </row>
    <row r="11" spans="2:88" ht="18.75" thickBot="1" x14ac:dyDescent="0.35">
      <c r="B11" s="639">
        <v>7</v>
      </c>
      <c r="C11" s="640">
        <f>IF($C$2=15.5,'S3'!A11,IF($C$2=16.5,'S3'!B11,IF($C$2=17.5,'S3'!C11,IF($C$2=18.5,'S3'!D11,IF($C$2=19.5,'S3'!E11,IF($C$2=20.5,'S3'!F11,IF($C$2=21.5,'S3'!G11,IF($C$2=22.5,'S3'!H11,IF($C$2=23.5,'S3'!I11,IF($C$2=24.5,'S3'!J11,IF($C$2=25.5,'S3'!K11,IF($C$2=26.5,'S3'!L11,IF($C$2=27.5,'S3'!M11,IF($C$2=28.5,'S3'!N11,IF($C$2=29.5,'S3'!O11,IF($C$2=30.5,'S3'!P11,IF($C$2=31.5,'S3'!Q11,IF($C$2=32.5,'S3'!R11,IF($C$2=33.5,'S3'!S11,IF($C$2=34.5,'S3'!T11,IF($C$2=35.5,'S3'!U11)))))))))))))))))))))</f>
        <v>19.899999999999999</v>
      </c>
      <c r="D11" s="641">
        <f t="shared" si="3"/>
        <v>27.86</v>
      </c>
      <c r="E11" s="641">
        <f>IF($E$2=15.5,'S3'!AF11,IF($E$2=16.5,'S3'!AG11,IF($E$2=17.5,'S3'!AH11,IF($E$2=18.5,'S3'!AI11,IF($E$2=19.5,'S3'!AJ11,IF($E$2=20.5,'S3'!AK11,IF($E$2=21.5,'S3'!AL11,IF($E$2=22.5,'S3'!AM11,IF($E$2=23.5,'S3'!AN11,IF($E$2=24.5,'S3'!AO11,IF($E$2=25.5,'S3'!AP11,IF($E$2=26.5,'S3'!AQ11,IF($E$2=27.5,'S3'!AR11,IF($E$2=28.5,'S3'!AS11,IF($E$2=29.5,'S3'!AT11,IF($E$2=30.5,'S3'!AU11,IF($E$2=31.5,'S3'!AV11,IF($E$2=32.5,'S3'!AW11,IF($E$2=33.5,'S3'!AX11,IF($E$2=34.5,'S3'!AY11,IF($E$2=35.5,'S3'!AZ11)))))))))))))))))))))</f>
        <v>13.35</v>
      </c>
      <c r="F11" s="641">
        <f t="shared" si="1"/>
        <v>18.690000000000001</v>
      </c>
      <c r="H11" s="633" t="s">
        <v>92</v>
      </c>
      <c r="I11" s="648"/>
      <c r="J11" s="635"/>
      <c r="K11" s="635"/>
      <c r="L11" s="635"/>
      <c r="M11" s="635"/>
      <c r="N11" s="635"/>
      <c r="O11" s="635"/>
      <c r="P11" s="635"/>
      <c r="Q11" s="635"/>
      <c r="R11" s="635"/>
      <c r="S11" s="635"/>
      <c r="T11" s="635"/>
      <c r="U11" s="635"/>
      <c r="V11" s="635"/>
      <c r="W11" s="635"/>
      <c r="X11" s="643"/>
      <c r="Y11" s="643"/>
      <c r="Z11" s="643"/>
      <c r="AA11" s="643"/>
      <c r="AB11" s="643"/>
      <c r="AC11" s="643"/>
      <c r="AD11" s="643"/>
      <c r="AE11" s="643"/>
      <c r="AF11" s="643"/>
      <c r="AG11" s="643"/>
      <c r="AH11" s="643"/>
      <c r="AI11" s="643"/>
      <c r="AJ11" s="643"/>
      <c r="AK11" s="643"/>
      <c r="AL11" s="643"/>
      <c r="AM11" s="643"/>
      <c r="AN11" s="643"/>
      <c r="AO11" s="643"/>
      <c r="AP11" s="643"/>
      <c r="AQ11" s="643"/>
      <c r="AR11" s="644"/>
      <c r="AS11" s="644"/>
      <c r="AT11" s="644"/>
      <c r="AU11" s="644"/>
      <c r="AV11" s="644"/>
      <c r="AW11" s="644"/>
      <c r="AX11" s="644"/>
      <c r="AY11" s="644"/>
      <c r="AZ11" s="645"/>
      <c r="BA11" s="645"/>
      <c r="BB11" s="645"/>
      <c r="BC11" s="645"/>
      <c r="BD11" s="645"/>
      <c r="BE11" s="645"/>
      <c r="BF11" s="645"/>
      <c r="BG11" s="645"/>
      <c r="BH11" s="645"/>
      <c r="BI11" s="645"/>
      <c r="BJ11" s="645"/>
      <c r="BK11" s="645"/>
      <c r="BL11" s="645"/>
      <c r="BM11" s="645"/>
      <c r="BN11" s="645"/>
      <c r="BO11" s="645"/>
      <c r="BP11" s="645"/>
      <c r="BQ11" s="645"/>
      <c r="BR11" s="646"/>
      <c r="BS11" s="672"/>
      <c r="BT11" s="673"/>
      <c r="BW11" s="785">
        <f>BW10/1000000</f>
        <v>21.811971880897001</v>
      </c>
      <c r="BX11" s="785"/>
      <c r="BY11" s="792"/>
      <c r="BZ11" s="663">
        <v>10</v>
      </c>
      <c r="CA11" s="667">
        <v>7</v>
      </c>
      <c r="CB11" s="664">
        <v>16.0809</v>
      </c>
      <c r="CC11" s="674">
        <v>1</v>
      </c>
      <c r="CD11" s="675">
        <v>5.5</v>
      </c>
      <c r="CE11" s="666">
        <f>1+( CB11+CC11+CD11)/100</f>
        <v>1.2258089999999999</v>
      </c>
      <c r="CF11" s="667">
        <f>CF9/100+1</f>
        <v>1.07</v>
      </c>
      <c r="CG11" s="668">
        <f t="shared" ref="CG11:CG20" si="4">ROUNDDOWN(CE11*CF11,4)</f>
        <v>1.3116000000000001</v>
      </c>
      <c r="CH11" s="676">
        <v>1.3280000000000001</v>
      </c>
      <c r="CI11" s="677">
        <v>1.3483000000000001</v>
      </c>
      <c r="CJ11" s="671"/>
    </row>
    <row r="12" spans="2:88" ht="18.75" thickBot="1" x14ac:dyDescent="0.35">
      <c r="B12" s="639">
        <v>8</v>
      </c>
      <c r="C12" s="640">
        <f>IF($C$2=15.5,'S3'!A12,IF($C$2=16.5,'S3'!B12,IF($C$2=17.5,'S3'!C12,IF($C$2=18.5,'S3'!D12,IF($C$2=19.5,'S3'!E12,IF($C$2=20.5,'S3'!F12,IF($C$2=21.5,'S3'!G12,IF($C$2=22.5,'S3'!H12,IF($C$2=23.5,'S3'!I12,IF($C$2=24.5,'S3'!J12,IF($C$2=25.5,'S3'!K12,IF($C$2=26.5,'S3'!L12,IF($C$2=27.5,'S3'!M12,IF($C$2=28.5,'S3'!N12,IF($C$2=29.5,'S3'!O12,IF($C$2=30.5,'S3'!P12,IF($C$2=31.5,'S3'!Q12,IF($C$2=32.5,'S3'!R12,IF($C$2=33.5,'S3'!S12,IF($C$2=34.5,'S3'!T12,IF($C$2=35.5,'S3'!U12)))))))))))))))))))))</f>
        <v>22.08</v>
      </c>
      <c r="D12" s="641">
        <f t="shared" si="3"/>
        <v>30.91</v>
      </c>
      <c r="E12" s="641">
        <f>IF($E$2=15.5,'S3'!AF12,IF($E$2=16.5,'S3'!AG12,IF($E$2=17.5,'S3'!AH12,IF($E$2=18.5,'S3'!AI12,IF($E$2=19.5,'S3'!AJ12,IF($E$2=20.5,'S3'!AK12,IF($E$2=21.5,'S3'!AL12,IF($E$2=22.5,'S3'!AM12,IF($E$2=23.5,'S3'!AN12,IF($E$2=24.5,'S3'!AO12,IF($E$2=25.5,'S3'!AP12,IF($E$2=26.5,'S3'!AQ12,IF($E$2=27.5,'S3'!AR12,IF($E$2=28.5,'S3'!AS12,IF($E$2=29.5,'S3'!AT12,IF($E$2=30.5,'S3'!AU12,IF($E$2=31.5,'S3'!AV12,IF($E$2=32.5,'S3'!AW12,IF($E$2=33.5,'S3'!AX12,IF($E$2=34.5,'S3'!AY12,IF($E$2=35.5,'S3'!AZ12)))))))))))))))))))))</f>
        <v>14.81</v>
      </c>
      <c r="F12" s="641">
        <f t="shared" si="1"/>
        <v>20.73</v>
      </c>
      <c r="H12" s="634" t="s">
        <v>93</v>
      </c>
      <c r="I12" s="642" t="s">
        <v>33</v>
      </c>
      <c r="J12" s="635">
        <v>9.43</v>
      </c>
      <c r="K12" s="635">
        <v>9.9600000000000009</v>
      </c>
      <c r="L12" s="635">
        <v>9.5299999999999994</v>
      </c>
      <c r="M12" s="635">
        <v>10.06</v>
      </c>
      <c r="N12" s="635">
        <v>9.6300000000000008</v>
      </c>
      <c r="O12" s="635">
        <v>10.16</v>
      </c>
      <c r="P12" s="635">
        <v>9.73</v>
      </c>
      <c r="Q12" s="635">
        <v>10.26</v>
      </c>
      <c r="R12" s="635">
        <v>9.83</v>
      </c>
      <c r="S12" s="635">
        <v>10.36</v>
      </c>
      <c r="T12" s="635">
        <v>9.93</v>
      </c>
      <c r="U12" s="635">
        <v>10.46</v>
      </c>
      <c r="V12" s="635">
        <v>10.029999999999999</v>
      </c>
      <c r="W12" s="635">
        <v>10.56</v>
      </c>
      <c r="X12" s="643">
        <v>10.130000000000001</v>
      </c>
      <c r="Y12" s="643">
        <v>10.66</v>
      </c>
      <c r="Z12" s="643">
        <v>10.23</v>
      </c>
      <c r="AA12" s="643">
        <v>10.76</v>
      </c>
      <c r="AB12" s="643">
        <v>10.33</v>
      </c>
      <c r="AC12" s="643">
        <v>10.86</v>
      </c>
      <c r="AD12" s="643">
        <v>10.43</v>
      </c>
      <c r="AE12" s="643">
        <v>10.96</v>
      </c>
      <c r="AF12" s="643">
        <v>10.53</v>
      </c>
      <c r="AG12" s="643">
        <v>11.06</v>
      </c>
      <c r="AH12" s="643">
        <v>10.63</v>
      </c>
      <c r="AI12" s="643">
        <v>11.16</v>
      </c>
      <c r="AJ12" s="643">
        <v>10.74</v>
      </c>
      <c r="AK12" s="643">
        <v>11.27</v>
      </c>
      <c r="AL12" s="643">
        <v>10.84</v>
      </c>
      <c r="AM12" s="643">
        <v>11.37</v>
      </c>
      <c r="AN12" s="643">
        <v>10.94</v>
      </c>
      <c r="AO12" s="643">
        <v>11.47</v>
      </c>
      <c r="AP12" s="643">
        <v>11.04</v>
      </c>
      <c r="AQ12" s="643">
        <v>11.57</v>
      </c>
      <c r="AR12" s="644">
        <v>11.14</v>
      </c>
      <c r="AS12" s="644">
        <v>11.67</v>
      </c>
      <c r="AT12" s="644">
        <v>11.24</v>
      </c>
      <c r="AU12" s="644">
        <v>11.77</v>
      </c>
      <c r="AV12" s="644">
        <v>11.34</v>
      </c>
      <c r="AW12" s="644">
        <v>11.87</v>
      </c>
      <c r="AX12" s="644">
        <v>11.44</v>
      </c>
      <c r="AY12" s="644">
        <v>11.97</v>
      </c>
      <c r="AZ12" s="645">
        <v>9.2200000000000006</v>
      </c>
      <c r="BA12" s="645">
        <v>9.6</v>
      </c>
      <c r="BB12" s="645">
        <v>9.32</v>
      </c>
      <c r="BC12" s="645">
        <v>9.6999999999999993</v>
      </c>
      <c r="BD12" s="645">
        <v>9.42</v>
      </c>
      <c r="BE12" s="645">
        <v>9.8000000000000007</v>
      </c>
      <c r="BF12" s="645">
        <v>9.52</v>
      </c>
      <c r="BG12" s="645">
        <v>9.9</v>
      </c>
      <c r="BH12" s="645">
        <v>7.22</v>
      </c>
      <c r="BI12" s="645">
        <v>8.1</v>
      </c>
      <c r="BJ12" s="645">
        <v>7.62</v>
      </c>
      <c r="BK12" s="645">
        <v>8</v>
      </c>
      <c r="BL12" s="645">
        <v>7.52</v>
      </c>
      <c r="BM12" s="645">
        <v>7.9</v>
      </c>
      <c r="BN12" s="645">
        <v>7.42</v>
      </c>
      <c r="BO12" s="645">
        <v>7.8</v>
      </c>
      <c r="BP12" s="645">
        <v>7.32</v>
      </c>
      <c r="BQ12" s="645">
        <v>7.7</v>
      </c>
      <c r="BR12" s="646">
        <f t="shared" si="2"/>
        <v>11.24</v>
      </c>
      <c r="BS12" s="646">
        <f t="shared" ref="BS12:BS16" si="5">IF($C$2=15.5,K12,IF($C$2=16.5,M12,IF($C$2=17.5,O12,IF($C$2=18.5,Q12,IF($C$2=19.5,S12,IF($C$2=20.5,U12,IF($C$2=21.5,W12,IF($C$2=22.5,Y12,IF($C$2=23.5,AA12,IF($C$2=24.5,AC12,IF($C$2=25.5,AE12,IF($C$2=26.5,AG12,IF($C$2=27.5,AI12,IF($C$2=28.5,AK12,IF($C$2=29.5,AM12,IF($C$2=30.5,AO12,IF($C$2=31.5,AQ12,IF($C$2=32.5,AS12,IF($C$2=33.5,AU12)))))))))))))))))))</f>
        <v>11.77</v>
      </c>
      <c r="BT12" s="647">
        <f>IF(ข้อมูล!$Q$14=0,BR12,IF(ข้อมูล!$Q$14=1,BS12,IF(ข้อมูล!$Q$14=2,BS12,)))</f>
        <v>11.24</v>
      </c>
      <c r="BW12" s="786">
        <f>BW11/10</f>
        <v>2.1811971880897003</v>
      </c>
      <c r="BX12" s="785"/>
      <c r="BY12" s="792"/>
      <c r="BZ12" s="663">
        <v>20</v>
      </c>
      <c r="CA12" s="667">
        <v>8</v>
      </c>
      <c r="CB12" s="664">
        <v>10.638500000000001</v>
      </c>
      <c r="CC12" s="674">
        <v>1</v>
      </c>
      <c r="CD12" s="675">
        <v>5.5</v>
      </c>
      <c r="CE12" s="666">
        <f>1+( CB12+CC12+CD12)/100</f>
        <v>1.1713849999999999</v>
      </c>
      <c r="CF12" s="667">
        <f>CF9/100+1</f>
        <v>1.07</v>
      </c>
      <c r="CG12" s="668">
        <f t="shared" si="4"/>
        <v>1.2533000000000001</v>
      </c>
      <c r="CH12" s="676">
        <v>1.2673000000000001</v>
      </c>
      <c r="CI12" s="677">
        <v>1.2855000000000001</v>
      </c>
      <c r="CJ12" s="671"/>
    </row>
    <row r="13" spans="2:88" ht="18.75" thickBot="1" x14ac:dyDescent="0.35">
      <c r="B13" s="639">
        <v>9</v>
      </c>
      <c r="C13" s="640">
        <f>IF($C$2=15.5,'S3'!A13,IF($C$2=16.5,'S3'!B13,IF($C$2=17.5,'S3'!C13,IF($C$2=18.5,'S3'!D13,IF($C$2=19.5,'S3'!E13,IF($C$2=20.5,'S3'!F13,IF($C$2=21.5,'S3'!G13,IF($C$2=22.5,'S3'!H13,IF($C$2=23.5,'S3'!I13,IF($C$2=24.5,'S3'!J13,IF($C$2=25.5,'S3'!K13,IF($C$2=26.5,'S3'!L13,IF($C$2=27.5,'S3'!M13,IF($C$2=28.5,'S3'!N13,IF($C$2=29.5,'S3'!O13,IF($C$2=30.5,'S3'!P13,IF($C$2=31.5,'S3'!Q13,IF($C$2=32.5,'S3'!R13,IF($C$2=33.5,'S3'!S13,IF($C$2=34.5,'S3'!T13,IF($C$2=35.5,'S3'!U13)))))))))))))))))))))</f>
        <v>24.69</v>
      </c>
      <c r="D13" s="641">
        <f t="shared" si="3"/>
        <v>34.57</v>
      </c>
      <c r="E13" s="641">
        <f>IF($E$2=15.5,'S3'!AF13,IF($E$2=16.5,'S3'!AG13,IF($E$2=17.5,'S3'!AH13,IF($E$2=18.5,'S3'!AI13,IF($E$2=19.5,'S3'!AJ13,IF($E$2=20.5,'S3'!AK13,IF($E$2=21.5,'S3'!AL13,IF($E$2=22.5,'S3'!AM13,IF($E$2=23.5,'S3'!AN13,IF($E$2=24.5,'S3'!AO13,IF($E$2=25.5,'S3'!AP13,IF($E$2=26.5,'S3'!AQ13,IF($E$2=27.5,'S3'!AR13,IF($E$2=28.5,'S3'!AS13,IF($E$2=29.5,'S3'!AT13,IF($E$2=30.5,'S3'!AU13,IF($E$2=31.5,'S3'!AV13,IF($E$2=32.5,'S3'!AW13,IF($E$2=33.5,'S3'!AX13,IF($E$2=34.5,'S3'!AY13,IF($E$2=35.5,'S3'!AZ13)))))))))))))))))))))</f>
        <v>16.28</v>
      </c>
      <c r="F13" s="641">
        <f t="shared" si="1"/>
        <v>22.79</v>
      </c>
      <c r="H13" s="634" t="s">
        <v>94</v>
      </c>
      <c r="I13" s="642" t="s">
        <v>33</v>
      </c>
      <c r="J13" s="635">
        <v>12.29</v>
      </c>
      <c r="K13" s="635">
        <v>13.14</v>
      </c>
      <c r="L13" s="635">
        <v>12.42</v>
      </c>
      <c r="M13" s="635">
        <v>13.27</v>
      </c>
      <c r="N13" s="635">
        <v>12.54</v>
      </c>
      <c r="O13" s="635">
        <v>13.39</v>
      </c>
      <c r="P13" s="635">
        <v>12.67</v>
      </c>
      <c r="Q13" s="635">
        <v>13.52</v>
      </c>
      <c r="R13" s="635">
        <v>12.79</v>
      </c>
      <c r="S13" s="635">
        <v>13.64</v>
      </c>
      <c r="T13" s="635">
        <v>12.91</v>
      </c>
      <c r="U13" s="635">
        <v>13.76</v>
      </c>
      <c r="V13" s="635">
        <v>13.04</v>
      </c>
      <c r="W13" s="635">
        <v>13.89</v>
      </c>
      <c r="X13" s="643">
        <v>13.16</v>
      </c>
      <c r="Y13" s="643">
        <v>14.01</v>
      </c>
      <c r="Z13" s="643">
        <v>13.28</v>
      </c>
      <c r="AA13" s="643">
        <v>14.13</v>
      </c>
      <c r="AB13" s="643">
        <v>13.41</v>
      </c>
      <c r="AC13" s="643">
        <v>14.26</v>
      </c>
      <c r="AD13" s="643">
        <v>13.53</v>
      </c>
      <c r="AE13" s="643">
        <v>14.38</v>
      </c>
      <c r="AF13" s="643">
        <v>13.66</v>
      </c>
      <c r="AG13" s="643">
        <v>14.51</v>
      </c>
      <c r="AH13" s="643">
        <v>13.78</v>
      </c>
      <c r="AI13" s="643">
        <v>14.63</v>
      </c>
      <c r="AJ13" s="643">
        <v>13.9</v>
      </c>
      <c r="AK13" s="643">
        <v>14.75</v>
      </c>
      <c r="AL13" s="643">
        <v>14.03</v>
      </c>
      <c r="AM13" s="643">
        <v>14.88</v>
      </c>
      <c r="AN13" s="643">
        <v>14.15</v>
      </c>
      <c r="AO13" s="643">
        <v>15</v>
      </c>
      <c r="AP13" s="643">
        <v>14.27</v>
      </c>
      <c r="AQ13" s="643">
        <v>15.12</v>
      </c>
      <c r="AR13" s="644">
        <v>14.4</v>
      </c>
      <c r="AS13" s="644">
        <v>15.25</v>
      </c>
      <c r="AT13" s="644">
        <v>14.52</v>
      </c>
      <c r="AU13" s="644">
        <v>15.37</v>
      </c>
      <c r="AV13" s="644">
        <v>14.65</v>
      </c>
      <c r="AW13" s="644">
        <v>15.5</v>
      </c>
      <c r="AX13" s="644">
        <v>14.77</v>
      </c>
      <c r="AY13" s="644">
        <v>15.62</v>
      </c>
      <c r="AZ13" s="645">
        <v>11.88</v>
      </c>
      <c r="BA13" s="645">
        <v>12.5</v>
      </c>
      <c r="BB13" s="645">
        <v>12.01</v>
      </c>
      <c r="BC13" s="645">
        <v>12.62</v>
      </c>
      <c r="BD13" s="645">
        <v>12.13</v>
      </c>
      <c r="BE13" s="645">
        <v>12.75</v>
      </c>
      <c r="BF13" s="645">
        <v>12.25</v>
      </c>
      <c r="BG13" s="645">
        <v>12.87</v>
      </c>
      <c r="BH13" s="645">
        <v>10.029999999999999</v>
      </c>
      <c r="BI13" s="645">
        <v>10.64</v>
      </c>
      <c r="BJ13" s="645">
        <v>9.9</v>
      </c>
      <c r="BK13" s="645">
        <v>10.52</v>
      </c>
      <c r="BL13" s="645">
        <v>9.7799999999999994</v>
      </c>
      <c r="BM13" s="645">
        <v>10.4</v>
      </c>
      <c r="BN13" s="645">
        <v>9.66</v>
      </c>
      <c r="BO13" s="645">
        <v>10.27</v>
      </c>
      <c r="BP13" s="645">
        <v>9.5299999999999994</v>
      </c>
      <c r="BQ13" s="645">
        <v>10.15</v>
      </c>
      <c r="BR13" s="646">
        <f t="shared" si="2"/>
        <v>14.52</v>
      </c>
      <c r="BS13" s="646">
        <f t="shared" si="5"/>
        <v>15.37</v>
      </c>
      <c r="BT13" s="647">
        <f>IF(ข้อมูล!$Q$14=0,BR13,IF(ข้อมูล!$Q$14=1,BS13,IF(ข้อมูล!$Q$14=2,BS13,)))</f>
        <v>14.52</v>
      </c>
      <c r="BW13" s="784">
        <f>IF(BW12&gt;=1,((ROUND(BW12-0.5,0))*10),5)</f>
        <v>20</v>
      </c>
      <c r="BX13" s="784"/>
      <c r="BY13" s="792"/>
      <c r="BZ13" s="663">
        <v>30</v>
      </c>
      <c r="CA13" s="667">
        <v>8</v>
      </c>
      <c r="CB13" s="664">
        <v>7.5560999999999998</v>
      </c>
      <c r="CC13" s="674">
        <v>1</v>
      </c>
      <c r="CD13" s="675">
        <v>5.5</v>
      </c>
      <c r="CE13" s="666">
        <f t="shared" ref="CE13:CE20" si="6">1+( CB13+CC13+CD13)/100</f>
        <v>1.1405609999999999</v>
      </c>
      <c r="CF13" s="667">
        <f>CF9/100+1</f>
        <v>1.07</v>
      </c>
      <c r="CG13" s="668">
        <f>ROUNDDOWN(CE13*CF13,4)</f>
        <v>1.2203999999999999</v>
      </c>
      <c r="CH13" s="676">
        <v>1.2323999999999999</v>
      </c>
      <c r="CI13" s="677">
        <v>1.2487999999999999</v>
      </c>
      <c r="CJ13" s="671"/>
    </row>
    <row r="14" spans="2:88" ht="18.75" thickBot="1" x14ac:dyDescent="0.35">
      <c r="B14" s="639">
        <v>10</v>
      </c>
      <c r="C14" s="640">
        <f>IF($C$2=15.5,'S3'!A14,IF($C$2=16.5,'S3'!B14,IF($C$2=17.5,'S3'!C14,IF($C$2=18.5,'S3'!D14,IF($C$2=19.5,'S3'!E14,IF($C$2=20.5,'S3'!F14,IF($C$2=21.5,'S3'!G14,IF($C$2=22.5,'S3'!H14,IF($C$2=23.5,'S3'!I14,IF($C$2=24.5,'S3'!J14,IF($C$2=25.5,'S3'!K14,IF($C$2=26.5,'S3'!L14,IF($C$2=27.5,'S3'!M14,IF($C$2=28.5,'S3'!N14,IF($C$2=29.5,'S3'!O14,IF($C$2=30.5,'S3'!P14,IF($C$2=31.5,'S3'!Q14,IF($C$2=32.5,'S3'!R14,IF($C$2=33.5,'S3'!S14,IF($C$2=34.5,'S3'!T14,IF($C$2=35.5,'S3'!U14)))))))))))))))))))))</f>
        <v>27.29</v>
      </c>
      <c r="D14" s="641">
        <f t="shared" si="3"/>
        <v>38.21</v>
      </c>
      <c r="E14" s="641">
        <f>IF($E$2=15.5,'S3'!AF14,IF($E$2=16.5,'S3'!AG14,IF($E$2=17.5,'S3'!AH14,IF($E$2=18.5,'S3'!AI14,IF($E$2=19.5,'S3'!AJ14,IF($E$2=20.5,'S3'!AK14,IF($E$2=21.5,'S3'!AL14,IF($E$2=22.5,'S3'!AM14,IF($E$2=23.5,'S3'!AN14,IF($E$2=24.5,'S3'!AO14,IF($E$2=25.5,'S3'!AP14,IF($E$2=26.5,'S3'!AQ14,IF($E$2=27.5,'S3'!AR14,IF($E$2=28.5,'S3'!AS14,IF($E$2=29.5,'S3'!AT14,IF($E$2=30.5,'S3'!AU14,IF($E$2=31.5,'S3'!AV14,IF($E$2=32.5,'S3'!AW14,IF($E$2=33.5,'S3'!AX14,IF($E$2=34.5,'S3'!AY14,IF($E$2=35.5,'S3'!AZ14)))))))))))))))))))))</f>
        <v>17.739999999999998</v>
      </c>
      <c r="F14" s="641">
        <f t="shared" si="1"/>
        <v>24.84</v>
      </c>
      <c r="H14" s="634" t="s">
        <v>95</v>
      </c>
      <c r="I14" s="642" t="s">
        <v>33</v>
      </c>
      <c r="J14" s="635">
        <v>9.9</v>
      </c>
      <c r="K14" s="635">
        <v>10.34</v>
      </c>
      <c r="L14" s="635">
        <v>9.99</v>
      </c>
      <c r="M14" s="635">
        <v>10.43</v>
      </c>
      <c r="N14" s="635">
        <v>10.09</v>
      </c>
      <c r="O14" s="635">
        <v>10.53</v>
      </c>
      <c r="P14" s="635">
        <v>10.19</v>
      </c>
      <c r="Q14" s="635">
        <v>10.63</v>
      </c>
      <c r="R14" s="635">
        <v>10.29</v>
      </c>
      <c r="S14" s="635">
        <v>10.73</v>
      </c>
      <c r="T14" s="635">
        <v>10.39</v>
      </c>
      <c r="U14" s="635">
        <v>10.83</v>
      </c>
      <c r="V14" s="635">
        <v>10.48</v>
      </c>
      <c r="W14" s="635">
        <v>10.92</v>
      </c>
      <c r="X14" s="643">
        <v>10.58</v>
      </c>
      <c r="Y14" s="643">
        <v>11.02</v>
      </c>
      <c r="Z14" s="643">
        <v>10.68</v>
      </c>
      <c r="AA14" s="643">
        <v>11.12</v>
      </c>
      <c r="AB14" s="643">
        <v>10.78</v>
      </c>
      <c r="AC14" s="643">
        <v>11.22</v>
      </c>
      <c r="AD14" s="643">
        <v>10.87</v>
      </c>
      <c r="AE14" s="643">
        <v>11.31</v>
      </c>
      <c r="AF14" s="643">
        <v>10.97</v>
      </c>
      <c r="AG14" s="643">
        <v>11.41</v>
      </c>
      <c r="AH14" s="643">
        <v>11.07</v>
      </c>
      <c r="AI14" s="643">
        <v>11.51</v>
      </c>
      <c r="AJ14" s="643">
        <v>11.17</v>
      </c>
      <c r="AK14" s="643">
        <v>11.61</v>
      </c>
      <c r="AL14" s="643">
        <v>11.26</v>
      </c>
      <c r="AM14" s="643">
        <v>11.7</v>
      </c>
      <c r="AN14" s="643">
        <v>11.36</v>
      </c>
      <c r="AO14" s="643">
        <v>11.8</v>
      </c>
      <c r="AP14" s="643">
        <v>11.46</v>
      </c>
      <c r="AQ14" s="643">
        <v>11.9</v>
      </c>
      <c r="AR14" s="644">
        <v>11.56</v>
      </c>
      <c r="AS14" s="644">
        <v>12</v>
      </c>
      <c r="AT14" s="644">
        <v>11.66</v>
      </c>
      <c r="AU14" s="644">
        <v>12.1</v>
      </c>
      <c r="AV14" s="644">
        <v>11.75</v>
      </c>
      <c r="AW14" s="644">
        <v>12.19</v>
      </c>
      <c r="AX14" s="644">
        <v>11.85</v>
      </c>
      <c r="AY14" s="644">
        <v>12.29</v>
      </c>
      <c r="AZ14" s="645">
        <v>9.59</v>
      </c>
      <c r="BA14" s="645">
        <v>9.9</v>
      </c>
      <c r="BB14" s="645">
        <v>9.68</v>
      </c>
      <c r="BC14" s="645">
        <v>10</v>
      </c>
      <c r="BD14" s="645">
        <v>9.7799999999999994</v>
      </c>
      <c r="BE14" s="645">
        <v>10.09</v>
      </c>
      <c r="BF14" s="645">
        <v>9.8800000000000008</v>
      </c>
      <c r="BG14" s="645">
        <v>10.19</v>
      </c>
      <c r="BH14" s="645">
        <v>8.1199999999999992</v>
      </c>
      <c r="BI14" s="645">
        <v>8.43</v>
      </c>
      <c r="BJ14" s="645">
        <v>8.02</v>
      </c>
      <c r="BK14" s="645">
        <v>8.33</v>
      </c>
      <c r="BL14" s="645">
        <v>7.93</v>
      </c>
      <c r="BM14" s="645">
        <v>8.24</v>
      </c>
      <c r="BN14" s="645">
        <v>7.83</v>
      </c>
      <c r="BO14" s="645">
        <v>8.14</v>
      </c>
      <c r="BP14" s="645">
        <v>7.73</v>
      </c>
      <c r="BQ14" s="645">
        <v>8.0399999999999991</v>
      </c>
      <c r="BR14" s="646">
        <f t="shared" si="2"/>
        <v>11.66</v>
      </c>
      <c r="BS14" s="646">
        <f t="shared" si="5"/>
        <v>12.1</v>
      </c>
      <c r="BT14" s="647">
        <f>IF(ข้อมูล!$Q$14=0,BR14,IF(ข้อมูล!$Q$14=1,BS14,IF(ข้อมูล!$Q$14=2,BS14,)))</f>
        <v>11.66</v>
      </c>
      <c r="BW14" s="784">
        <f>(ROUND(BW12+0.5,0))*10</f>
        <v>30</v>
      </c>
      <c r="BX14" s="784"/>
      <c r="BY14" s="792"/>
      <c r="BZ14" s="663">
        <v>40</v>
      </c>
      <c r="CA14" s="667">
        <v>11</v>
      </c>
      <c r="CB14" s="664">
        <v>7.4311999999999996</v>
      </c>
      <c r="CC14" s="674">
        <v>1</v>
      </c>
      <c r="CD14" s="675">
        <v>5</v>
      </c>
      <c r="CE14" s="666">
        <f t="shared" si="6"/>
        <v>1.134312</v>
      </c>
      <c r="CF14" s="667">
        <f>CF9/100+1</f>
        <v>1.07</v>
      </c>
      <c r="CG14" s="668">
        <f t="shared" si="4"/>
        <v>1.2137</v>
      </c>
      <c r="CH14" s="676">
        <v>1.2261</v>
      </c>
      <c r="CI14" s="677">
        <v>1.244</v>
      </c>
      <c r="CJ14" s="671"/>
    </row>
    <row r="15" spans="2:88" ht="18.75" thickBot="1" x14ac:dyDescent="0.35">
      <c r="B15" s="639">
        <v>11</v>
      </c>
      <c r="C15" s="640">
        <f>IF($C$2=15.5,'S3'!A15,IF($C$2=16.5,'S3'!B15,IF($C$2=17.5,'S3'!C15,IF($C$2=18.5,'S3'!D15,IF($C$2=19.5,'S3'!E15,IF($C$2=20.5,'S3'!F15,IF($C$2=21.5,'S3'!G15,IF($C$2=22.5,'S3'!H15,IF($C$2=23.5,'S3'!I15,IF($C$2=24.5,'S3'!J15,IF($C$2=25.5,'S3'!K15,IF($C$2=26.5,'S3'!L15,IF($C$2=27.5,'S3'!M15,IF($C$2=28.5,'S3'!N15,IF($C$2=29.5,'S3'!O15,IF($C$2=30.5,'S3'!P15,IF($C$2=31.5,'S3'!Q15,IF($C$2=32.5,'S3'!R15,IF($C$2=33.5,'S3'!S15,IF($C$2=34.5,'S3'!T15,IF($C$2=35.5,'S3'!U15)))))))))))))))))))))</f>
        <v>29.89</v>
      </c>
      <c r="D15" s="641">
        <f>ROUND(C15*1.4,2)</f>
        <v>41.85</v>
      </c>
      <c r="E15" s="641">
        <f>IF($E$2=15.5,'S3'!AF15,IF($E$2=16.5,'S3'!AG15,IF($E$2=17.5,'S3'!AH15,IF($E$2=18.5,'S3'!AI15,IF($E$2=19.5,'S3'!AJ15,IF($E$2=20.5,'S3'!AK15,IF($E$2=21.5,'S3'!AL15,IF($E$2=22.5,'S3'!AM15,IF($E$2=23.5,'S3'!AN15,IF($E$2=24.5,'S3'!AO15,IF($E$2=25.5,'S3'!AP15,IF($E$2=26.5,'S3'!AQ15,IF($E$2=27.5,'S3'!AR15,IF($E$2=28.5,'S3'!AS15,IF($E$2=29.5,'S3'!AT15,IF($E$2=30.5,'S3'!AU15,IF($E$2=31.5,'S3'!AV15,IF($E$2=32.5,'S3'!AW15,IF($E$2=33.5,'S3'!AX15,IF($E$2=34.5,'S3'!AY15,IF($E$2=35.5,'S3'!AZ15)))))))))))))))))))))</f>
        <v>19.2</v>
      </c>
      <c r="F15" s="641">
        <f t="shared" si="1"/>
        <v>26.88</v>
      </c>
      <c r="H15" s="633" t="s">
        <v>96</v>
      </c>
      <c r="I15" s="642" t="s">
        <v>33</v>
      </c>
      <c r="J15" s="635">
        <v>5.35</v>
      </c>
      <c r="K15" s="635">
        <v>5.51</v>
      </c>
      <c r="L15" s="635">
        <v>8.48</v>
      </c>
      <c r="M15" s="635">
        <v>5.64</v>
      </c>
      <c r="N15" s="635">
        <v>5.6</v>
      </c>
      <c r="O15" s="635">
        <v>5.76</v>
      </c>
      <c r="P15" s="635">
        <v>5.73</v>
      </c>
      <c r="Q15" s="635">
        <v>5.89</v>
      </c>
      <c r="R15" s="635">
        <v>5.86</v>
      </c>
      <c r="S15" s="635">
        <v>6.02</v>
      </c>
      <c r="T15" s="635">
        <v>5.99</v>
      </c>
      <c r="U15" s="635">
        <v>6.15</v>
      </c>
      <c r="V15" s="635">
        <v>6.12</v>
      </c>
      <c r="W15" s="635">
        <v>6.28</v>
      </c>
      <c r="X15" s="643">
        <v>6.25</v>
      </c>
      <c r="Y15" s="643">
        <v>6.41</v>
      </c>
      <c r="Z15" s="643">
        <v>6.38</v>
      </c>
      <c r="AA15" s="643">
        <v>6.54</v>
      </c>
      <c r="AB15" s="643">
        <v>6.51</v>
      </c>
      <c r="AC15" s="643">
        <v>6.67</v>
      </c>
      <c r="AD15" s="643">
        <v>6.63</v>
      </c>
      <c r="AE15" s="643">
        <v>6.79</v>
      </c>
      <c r="AF15" s="643">
        <v>6.76</v>
      </c>
      <c r="AG15" s="643">
        <v>6.92</v>
      </c>
      <c r="AH15" s="643">
        <v>6.89</v>
      </c>
      <c r="AI15" s="643">
        <v>7.05</v>
      </c>
      <c r="AJ15" s="643">
        <v>7.02</v>
      </c>
      <c r="AK15" s="643">
        <v>7.18</v>
      </c>
      <c r="AL15" s="643">
        <v>7.15</v>
      </c>
      <c r="AM15" s="643">
        <v>7.31</v>
      </c>
      <c r="AN15" s="643">
        <v>7.28</v>
      </c>
      <c r="AO15" s="643">
        <v>7.44</v>
      </c>
      <c r="AP15" s="643">
        <v>7.41</v>
      </c>
      <c r="AQ15" s="643">
        <v>7.57</v>
      </c>
      <c r="AR15" s="644">
        <v>7.54</v>
      </c>
      <c r="AS15" s="644">
        <v>7.7</v>
      </c>
      <c r="AT15" s="644">
        <v>7.67</v>
      </c>
      <c r="AU15" s="644">
        <v>7.83</v>
      </c>
      <c r="AV15" s="644">
        <v>7.79</v>
      </c>
      <c r="AW15" s="644">
        <v>7.95</v>
      </c>
      <c r="AX15" s="644">
        <v>7.92</v>
      </c>
      <c r="AY15" s="644">
        <v>8.08</v>
      </c>
      <c r="AZ15" s="645">
        <v>7.28</v>
      </c>
      <c r="BA15" s="645">
        <v>7.42</v>
      </c>
      <c r="BB15" s="645">
        <v>7.41</v>
      </c>
      <c r="BC15" s="645">
        <v>7.55</v>
      </c>
      <c r="BD15" s="645">
        <v>7.54</v>
      </c>
      <c r="BE15" s="645">
        <v>7.68</v>
      </c>
      <c r="BF15" s="645">
        <v>7.67</v>
      </c>
      <c r="BG15" s="645">
        <v>7.81</v>
      </c>
      <c r="BH15" s="645">
        <v>5.35</v>
      </c>
      <c r="BI15" s="645">
        <v>5.49</v>
      </c>
      <c r="BJ15" s="645">
        <v>5.22</v>
      </c>
      <c r="BK15" s="645">
        <v>5.36</v>
      </c>
      <c r="BL15" s="645">
        <v>5.09</v>
      </c>
      <c r="BM15" s="645">
        <v>5.23</v>
      </c>
      <c r="BN15" s="645">
        <v>4.96</v>
      </c>
      <c r="BO15" s="645">
        <v>5.0999999999999996</v>
      </c>
      <c r="BP15" s="645">
        <v>4.84</v>
      </c>
      <c r="BQ15" s="645">
        <v>4.97</v>
      </c>
      <c r="BR15" s="646">
        <f t="shared" si="2"/>
        <v>7.67</v>
      </c>
      <c r="BS15" s="646">
        <f t="shared" si="5"/>
        <v>7.83</v>
      </c>
      <c r="BT15" s="647">
        <f>IF(ข้อมูล!$Q$14=0,BR15,IF(ข้อมูล!$Q$14=1,BS15,IF(ข้อมูล!$Q$14=2,BS15,)))</f>
        <v>7.67</v>
      </c>
      <c r="BW15" s="786">
        <f>VLOOKUP(BW13,BZ10:CG20,8)</f>
        <v>1.2533000000000001</v>
      </c>
      <c r="BX15" s="786">
        <f>VLOOKUP(BW13,BZ10:CH20,9)</f>
        <v>1.2673000000000001</v>
      </c>
      <c r="BY15" s="793">
        <f>VLOOKUP(BW13,BZ10:CI20,10)</f>
        <v>1.2855000000000001</v>
      </c>
      <c r="BZ15" s="663">
        <v>50</v>
      </c>
      <c r="CA15" s="667">
        <v>12</v>
      </c>
      <c r="CB15" s="664">
        <v>6.9413</v>
      </c>
      <c r="CC15" s="674">
        <v>1</v>
      </c>
      <c r="CD15" s="675">
        <v>5</v>
      </c>
      <c r="CE15" s="666">
        <f t="shared" si="6"/>
        <v>1.129413</v>
      </c>
      <c r="CF15" s="667">
        <f>CF9/100+1</f>
        <v>1.07</v>
      </c>
      <c r="CG15" s="668">
        <f t="shared" si="4"/>
        <v>1.2083999999999999</v>
      </c>
      <c r="CH15" s="676">
        <v>1.2204999999999999</v>
      </c>
      <c r="CI15" s="677">
        <v>1.2384999999999999</v>
      </c>
      <c r="CJ15" s="671"/>
    </row>
    <row r="16" spans="2:88" ht="18.75" thickBot="1" x14ac:dyDescent="0.35">
      <c r="B16" s="639">
        <v>12</v>
      </c>
      <c r="C16" s="640">
        <f>IF($C$2=15.5,'S3'!A16,IF($C$2=16.5,'S3'!B16,IF($C$2=17.5,'S3'!C16,IF($C$2=18.5,'S3'!D16,IF($C$2=19.5,'S3'!E16,IF($C$2=20.5,'S3'!F16,IF($C$2=21.5,'S3'!G16,IF($C$2=22.5,'S3'!H16,IF($C$2=23.5,'S3'!I16,IF($C$2=24.5,'S3'!J16,IF($C$2=25.5,'S3'!K16,IF($C$2=26.5,'S3'!L16,IF($C$2=27.5,'S3'!M16,IF($C$2=28.5,'S3'!N16,IF($C$2=29.5,'S3'!O16,IF($C$2=30.5,'S3'!P16,IF($C$2=31.5,'S3'!Q16,IF($C$2=32.5,'S3'!R16,IF($C$2=33.5,'S3'!S16,IF($C$2=34.5,'S3'!T16,IF($C$2=35.5,'S3'!U16)))))))))))))))))))))</f>
        <v>32.49</v>
      </c>
      <c r="D16" s="641">
        <f t="shared" si="3"/>
        <v>45.49</v>
      </c>
      <c r="E16" s="641">
        <f>IF($E$2=15.5,'S3'!AF16,IF($E$2=16.5,'S3'!AG16,IF($E$2=17.5,'S3'!AH16,IF($E$2=18.5,'S3'!AI16,IF($E$2=19.5,'S3'!AJ16,IF($E$2=20.5,'S3'!AK16,IF($E$2=21.5,'S3'!AL16,IF($E$2=22.5,'S3'!AM16,IF($E$2=23.5,'S3'!AN16,IF($E$2=24.5,'S3'!AO16,IF($E$2=25.5,'S3'!AP16,IF($E$2=26.5,'S3'!AQ16,IF($E$2=27.5,'S3'!AR16,IF($E$2=28.5,'S3'!AS16,IF($E$2=29.5,'S3'!AT16,IF($E$2=30.5,'S3'!AU16,IF($E$2=31.5,'S3'!AV16,IF($E$2=32.5,'S3'!AW16,IF($E$2=33.5,'S3'!AX16,IF($E$2=34.5,'S3'!AY16,IF($E$2=35.5,'S3'!AZ16)))))))))))))))))))))</f>
        <v>20.66</v>
      </c>
      <c r="F16" s="641">
        <f t="shared" si="1"/>
        <v>28.92</v>
      </c>
      <c r="H16" s="633" t="s">
        <v>97</v>
      </c>
      <c r="I16" s="642" t="s">
        <v>33</v>
      </c>
      <c r="J16" s="635">
        <v>5.26</v>
      </c>
      <c r="K16" s="635">
        <v>5.48</v>
      </c>
      <c r="L16" s="635">
        <v>5.38</v>
      </c>
      <c r="M16" s="635">
        <v>5.6</v>
      </c>
      <c r="N16" s="635">
        <v>5.5</v>
      </c>
      <c r="O16" s="635">
        <v>5.72</v>
      </c>
      <c r="P16" s="635">
        <v>5.62</v>
      </c>
      <c r="Q16" s="635">
        <v>5.84</v>
      </c>
      <c r="R16" s="635">
        <v>5.74</v>
      </c>
      <c r="S16" s="635">
        <v>5.96</v>
      </c>
      <c r="T16" s="635">
        <v>5.86</v>
      </c>
      <c r="U16" s="635">
        <v>6.08</v>
      </c>
      <c r="V16" s="635">
        <v>5.98</v>
      </c>
      <c r="W16" s="635">
        <v>6.2</v>
      </c>
      <c r="X16" s="643">
        <v>6.1</v>
      </c>
      <c r="Y16" s="643">
        <v>6.32</v>
      </c>
      <c r="Z16" s="643">
        <v>6.22</v>
      </c>
      <c r="AA16" s="643">
        <v>6.44</v>
      </c>
      <c r="AB16" s="643">
        <v>6.34</v>
      </c>
      <c r="AC16" s="643">
        <v>6.56</v>
      </c>
      <c r="AD16" s="643">
        <v>6.45</v>
      </c>
      <c r="AE16" s="643">
        <v>6.67</v>
      </c>
      <c r="AF16" s="643">
        <v>6.57</v>
      </c>
      <c r="AG16" s="643">
        <v>6.79</v>
      </c>
      <c r="AH16" s="643">
        <v>6.69</v>
      </c>
      <c r="AI16" s="643">
        <v>6.91</v>
      </c>
      <c r="AJ16" s="643">
        <v>6.81</v>
      </c>
      <c r="AK16" s="643">
        <v>7.03</v>
      </c>
      <c r="AL16" s="643">
        <v>6.93</v>
      </c>
      <c r="AM16" s="643">
        <v>7.15</v>
      </c>
      <c r="AN16" s="643">
        <v>7.05</v>
      </c>
      <c r="AO16" s="643">
        <v>7.27</v>
      </c>
      <c r="AP16" s="643">
        <v>7.17</v>
      </c>
      <c r="AQ16" s="643">
        <v>7.39</v>
      </c>
      <c r="AR16" s="644">
        <v>7.29</v>
      </c>
      <c r="AS16" s="644">
        <v>7.51</v>
      </c>
      <c r="AT16" s="644">
        <v>7.41</v>
      </c>
      <c r="AU16" s="644">
        <v>7.63</v>
      </c>
      <c r="AV16" s="644">
        <v>7.53</v>
      </c>
      <c r="AW16" s="644">
        <v>7.75</v>
      </c>
      <c r="AX16" s="644">
        <v>7.65</v>
      </c>
      <c r="AY16" s="644">
        <v>7.87</v>
      </c>
      <c r="AZ16" s="645">
        <v>6.91</v>
      </c>
      <c r="BA16" s="645">
        <v>7.11</v>
      </c>
      <c r="BB16" s="645">
        <v>7.03</v>
      </c>
      <c r="BC16" s="645">
        <v>7.23</v>
      </c>
      <c r="BD16" s="645">
        <v>7.15</v>
      </c>
      <c r="BE16" s="645">
        <v>7.35</v>
      </c>
      <c r="BF16" s="645">
        <v>7.27</v>
      </c>
      <c r="BG16" s="645">
        <v>7.47</v>
      </c>
      <c r="BH16" s="645">
        <v>5.12</v>
      </c>
      <c r="BI16" s="645">
        <v>5.32</v>
      </c>
      <c r="BJ16" s="645">
        <v>5</v>
      </c>
      <c r="BK16" s="645">
        <v>5.2</v>
      </c>
      <c r="BL16" s="645">
        <v>4.88</v>
      </c>
      <c r="BM16" s="645">
        <v>5.08</v>
      </c>
      <c r="BN16" s="645">
        <v>4.7699999999999996</v>
      </c>
      <c r="BO16" s="645">
        <v>4.96</v>
      </c>
      <c r="BP16" s="645">
        <v>4.6500000000000004</v>
      </c>
      <c r="BQ16" s="645">
        <v>4.84</v>
      </c>
      <c r="BR16" s="646">
        <f t="shared" si="2"/>
        <v>7.41</v>
      </c>
      <c r="BS16" s="646">
        <f t="shared" si="5"/>
        <v>7.63</v>
      </c>
      <c r="BT16" s="647">
        <f>IF(ข้อมูล!$Q$14=0,BR16,IF(ข้อมูล!$Q$14=1,BS16,IF(ข้อมูล!$Q$14=2,BS16,)))</f>
        <v>7.41</v>
      </c>
      <c r="BW16" s="786">
        <f>VLOOKUP(BW14,BZ10:CG20,8)</f>
        <v>1.2203999999999999</v>
      </c>
      <c r="BX16" s="786">
        <f>VLOOKUP(BW14,BZ10:CH20,9)</f>
        <v>1.2323999999999999</v>
      </c>
      <c r="BY16" s="793">
        <f>VLOOKUP(BW14,BZ10:CI20,10)</f>
        <v>1.2487999999999999</v>
      </c>
      <c r="BZ16" s="663">
        <v>60</v>
      </c>
      <c r="CA16" s="667">
        <v>13</v>
      </c>
      <c r="CB16" s="664">
        <v>6.3773</v>
      </c>
      <c r="CC16" s="674">
        <v>1</v>
      </c>
      <c r="CD16" s="675">
        <v>5</v>
      </c>
      <c r="CE16" s="666">
        <f t="shared" si="6"/>
        <v>1.1237729999999999</v>
      </c>
      <c r="CF16" s="667">
        <f>CF9/100+1</f>
        <v>1.07</v>
      </c>
      <c r="CG16" s="668">
        <f t="shared" si="4"/>
        <v>1.2023999999999999</v>
      </c>
      <c r="CH16" s="676">
        <v>1.214</v>
      </c>
      <c r="CI16" s="677">
        <v>1.232</v>
      </c>
      <c r="CJ16" s="671"/>
    </row>
    <row r="17" spans="2:88" ht="18.75" thickBot="1" x14ac:dyDescent="0.35">
      <c r="B17" s="639">
        <v>13</v>
      </c>
      <c r="C17" s="640">
        <f>IF($C$2=15.5,'S3'!A17,IF($C$2=16.5,'S3'!B17,IF($C$2=17.5,'S3'!C17,IF($C$2=18.5,'S3'!D17,IF($C$2=19.5,'S3'!E17,IF($C$2=20.5,'S3'!F17,IF($C$2=21.5,'S3'!G17,IF($C$2=22.5,'S3'!H17,IF($C$2=23.5,'S3'!I17,IF($C$2=24.5,'S3'!J17,IF($C$2=25.5,'S3'!K17,IF($C$2=26.5,'S3'!L17,IF($C$2=27.5,'S3'!M17,IF($C$2=28.5,'S3'!N17,IF($C$2=29.5,'S3'!O17,IF($C$2=30.5,'S3'!P17,IF($C$2=31.5,'S3'!Q17,IF($C$2=32.5,'S3'!R17,IF($C$2=33.5,'S3'!S17,IF($C$2=34.5,'S3'!T17,IF($C$2=35.5,'S3'!U17)))))))))))))))))))))</f>
        <v>35.1</v>
      </c>
      <c r="D17" s="641">
        <f t="shared" si="3"/>
        <v>49.14</v>
      </c>
      <c r="E17" s="641">
        <f>IF($E$2=15.5,'S3'!AF17,IF($E$2=16.5,'S3'!AG17,IF($E$2=17.5,'S3'!AH17,IF($E$2=18.5,'S3'!AI17,IF($E$2=19.5,'S3'!AJ17,IF($E$2=20.5,'S3'!AK17,IF($E$2=21.5,'S3'!AL17,IF($E$2=22.5,'S3'!AM17,IF($E$2=23.5,'S3'!AN17,IF($E$2=24.5,'S3'!AO17,IF($E$2=25.5,'S3'!AP17,IF($E$2=26.5,'S3'!AQ17,IF($E$2=27.5,'S3'!AR17,IF($E$2=28.5,'S3'!AS17,IF($E$2=29.5,'S3'!AT17,IF($E$2=30.5,'S3'!AU17,IF($E$2=31.5,'S3'!AV17,IF($E$2=32.5,'S3'!AW17,IF($E$2=33.5,'S3'!AX17,IF($E$2=34.5,'S3'!AY17,IF($E$2=35.5,'S3'!AZ17)))))))))))))))))))))</f>
        <v>22.12</v>
      </c>
      <c r="F17" s="641">
        <f t="shared" si="1"/>
        <v>30.97</v>
      </c>
      <c r="H17" s="633" t="s">
        <v>98</v>
      </c>
      <c r="I17" s="648"/>
      <c r="J17" s="635"/>
      <c r="K17" s="635"/>
      <c r="L17" s="635"/>
      <c r="M17" s="635"/>
      <c r="N17" s="635"/>
      <c r="O17" s="635"/>
      <c r="P17" s="635"/>
      <c r="Q17" s="635"/>
      <c r="R17" s="635"/>
      <c r="S17" s="635"/>
      <c r="T17" s="635"/>
      <c r="U17" s="635"/>
      <c r="V17" s="635"/>
      <c r="W17" s="635"/>
      <c r="X17" s="679"/>
      <c r="Y17" s="679"/>
      <c r="Z17" s="679"/>
      <c r="AA17" s="679"/>
      <c r="AB17" s="679"/>
      <c r="AC17" s="679"/>
      <c r="AD17" s="679"/>
      <c r="AE17" s="679"/>
      <c r="AF17" s="679"/>
      <c r="AG17" s="679"/>
      <c r="AH17" s="679"/>
      <c r="AI17" s="679"/>
      <c r="AJ17" s="679"/>
      <c r="AK17" s="679"/>
      <c r="AL17" s="679"/>
      <c r="AM17" s="679"/>
      <c r="AN17" s="679"/>
      <c r="AO17" s="679"/>
      <c r="AP17" s="679"/>
      <c r="AQ17" s="679"/>
      <c r="AR17" s="680"/>
      <c r="AS17" s="680"/>
      <c r="AT17" s="680"/>
      <c r="AU17" s="680"/>
      <c r="AV17" s="680"/>
      <c r="AW17" s="680"/>
      <c r="AX17" s="680"/>
      <c r="AY17" s="680"/>
      <c r="AZ17" s="681"/>
      <c r="BA17" s="681"/>
      <c r="BB17" s="681"/>
      <c r="BC17" s="681"/>
      <c r="BD17" s="681"/>
      <c r="BE17" s="681"/>
      <c r="BF17" s="681"/>
      <c r="BG17" s="681"/>
      <c r="BH17" s="681"/>
      <c r="BI17" s="681"/>
      <c r="BJ17" s="681"/>
      <c r="BK17" s="681"/>
      <c r="BL17" s="681"/>
      <c r="BM17" s="681"/>
      <c r="BN17" s="681"/>
      <c r="BO17" s="681"/>
      <c r="BP17" s="681"/>
      <c r="BQ17" s="681"/>
      <c r="BR17" s="652"/>
      <c r="BS17" s="652"/>
      <c r="BT17" s="653"/>
      <c r="BW17" s="787">
        <f>ROUND(IF(BW11&gt;5,BW15-((BW15-BW16)/(BW14-BW13)*(BW11-BW13)),BW15),4)</f>
        <v>1.2473000000000001</v>
      </c>
      <c r="BX17" s="787">
        <f>ROUND(IF(BW11&gt;5,BX15-((BX15-BX16)/(BW14-BW13)*(BW11-BW13)),BX15),4)</f>
        <v>1.2609999999999999</v>
      </c>
      <c r="BY17" s="794">
        <f>ROUND(IF(BW11&gt;5,BY15-((BY15-BY16)/(BW14-BW13)*(BW11-BW13)),BY15),4)</f>
        <v>1.2788999999999999</v>
      </c>
      <c r="BZ17" s="663">
        <v>70</v>
      </c>
      <c r="CA17" s="667">
        <v>14</v>
      </c>
      <c r="CB17" s="664">
        <v>6.3436000000000003</v>
      </c>
      <c r="CC17" s="674">
        <v>1</v>
      </c>
      <c r="CD17" s="675">
        <v>4.5</v>
      </c>
      <c r="CE17" s="666">
        <f t="shared" si="6"/>
        <v>1.118436</v>
      </c>
      <c r="CF17" s="667">
        <f>CF9/100+1</f>
        <v>1.07</v>
      </c>
      <c r="CG17" s="668">
        <f t="shared" si="4"/>
        <v>1.1967000000000001</v>
      </c>
      <c r="CH17" s="676">
        <v>1.2082999999999999</v>
      </c>
      <c r="CI17" s="677">
        <v>1.2266999999999999</v>
      </c>
      <c r="CJ17" s="671"/>
    </row>
    <row r="18" spans="2:88" ht="18.75" thickBot="1" x14ac:dyDescent="0.35">
      <c r="B18" s="639">
        <v>14</v>
      </c>
      <c r="C18" s="640">
        <f>IF($C$2=15.5,'S3'!A18,IF($C$2=16.5,'S3'!B18,IF($C$2=17.5,'S3'!C18,IF($C$2=18.5,'S3'!D18,IF($C$2=19.5,'S3'!E18,IF($C$2=20.5,'S3'!F18,IF($C$2=21.5,'S3'!G18,IF($C$2=22.5,'S3'!H18,IF($C$2=23.5,'S3'!I18,IF($C$2=24.5,'S3'!J18,IF($C$2=25.5,'S3'!K18,IF($C$2=26.5,'S3'!L18,IF($C$2=27.5,'S3'!M18,IF($C$2=28.5,'S3'!N18,IF($C$2=29.5,'S3'!O18,IF($C$2=30.5,'S3'!P18,IF($C$2=31.5,'S3'!Q18,IF($C$2=32.5,'S3'!R18,IF($C$2=33.5,'S3'!S18,IF($C$2=34.5,'S3'!T18,IF($C$2=35.5,'S3'!U18)))))))))))))))))))))</f>
        <v>37.700000000000003</v>
      </c>
      <c r="D18" s="641">
        <f t="shared" si="3"/>
        <v>52.78</v>
      </c>
      <c r="E18" s="641">
        <f>IF($E$2=15.5,'S3'!AF18,IF($E$2=16.5,'S3'!AG18,IF($E$2=17.5,'S3'!AH18,IF($E$2=18.5,'S3'!AI18,IF($E$2=19.5,'S3'!AJ18,IF($E$2=20.5,'S3'!AK18,IF($E$2=21.5,'S3'!AL18,IF($E$2=22.5,'S3'!AM18,IF($E$2=23.5,'S3'!AN18,IF($E$2=24.5,'S3'!AO18,IF($E$2=25.5,'S3'!AP18,IF($E$2=26.5,'S3'!AQ18,IF($E$2=27.5,'S3'!AR18,IF($E$2=28.5,'S3'!AS18,IF($E$2=29.5,'S3'!AT18,IF($E$2=30.5,'S3'!AU18,IF($E$2=31.5,'S3'!AV18,IF($E$2=32.5,'S3'!AW18,IF($E$2=33.5,'S3'!AX18,IF($E$2=34.5,'S3'!AY18,IF($E$2=35.5,'S3'!AZ18)))))))))))))))))))))</f>
        <v>23.59</v>
      </c>
      <c r="F18" s="641">
        <f t="shared" si="1"/>
        <v>33.03</v>
      </c>
      <c r="H18" s="634" t="s">
        <v>164</v>
      </c>
      <c r="I18" s="642"/>
      <c r="J18" s="635"/>
      <c r="K18" s="635"/>
      <c r="L18" s="635"/>
      <c r="M18" s="635"/>
      <c r="N18" s="635"/>
      <c r="O18" s="635"/>
      <c r="P18" s="635"/>
      <c r="Q18" s="635"/>
      <c r="R18" s="635"/>
      <c r="S18" s="635"/>
      <c r="T18" s="635"/>
      <c r="U18" s="635"/>
      <c r="V18" s="635"/>
      <c r="W18" s="635"/>
      <c r="X18" s="643"/>
      <c r="Y18" s="643"/>
      <c r="Z18" s="643"/>
      <c r="AA18" s="643"/>
      <c r="AB18" s="643"/>
      <c r="AC18" s="643"/>
      <c r="AD18" s="643"/>
      <c r="AE18" s="643"/>
      <c r="AF18" s="643"/>
      <c r="AG18" s="643"/>
      <c r="AH18" s="643"/>
      <c r="AI18" s="643"/>
      <c r="AJ18" s="643"/>
      <c r="AK18" s="643"/>
      <c r="AL18" s="643"/>
      <c r="AM18" s="643"/>
      <c r="AN18" s="643"/>
      <c r="AO18" s="643"/>
      <c r="AP18" s="643"/>
      <c r="AQ18" s="643"/>
      <c r="AR18" s="644"/>
      <c r="AS18" s="644"/>
      <c r="AT18" s="644"/>
      <c r="AU18" s="644"/>
      <c r="AV18" s="644"/>
      <c r="AW18" s="644"/>
      <c r="AX18" s="644"/>
      <c r="AY18" s="644"/>
      <c r="AZ18" s="645"/>
      <c r="BA18" s="645"/>
      <c r="BB18" s="645"/>
      <c r="BC18" s="645"/>
      <c r="BD18" s="645"/>
      <c r="BE18" s="645"/>
      <c r="BF18" s="645"/>
      <c r="BG18" s="645"/>
      <c r="BH18" s="645"/>
      <c r="BI18" s="645"/>
      <c r="BJ18" s="645"/>
      <c r="BK18" s="645"/>
      <c r="BL18" s="645"/>
      <c r="BM18" s="645"/>
      <c r="BN18" s="645"/>
      <c r="BO18" s="645"/>
      <c r="BP18" s="645"/>
      <c r="BQ18" s="645"/>
      <c r="BR18" s="652"/>
      <c r="BS18" s="652"/>
      <c r="BT18" s="653"/>
      <c r="BW18" s="788"/>
      <c r="BX18" s="788"/>
      <c r="BY18" s="795"/>
      <c r="BZ18" s="663">
        <v>80</v>
      </c>
      <c r="CA18" s="667">
        <v>15</v>
      </c>
      <c r="CB18" s="664">
        <v>6.0233999999999996</v>
      </c>
      <c r="CC18" s="674">
        <v>1</v>
      </c>
      <c r="CD18" s="675">
        <v>4.5</v>
      </c>
      <c r="CE18" s="666">
        <f t="shared" si="6"/>
        <v>1.1152340000000001</v>
      </c>
      <c r="CF18" s="667">
        <f>CF9/100+1</f>
        <v>1.07</v>
      </c>
      <c r="CG18" s="668">
        <f t="shared" si="4"/>
        <v>1.1933</v>
      </c>
      <c r="CH18" s="676">
        <v>1.2045999999999999</v>
      </c>
      <c r="CI18" s="677">
        <v>1.2230000000000001</v>
      </c>
      <c r="CJ18" s="671"/>
    </row>
    <row r="19" spans="2:88" ht="18.75" thickBot="1" x14ac:dyDescent="0.35">
      <c r="B19" s="639">
        <v>15</v>
      </c>
      <c r="C19" s="640">
        <f>IF($C$2=15.5,'S3'!A19,IF($C$2=16.5,'S3'!B19,IF($C$2=17.5,'S3'!C19,IF($C$2=18.5,'S3'!D19,IF($C$2=19.5,'S3'!E19,IF($C$2=20.5,'S3'!F19,IF($C$2=21.5,'S3'!G19,IF($C$2=22.5,'S3'!H19,IF($C$2=23.5,'S3'!I19,IF($C$2=24.5,'S3'!J19,IF($C$2=25.5,'S3'!K19,IF($C$2=26.5,'S3'!L19,IF($C$2=27.5,'S3'!M19,IF($C$2=28.5,'S3'!N19,IF($C$2=29.5,'S3'!O19,IF($C$2=30.5,'S3'!P19,IF($C$2=31.5,'S3'!Q19,IF($C$2=32.5,'S3'!R19,IF($C$2=33.5,'S3'!S19,IF($C$2=34.5,'S3'!T19,IF($C$2=35.5,'S3'!U19)))))))))))))))))))))</f>
        <v>40.299999999999997</v>
      </c>
      <c r="D19" s="641">
        <f t="shared" si="3"/>
        <v>56.42</v>
      </c>
      <c r="E19" s="641">
        <f>IF($E$2=15.5,'S3'!AF19,IF($E$2=16.5,'S3'!AG19,IF($E$2=17.5,'S3'!AH19,IF($E$2=18.5,'S3'!AI19,IF($E$2=19.5,'S3'!AJ19,IF($E$2=20.5,'S3'!AK19,IF($E$2=21.5,'S3'!AL19,IF($E$2=22.5,'S3'!AM19,IF($E$2=23.5,'S3'!AN19,IF($E$2=24.5,'S3'!AO19,IF($E$2=25.5,'S3'!AP19,IF($E$2=26.5,'S3'!AQ19,IF($E$2=27.5,'S3'!AR19,IF($E$2=28.5,'S3'!AS19,IF($E$2=29.5,'S3'!AT19,IF($E$2=30.5,'S3'!AU19,IF($E$2=31.5,'S3'!AV19,IF($E$2=32.5,'S3'!AW19,IF($E$2=33.5,'S3'!AX19,IF($E$2=34.5,'S3'!AY19,IF($E$2=35.5,'S3'!AZ19)))))))))))))))))))))</f>
        <v>25.11</v>
      </c>
      <c r="F19" s="641">
        <f t="shared" si="1"/>
        <v>35.15</v>
      </c>
      <c r="H19" s="634" t="s">
        <v>165</v>
      </c>
      <c r="I19" s="642" t="s">
        <v>33</v>
      </c>
      <c r="J19" s="635">
        <v>12.54</v>
      </c>
      <c r="K19" s="635">
        <v>13.25</v>
      </c>
      <c r="L19" s="635">
        <v>12.7</v>
      </c>
      <c r="M19" s="635">
        <v>13.41</v>
      </c>
      <c r="N19" s="635">
        <v>12.87</v>
      </c>
      <c r="O19" s="635">
        <v>13.58</v>
      </c>
      <c r="P19" s="635">
        <v>13.03</v>
      </c>
      <c r="Q19" s="635">
        <v>13.74</v>
      </c>
      <c r="R19" s="635">
        <v>13.2</v>
      </c>
      <c r="S19" s="635">
        <v>13.91</v>
      </c>
      <c r="T19" s="635">
        <v>13.37</v>
      </c>
      <c r="U19" s="635">
        <v>14.08</v>
      </c>
      <c r="V19" s="635">
        <v>13.53</v>
      </c>
      <c r="W19" s="635">
        <v>14.24</v>
      </c>
      <c r="X19" s="643">
        <v>13.7</v>
      </c>
      <c r="Y19" s="643">
        <v>14.41</v>
      </c>
      <c r="Z19" s="643">
        <v>13.86</v>
      </c>
      <c r="AA19" s="643">
        <v>14.57</v>
      </c>
      <c r="AB19" s="643">
        <v>14.03</v>
      </c>
      <c r="AC19" s="643">
        <v>14.74</v>
      </c>
      <c r="AD19" s="643">
        <v>14.19</v>
      </c>
      <c r="AE19" s="643">
        <v>14.9</v>
      </c>
      <c r="AF19" s="643">
        <v>14.36</v>
      </c>
      <c r="AG19" s="643">
        <v>15.07</v>
      </c>
      <c r="AH19" s="643">
        <v>14.52</v>
      </c>
      <c r="AI19" s="643">
        <v>15.23</v>
      </c>
      <c r="AJ19" s="643">
        <v>14.69</v>
      </c>
      <c r="AK19" s="643">
        <v>15.4</v>
      </c>
      <c r="AL19" s="643">
        <v>14.85</v>
      </c>
      <c r="AM19" s="643">
        <v>15.56</v>
      </c>
      <c r="AN19" s="643">
        <v>15.02</v>
      </c>
      <c r="AO19" s="643">
        <v>15.73</v>
      </c>
      <c r="AP19" s="643">
        <v>15.18</v>
      </c>
      <c r="AQ19" s="643">
        <v>15.89</v>
      </c>
      <c r="AR19" s="644">
        <v>15.35</v>
      </c>
      <c r="AS19" s="644">
        <v>16.059999999999999</v>
      </c>
      <c r="AT19" s="644">
        <v>15.52</v>
      </c>
      <c r="AU19" s="644">
        <v>16.23</v>
      </c>
      <c r="AV19" s="644">
        <v>15.68</v>
      </c>
      <c r="AW19" s="644">
        <v>16.39</v>
      </c>
      <c r="AX19" s="644">
        <v>15.85</v>
      </c>
      <c r="AY19" s="644">
        <v>16.559999999999999</v>
      </c>
      <c r="AZ19" s="645">
        <v>14.31</v>
      </c>
      <c r="BA19" s="645">
        <v>14.95</v>
      </c>
      <c r="BB19" s="645">
        <v>14.48</v>
      </c>
      <c r="BC19" s="645">
        <v>15.12</v>
      </c>
      <c r="BD19" s="645">
        <v>14.64</v>
      </c>
      <c r="BE19" s="645">
        <v>15.28</v>
      </c>
      <c r="BF19" s="645">
        <v>14.81</v>
      </c>
      <c r="BG19" s="645">
        <v>15.45</v>
      </c>
      <c r="BH19" s="645">
        <v>11.83</v>
      </c>
      <c r="BI19" s="645">
        <v>12.47</v>
      </c>
      <c r="BJ19" s="645">
        <v>11.66</v>
      </c>
      <c r="BK19" s="645">
        <v>12.3</v>
      </c>
      <c r="BL19" s="645">
        <v>11.5</v>
      </c>
      <c r="BM19" s="645">
        <v>12.14</v>
      </c>
      <c r="BN19" s="645">
        <v>11.33</v>
      </c>
      <c r="BO19" s="645">
        <v>11.97</v>
      </c>
      <c r="BP19" s="645">
        <v>11.17</v>
      </c>
      <c r="BQ19" s="645">
        <v>11.81</v>
      </c>
      <c r="BR19" s="646">
        <f t="shared" ref="BR19:BR21" si="7">IF($C$2=15.5,J19,IF($C$2=16.5,L19,IF($C$2=17.5,N19,IF($C$2=18.5,P19,IF($C$2=19.5,R19,IF($C$2=20.5,T19,IF($C$2=21.5,V19,IF($C$2=22.5,X19,IF($C$2=23.5,Z19,IF($C$2=24.5,AB19,IF($C$2=25.5,AD19,IF($C$2=26.5,AF19,IF($C$2=27.5,AH19,IF($C$2=28.5,AJ19,IF($C$2=29.5,AL19,IF($C$2=30.5,AN19,IF($C$2=31.5,AP19,IF($C$2=32.5,AR19,IF($C$2=33.5,AT19,IF($C$2=34.5,AV19,IF($C$2=35.5,AY19)))))))))))))))))))))</f>
        <v>15.52</v>
      </c>
      <c r="BS19" s="646">
        <f t="shared" ref="BS19:BS21" si="8">IF($C$2=15.5,K19,IF($C$2=16.5,M19,IF($C$2=17.5,O19,IF($C$2=18.5,Q19,IF($C$2=19.5,S19,IF($C$2=20.5,U19,IF($C$2=21.5,W19,IF($C$2=22.5,Y19,IF($C$2=23.5,AA19,IF($C$2=24.5,AC19,IF($C$2=25.5,AE19,IF($C$2=26.5,AG19,IF($C$2=27.5,AI19,IF($C$2=28.5,AK19,IF($C$2=29.5,AM19,IF($C$2=30.5,AO19,IF($C$2=31.5,AQ19,IF($C$2=32.5,AS19,IF($C$2=33.5,AU19)))))))))))))))))))</f>
        <v>16.23</v>
      </c>
      <c r="BT19" s="647">
        <f>IF(ข้อมูล!$Q$14=0,BR19,IF(ข้อมูล!$Q$14=1,BS19,IF(ข้อมูล!$Q$14=2,BS19,)))</f>
        <v>15.52</v>
      </c>
      <c r="BW19" s="789"/>
      <c r="BX19" s="789"/>
      <c r="BY19" s="796"/>
      <c r="BZ19" s="663">
        <v>90</v>
      </c>
      <c r="CA19" s="667">
        <v>15</v>
      </c>
      <c r="CB19" s="664">
        <v>5.4724000000000004</v>
      </c>
      <c r="CC19" s="674">
        <v>1</v>
      </c>
      <c r="CD19" s="675">
        <v>4.5</v>
      </c>
      <c r="CE19" s="666">
        <f t="shared" si="6"/>
        <v>1.1097239999999999</v>
      </c>
      <c r="CF19" s="667">
        <f>CF9/100+1</f>
        <v>1.07</v>
      </c>
      <c r="CG19" s="668">
        <f t="shared" si="4"/>
        <v>1.1874</v>
      </c>
      <c r="CH19" s="676">
        <v>1.1980999999999999</v>
      </c>
      <c r="CI19" s="677">
        <v>1.2159</v>
      </c>
      <c r="CJ19" s="671"/>
    </row>
    <row r="20" spans="2:88" ht="18.75" thickBot="1" x14ac:dyDescent="0.35">
      <c r="B20" s="639">
        <v>16</v>
      </c>
      <c r="C20" s="640">
        <f>IF($C$2=15.5,'S3'!A20,IF($C$2=16.5,'S3'!B20,IF($C$2=17.5,'S3'!C20,IF($C$2=18.5,'S3'!D20,IF($C$2=19.5,'S3'!E20,IF($C$2=20.5,'S3'!F20,IF($C$2=21.5,'S3'!G20,IF($C$2=22.5,'S3'!H20,IF($C$2=23.5,'S3'!I20,IF($C$2=24.5,'S3'!J20,IF($C$2=25.5,'S3'!K20,IF($C$2=26.5,'S3'!L20,IF($C$2=27.5,'S3'!M20,IF($C$2=28.5,'S3'!N20,IF($C$2=29.5,'S3'!O20,IF($C$2=30.5,'S3'!P20,IF($C$2=31.5,'S3'!Q20,IF($C$2=32.5,'S3'!R20,IF($C$2=33.5,'S3'!S20,IF($C$2=34.5,'S3'!T20,IF($C$2=35.5,'S3'!U20)))))))))))))))))))))</f>
        <v>42.91</v>
      </c>
      <c r="D20" s="641">
        <f t="shared" si="3"/>
        <v>60.07</v>
      </c>
      <c r="E20" s="641">
        <f>IF($E$2=15.5,'S3'!AF20,IF($E$2=16.5,'S3'!AG20,IF($E$2=17.5,'S3'!AH20,IF($E$2=18.5,'S3'!AI20,IF($E$2=19.5,'S3'!AJ20,IF($E$2=20.5,'S3'!AK20,IF($E$2=21.5,'S3'!AL20,IF($E$2=22.5,'S3'!AM20,IF($E$2=23.5,'S3'!AN20,IF($E$2=24.5,'S3'!AO20,IF($E$2=25.5,'S3'!AP20,IF($E$2=26.5,'S3'!AQ20,IF($E$2=27.5,'S3'!AR20,IF($E$2=28.5,'S3'!AS20,IF($E$2=29.5,'S3'!AT20,IF($E$2=30.5,'S3'!AU20,IF($E$2=31.5,'S3'!AV20,IF($E$2=32.5,'S3'!AW20,IF($E$2=33.5,'S3'!AX20,IF($E$2=34.5,'S3'!AY20,IF($E$2=35.5,'S3'!AZ20)))))))))))))))))))))</f>
        <v>26.74</v>
      </c>
      <c r="F20" s="641">
        <f t="shared" si="1"/>
        <v>37.44</v>
      </c>
      <c r="H20" s="634" t="s">
        <v>166</v>
      </c>
      <c r="I20" s="642" t="s">
        <v>33</v>
      </c>
      <c r="J20" s="635">
        <v>10.09</v>
      </c>
      <c r="K20" s="635">
        <v>10.66</v>
      </c>
      <c r="L20" s="635">
        <v>10.199999999999999</v>
      </c>
      <c r="M20" s="635">
        <v>10.77</v>
      </c>
      <c r="N20" s="635">
        <v>10.31</v>
      </c>
      <c r="O20" s="635">
        <v>10.88</v>
      </c>
      <c r="P20" s="635">
        <v>10.42</v>
      </c>
      <c r="Q20" s="635">
        <v>10.99</v>
      </c>
      <c r="R20" s="635">
        <v>10.53</v>
      </c>
      <c r="S20" s="635">
        <v>11.1</v>
      </c>
      <c r="T20" s="635">
        <v>10.64</v>
      </c>
      <c r="U20" s="635">
        <v>11.21</v>
      </c>
      <c r="V20" s="635">
        <v>10.27</v>
      </c>
      <c r="W20" s="635">
        <v>11.32</v>
      </c>
      <c r="X20" s="643">
        <v>10.86</v>
      </c>
      <c r="Y20" s="643">
        <v>11.43</v>
      </c>
      <c r="Z20" s="643">
        <v>10.97</v>
      </c>
      <c r="AA20" s="643">
        <v>11.54</v>
      </c>
      <c r="AB20" s="643">
        <v>11.08</v>
      </c>
      <c r="AC20" s="643">
        <v>11.65</v>
      </c>
      <c r="AD20" s="643">
        <v>11.19</v>
      </c>
      <c r="AE20" s="643">
        <v>11.76</v>
      </c>
      <c r="AF20" s="643">
        <v>11.3</v>
      </c>
      <c r="AG20" s="643">
        <v>11.87</v>
      </c>
      <c r="AH20" s="643">
        <v>11.41</v>
      </c>
      <c r="AI20" s="643">
        <v>11.98</v>
      </c>
      <c r="AJ20" s="643">
        <v>11.52</v>
      </c>
      <c r="AK20" s="643">
        <v>12.09</v>
      </c>
      <c r="AL20" s="643">
        <v>11.63</v>
      </c>
      <c r="AM20" s="643">
        <v>12.2</v>
      </c>
      <c r="AN20" s="643">
        <v>11.74</v>
      </c>
      <c r="AO20" s="643">
        <v>12.31</v>
      </c>
      <c r="AP20" s="643">
        <v>11.85</v>
      </c>
      <c r="AQ20" s="643">
        <v>12.42</v>
      </c>
      <c r="AR20" s="644">
        <v>11.96</v>
      </c>
      <c r="AS20" s="644">
        <v>12.53</v>
      </c>
      <c r="AT20" s="644">
        <v>12.07</v>
      </c>
      <c r="AU20" s="644">
        <v>12.64</v>
      </c>
      <c r="AV20" s="644">
        <v>12.18</v>
      </c>
      <c r="AW20" s="644">
        <v>12.75</v>
      </c>
      <c r="AX20" s="644">
        <v>12.29</v>
      </c>
      <c r="AY20" s="644">
        <v>12.86</v>
      </c>
      <c r="AZ20" s="645">
        <v>11.04</v>
      </c>
      <c r="BA20" s="645">
        <v>11.57</v>
      </c>
      <c r="BB20" s="645">
        <v>11.15</v>
      </c>
      <c r="BC20" s="645">
        <v>11.68</v>
      </c>
      <c r="BD20" s="645">
        <v>11.26</v>
      </c>
      <c r="BE20" s="645">
        <v>11.79</v>
      </c>
      <c r="BF20" s="645">
        <v>11.38</v>
      </c>
      <c r="BG20" s="645">
        <v>11.9</v>
      </c>
      <c r="BH20" s="645">
        <v>9.39</v>
      </c>
      <c r="BI20" s="645">
        <v>9.91</v>
      </c>
      <c r="BJ20" s="645">
        <v>9.2799999999999994</v>
      </c>
      <c r="BK20" s="645">
        <v>9.8000000000000007</v>
      </c>
      <c r="BL20" s="645">
        <v>9.17</v>
      </c>
      <c r="BM20" s="645">
        <v>9.69</v>
      </c>
      <c r="BN20" s="645">
        <v>9.06</v>
      </c>
      <c r="BO20" s="645">
        <v>9.58</v>
      </c>
      <c r="BP20" s="645">
        <v>8.9499999999999993</v>
      </c>
      <c r="BQ20" s="645">
        <v>9.4700000000000006</v>
      </c>
      <c r="BR20" s="646">
        <f t="shared" si="7"/>
        <v>12.07</v>
      </c>
      <c r="BS20" s="646">
        <f t="shared" si="8"/>
        <v>12.64</v>
      </c>
      <c r="BT20" s="647">
        <f>IF(ข้อมูล!$Q$14=0,BR20,IF(ข้อมูล!$Q$14=1,BS20,IF(ข้อมูล!$Q$14=2,BS20,)))</f>
        <v>12.07</v>
      </c>
      <c r="BW20" s="790"/>
      <c r="BX20" s="790"/>
      <c r="BY20" s="797"/>
      <c r="BZ20" s="658">
        <v>100</v>
      </c>
      <c r="CA20" s="659">
        <v>15</v>
      </c>
      <c r="CB20" s="682">
        <v>5.1694000000000004</v>
      </c>
      <c r="CC20" s="780">
        <v>1</v>
      </c>
      <c r="CD20" s="683">
        <v>4.5</v>
      </c>
      <c r="CE20" s="684">
        <f t="shared" si="6"/>
        <v>1.1066940000000001</v>
      </c>
      <c r="CF20" s="660">
        <f>CF9/100+1</f>
        <v>1.07</v>
      </c>
      <c r="CG20" s="781">
        <f t="shared" si="4"/>
        <v>1.1840999999999999</v>
      </c>
      <c r="CH20" s="685">
        <v>1.1943999999999999</v>
      </c>
      <c r="CI20" s="686">
        <v>1.2119</v>
      </c>
      <c r="CJ20" s="671"/>
    </row>
    <row r="21" spans="2:88" ht="18.75" thickBot="1" x14ac:dyDescent="0.35">
      <c r="B21" s="639">
        <v>17</v>
      </c>
      <c r="C21" s="640">
        <f>IF($C$2=15.5,'S3'!A21,IF($C$2=16.5,'S3'!B21,IF($C$2=17.5,'S3'!C21,IF($C$2=18.5,'S3'!D21,IF($C$2=19.5,'S3'!E21,IF($C$2=20.5,'S3'!F21,IF($C$2=21.5,'S3'!G21,IF($C$2=22.5,'S3'!H21,IF($C$2=23.5,'S3'!I21,IF($C$2=24.5,'S3'!J21,IF($C$2=25.5,'S3'!K21,IF($C$2=26.5,'S3'!L21,IF($C$2=27.5,'S3'!M21,IF($C$2=28.5,'S3'!N21,IF($C$2=29.5,'S3'!O21,IF($C$2=30.5,'S3'!P21,IF($C$2=31.5,'S3'!Q21,IF($C$2=32.5,'S3'!R21,IF($C$2=33.5,'S3'!S21,IF($C$2=34.5,'S3'!T21,IF($C$2=35.5,'S3'!U21)))))))))))))))))))))</f>
        <v>45.51</v>
      </c>
      <c r="D21" s="641">
        <f t="shared" si="3"/>
        <v>63.71</v>
      </c>
      <c r="E21" s="641">
        <f>IF($E$2=15.5,'S3'!AF21,IF($E$2=16.5,'S3'!AG21,IF($E$2=17.5,'S3'!AH21,IF($E$2=18.5,'S3'!AI21,IF($E$2=19.5,'S3'!AJ21,IF($E$2=20.5,'S3'!AK21,IF($E$2=21.5,'S3'!AL21,IF($E$2=22.5,'S3'!AM21,IF($E$2=23.5,'S3'!AN21,IF($E$2=24.5,'S3'!AO21,IF($E$2=25.5,'S3'!AP21,IF($E$2=26.5,'S3'!AQ21,IF($E$2=27.5,'S3'!AR21,IF($E$2=28.5,'S3'!AS21,IF($E$2=29.5,'S3'!AT21,IF($E$2=30.5,'S3'!AU21,IF($E$2=31.5,'S3'!AV21,IF($E$2=32.5,'S3'!AW21,IF($E$2=33.5,'S3'!AX21,IF($E$2=34.5,'S3'!AY21,IF($E$2=35.5,'S3'!AZ21)))))))))))))))))))))</f>
        <v>28.37</v>
      </c>
      <c r="F21" s="641">
        <f t="shared" si="1"/>
        <v>39.72</v>
      </c>
      <c r="H21" s="634" t="s">
        <v>167</v>
      </c>
      <c r="I21" s="642" t="s">
        <v>99</v>
      </c>
      <c r="J21" s="635">
        <v>221.46</v>
      </c>
      <c r="K21" s="635">
        <v>225.65</v>
      </c>
      <c r="L21" s="635">
        <v>232.24</v>
      </c>
      <c r="M21" s="635">
        <v>236.43</v>
      </c>
      <c r="N21" s="635">
        <v>243.03</v>
      </c>
      <c r="O21" s="635">
        <v>247.22</v>
      </c>
      <c r="P21" s="635">
        <v>253.81</v>
      </c>
      <c r="Q21" s="635">
        <v>258</v>
      </c>
      <c r="R21" s="635">
        <v>264.58999999999997</v>
      </c>
      <c r="S21" s="635">
        <v>268.77999999999997</v>
      </c>
      <c r="T21" s="635">
        <v>275.38</v>
      </c>
      <c r="U21" s="635">
        <v>279.57</v>
      </c>
      <c r="V21" s="635">
        <v>286.16000000000003</v>
      </c>
      <c r="W21" s="635">
        <v>290.35000000000002</v>
      </c>
      <c r="X21" s="643">
        <v>296.94</v>
      </c>
      <c r="Y21" s="643">
        <v>301.13</v>
      </c>
      <c r="Z21" s="643">
        <v>307.73</v>
      </c>
      <c r="AA21" s="643">
        <v>311.92</v>
      </c>
      <c r="AB21" s="643">
        <v>318.51</v>
      </c>
      <c r="AC21" s="643">
        <v>322.7</v>
      </c>
      <c r="AD21" s="643">
        <v>329.29</v>
      </c>
      <c r="AE21" s="643">
        <v>333.48</v>
      </c>
      <c r="AF21" s="643">
        <v>340.08</v>
      </c>
      <c r="AG21" s="643">
        <v>344.27</v>
      </c>
      <c r="AH21" s="643">
        <v>350.86</v>
      </c>
      <c r="AI21" s="643">
        <v>355.05</v>
      </c>
      <c r="AJ21" s="643">
        <v>361.64</v>
      </c>
      <c r="AK21" s="643">
        <v>365.83</v>
      </c>
      <c r="AL21" s="643">
        <v>372.43</v>
      </c>
      <c r="AM21" s="643">
        <v>376.62</v>
      </c>
      <c r="AN21" s="643">
        <v>383.21</v>
      </c>
      <c r="AO21" s="643">
        <v>387.4</v>
      </c>
      <c r="AP21" s="643">
        <v>393.99</v>
      </c>
      <c r="AQ21" s="643">
        <v>398.18</v>
      </c>
      <c r="AR21" s="644">
        <v>404.78</v>
      </c>
      <c r="AS21" s="644">
        <v>408.97</v>
      </c>
      <c r="AT21" s="644">
        <v>415.56</v>
      </c>
      <c r="AU21" s="644">
        <v>419.75</v>
      </c>
      <c r="AV21" s="644">
        <v>426.35</v>
      </c>
      <c r="AW21" s="644">
        <v>430.54</v>
      </c>
      <c r="AX21" s="644">
        <v>437.13</v>
      </c>
      <c r="AY21" s="644">
        <v>441.32</v>
      </c>
      <c r="AZ21" s="645">
        <v>445.64</v>
      </c>
      <c r="BA21" s="645">
        <v>449.84</v>
      </c>
      <c r="BB21" s="645">
        <v>456.43</v>
      </c>
      <c r="BC21" s="645">
        <v>460.62</v>
      </c>
      <c r="BD21" s="645">
        <v>467.21</v>
      </c>
      <c r="BE21" s="645">
        <v>471.4</v>
      </c>
      <c r="BF21" s="645">
        <v>478</v>
      </c>
      <c r="BG21" s="645">
        <v>482.19</v>
      </c>
      <c r="BH21" s="645">
        <v>283.89</v>
      </c>
      <c r="BI21" s="645">
        <v>288.08</v>
      </c>
      <c r="BJ21" s="645">
        <v>273.11</v>
      </c>
      <c r="BK21" s="645">
        <v>277.3</v>
      </c>
      <c r="BL21" s="645">
        <v>262.32</v>
      </c>
      <c r="BM21" s="645">
        <v>266.52</v>
      </c>
      <c r="BN21" s="645">
        <v>251.54</v>
      </c>
      <c r="BO21" s="645">
        <v>255.73</v>
      </c>
      <c r="BP21" s="645">
        <v>240.76</v>
      </c>
      <c r="BQ21" s="645">
        <v>244.95</v>
      </c>
      <c r="BR21" s="646">
        <f t="shared" si="7"/>
        <v>415.56</v>
      </c>
      <c r="BS21" s="646">
        <f t="shared" si="8"/>
        <v>419.75</v>
      </c>
      <c r="BT21" s="647">
        <f>IF(ข้อมูล!$Q$14=0,BR21,IF(ข้อมูล!$Q$14=1,BS21,IF(ข้อมูล!$Q$14=2,BS21,)))</f>
        <v>415.56</v>
      </c>
    </row>
    <row r="22" spans="2:88" ht="18.75" thickBot="1" x14ac:dyDescent="0.35">
      <c r="B22" s="639">
        <v>18</v>
      </c>
      <c r="C22" s="640">
        <f>IF($C$2=15.5,'S3'!A22,IF($C$2=16.5,'S3'!B22,IF($C$2=17.5,'S3'!C22,IF($C$2=18.5,'S3'!D22,IF($C$2=19.5,'S3'!E22,IF($C$2=20.5,'S3'!F22,IF($C$2=21.5,'S3'!G22,IF($C$2=22.5,'S3'!H22,IF($C$2=23.5,'S3'!I22,IF($C$2=24.5,'S3'!J22,IF($C$2=25.5,'S3'!K22,IF($C$2=26.5,'S3'!L22,IF($C$2=27.5,'S3'!M22,IF($C$2=28.5,'S3'!N22,IF($C$2=29.5,'S3'!O22,IF($C$2=30.5,'S3'!P22,IF($C$2=31.5,'S3'!Q22,IF($C$2=32.5,'S3'!R22,IF($C$2=33.5,'S3'!S22,IF($C$2=34.5,'S3'!T22,IF($C$2=35.5,'S3'!U22)))))))))))))))))))))</f>
        <v>48.11</v>
      </c>
      <c r="D22" s="641">
        <f t="shared" si="3"/>
        <v>67.349999999999994</v>
      </c>
      <c r="E22" s="641">
        <f>IF($E$2=15.5,'S3'!AF22,IF($E$2=16.5,'S3'!AG22,IF($E$2=17.5,'S3'!AH22,IF($E$2=18.5,'S3'!AI22,IF($E$2=19.5,'S3'!AJ22,IF($E$2=20.5,'S3'!AK22,IF($E$2=21.5,'S3'!AL22,IF($E$2=22.5,'S3'!AM22,IF($E$2=23.5,'S3'!AN22,IF($E$2=24.5,'S3'!AO22,IF($E$2=25.5,'S3'!AP22,IF($E$2=26.5,'S3'!AQ22,IF($E$2=27.5,'S3'!AR22,IF($E$2=28.5,'S3'!AS22,IF($E$2=29.5,'S3'!AT22,IF($E$2=30.5,'S3'!AU22,IF($E$2=31.5,'S3'!AV22,IF($E$2=32.5,'S3'!AW22,IF($E$2=33.5,'S3'!AX22,IF($E$2=34.5,'S3'!AY22,IF($E$2=35.5,'S3'!AZ22)))))))))))))))))))))</f>
        <v>30</v>
      </c>
      <c r="F22" s="641">
        <f t="shared" si="1"/>
        <v>42</v>
      </c>
      <c r="H22" s="633" t="s">
        <v>100</v>
      </c>
      <c r="I22" s="648"/>
      <c r="J22" s="635"/>
      <c r="K22" s="635"/>
      <c r="L22" s="635"/>
      <c r="M22" s="635"/>
      <c r="N22" s="635"/>
      <c r="O22" s="635"/>
      <c r="P22" s="635"/>
      <c r="Q22" s="635"/>
      <c r="R22" s="635"/>
      <c r="S22" s="635"/>
      <c r="T22" s="635"/>
      <c r="U22" s="635"/>
      <c r="V22" s="635"/>
      <c r="W22" s="635"/>
      <c r="X22" s="643"/>
      <c r="Y22" s="643"/>
      <c r="Z22" s="643"/>
      <c r="AA22" s="643"/>
      <c r="AB22" s="643"/>
      <c r="AC22" s="643"/>
      <c r="AD22" s="643"/>
      <c r="AE22" s="643"/>
      <c r="AF22" s="643"/>
      <c r="AG22" s="643"/>
      <c r="AH22" s="643"/>
      <c r="AI22" s="643"/>
      <c r="AJ22" s="643"/>
      <c r="AK22" s="643"/>
      <c r="AL22" s="643"/>
      <c r="AM22" s="643"/>
      <c r="AN22" s="643"/>
      <c r="AO22" s="643"/>
      <c r="AP22" s="643"/>
      <c r="AQ22" s="643"/>
      <c r="AR22" s="644"/>
      <c r="AS22" s="644"/>
      <c r="AT22" s="644"/>
      <c r="AU22" s="644"/>
      <c r="AV22" s="644"/>
      <c r="AW22" s="644"/>
      <c r="AX22" s="644"/>
      <c r="AY22" s="644"/>
      <c r="AZ22" s="645"/>
      <c r="BA22" s="645"/>
      <c r="BB22" s="645"/>
      <c r="BC22" s="645"/>
      <c r="BD22" s="645"/>
      <c r="BE22" s="645"/>
      <c r="BF22" s="645"/>
      <c r="BG22" s="645"/>
      <c r="BH22" s="645"/>
      <c r="BI22" s="645"/>
      <c r="BJ22" s="645"/>
      <c r="BK22" s="645"/>
      <c r="BL22" s="645"/>
      <c r="BM22" s="645"/>
      <c r="BN22" s="645"/>
      <c r="BO22" s="645"/>
      <c r="BP22" s="645"/>
      <c r="BQ22" s="645"/>
      <c r="BR22" s="652"/>
      <c r="BS22" s="652"/>
      <c r="BT22" s="653"/>
      <c r="BW22" s="687" t="s">
        <v>105</v>
      </c>
      <c r="BX22" s="688" t="s">
        <v>106</v>
      </c>
      <c r="BY22" s="689" t="s">
        <v>105</v>
      </c>
      <c r="CA22" s="690"/>
    </row>
    <row r="23" spans="2:88" ht="18.75" thickBot="1" x14ac:dyDescent="0.35">
      <c r="B23" s="639">
        <v>19</v>
      </c>
      <c r="C23" s="640">
        <f>IF($C$2=15.5,'S3'!A23,IF($C$2=16.5,'S3'!B23,IF($C$2=17.5,'S3'!C23,IF($C$2=18.5,'S3'!D23,IF($C$2=19.5,'S3'!E23,IF($C$2=20.5,'S3'!F23,IF($C$2=21.5,'S3'!G23,IF($C$2=22.5,'S3'!H23,IF($C$2=23.5,'S3'!I23,IF($C$2=24.5,'S3'!J23,IF($C$2=25.5,'S3'!K23,IF($C$2=26.5,'S3'!L23,IF($C$2=27.5,'S3'!M23,IF($C$2=28.5,'S3'!N23,IF($C$2=29.5,'S3'!O23,IF($C$2=30.5,'S3'!P23,IF($C$2=31.5,'S3'!Q23,IF($C$2=32.5,'S3'!R23,IF($C$2=33.5,'S3'!S23,IF($C$2=34.5,'S3'!T23,IF($C$2=35.5,'S3'!U23)))))))))))))))))))))</f>
        <v>50.72</v>
      </c>
      <c r="D23" s="641">
        <f t="shared" si="3"/>
        <v>71.010000000000005</v>
      </c>
      <c r="E23" s="641">
        <f>IF($E$2=15.5,'S3'!AF23,IF($E$2=16.5,'S3'!AG23,IF($E$2=17.5,'S3'!AH23,IF($E$2=18.5,'S3'!AI23,IF($E$2=19.5,'S3'!AJ23,IF($E$2=20.5,'S3'!AK23,IF($E$2=21.5,'S3'!AL23,IF($E$2=22.5,'S3'!AM23,IF($E$2=23.5,'S3'!AN23,IF($E$2=24.5,'S3'!AO23,IF($E$2=25.5,'S3'!AP23,IF($E$2=26.5,'S3'!AQ23,IF($E$2=27.5,'S3'!AR23,IF($E$2=28.5,'S3'!AS23,IF($E$2=29.5,'S3'!AT23,IF($E$2=30.5,'S3'!AU23,IF($E$2=31.5,'S3'!AV23,IF($E$2=32.5,'S3'!AW23,IF($E$2=33.5,'S3'!AX23,IF($E$2=34.5,'S3'!AY23,IF($E$2=35.5,'S3'!AZ23)))))))))))))))))))))</f>
        <v>31.63</v>
      </c>
      <c r="F23" s="641">
        <f t="shared" si="1"/>
        <v>44.28</v>
      </c>
      <c r="H23" s="634" t="s">
        <v>101</v>
      </c>
      <c r="I23" s="642" t="s">
        <v>102</v>
      </c>
      <c r="J23" s="635">
        <v>12.73</v>
      </c>
      <c r="K23" s="635">
        <v>13.28</v>
      </c>
      <c r="L23" s="635">
        <v>12.99</v>
      </c>
      <c r="M23" s="635">
        <v>13.54</v>
      </c>
      <c r="N23" s="635">
        <v>13.25</v>
      </c>
      <c r="O23" s="635">
        <v>13.8</v>
      </c>
      <c r="P23" s="635">
        <v>13.51</v>
      </c>
      <c r="Q23" s="635">
        <v>14.06</v>
      </c>
      <c r="R23" s="635">
        <v>13.77</v>
      </c>
      <c r="S23" s="635">
        <v>14.32</v>
      </c>
      <c r="T23" s="635">
        <v>14.03</v>
      </c>
      <c r="U23" s="635">
        <v>14.58</v>
      </c>
      <c r="V23" s="635">
        <v>14.29</v>
      </c>
      <c r="W23" s="635">
        <v>14.84</v>
      </c>
      <c r="X23" s="679">
        <v>14.55</v>
      </c>
      <c r="Y23" s="679">
        <v>15.1</v>
      </c>
      <c r="Z23" s="679">
        <v>14.81</v>
      </c>
      <c r="AA23" s="679">
        <v>15.36</v>
      </c>
      <c r="AB23" s="679">
        <v>15.07</v>
      </c>
      <c r="AC23" s="679">
        <v>15.62</v>
      </c>
      <c r="AD23" s="679">
        <v>15.33</v>
      </c>
      <c r="AE23" s="679">
        <v>15.88</v>
      </c>
      <c r="AF23" s="679">
        <v>15.59</v>
      </c>
      <c r="AG23" s="679">
        <v>16.14</v>
      </c>
      <c r="AH23" s="679">
        <v>14.97</v>
      </c>
      <c r="AI23" s="679">
        <v>15.46</v>
      </c>
      <c r="AJ23" s="679">
        <v>15.23</v>
      </c>
      <c r="AK23" s="679">
        <v>15.72</v>
      </c>
      <c r="AL23" s="679">
        <v>15.49</v>
      </c>
      <c r="AM23" s="679">
        <v>15.98</v>
      </c>
      <c r="AN23" s="679">
        <v>15.75</v>
      </c>
      <c r="AO23" s="679">
        <v>16.239999999999998</v>
      </c>
      <c r="AP23" s="679">
        <v>16.010000000000002</v>
      </c>
      <c r="AQ23" s="679">
        <v>16.5</v>
      </c>
      <c r="AR23" s="680">
        <v>16.27</v>
      </c>
      <c r="AS23" s="680">
        <v>16.760000000000002</v>
      </c>
      <c r="AT23" s="680">
        <v>16.53</v>
      </c>
      <c r="AU23" s="680">
        <v>17.02</v>
      </c>
      <c r="AV23" s="680">
        <v>16.79</v>
      </c>
      <c r="AW23" s="680">
        <v>17.28</v>
      </c>
      <c r="AX23" s="680">
        <v>17.05</v>
      </c>
      <c r="AY23" s="680">
        <v>17.54</v>
      </c>
      <c r="AZ23" s="681">
        <v>16.3</v>
      </c>
      <c r="BA23" s="681">
        <v>16.78</v>
      </c>
      <c r="BB23" s="681">
        <v>16.559999999999999</v>
      </c>
      <c r="BC23" s="681">
        <v>17.04</v>
      </c>
      <c r="BD23" s="681">
        <v>16.82</v>
      </c>
      <c r="BE23" s="681">
        <v>17.3</v>
      </c>
      <c r="BF23" s="681">
        <v>17.079999999999998</v>
      </c>
      <c r="BG23" s="681">
        <v>17.559999999999999</v>
      </c>
      <c r="BH23" s="681">
        <v>12.4</v>
      </c>
      <c r="BI23" s="681">
        <v>12.88</v>
      </c>
      <c r="BJ23" s="681">
        <v>12.14</v>
      </c>
      <c r="BK23" s="681">
        <v>12.62</v>
      </c>
      <c r="BL23" s="681">
        <v>11.88</v>
      </c>
      <c r="BM23" s="681">
        <v>12.36</v>
      </c>
      <c r="BN23" s="681">
        <v>11.62</v>
      </c>
      <c r="BO23" s="681">
        <v>12.1</v>
      </c>
      <c r="BP23" s="681">
        <v>11.36</v>
      </c>
      <c r="BQ23" s="681">
        <v>11.84</v>
      </c>
      <c r="BR23" s="646">
        <f t="shared" ref="BR23:BR25" si="9">IF($C$2=15.5,J23,IF($C$2=16.5,L23,IF($C$2=17.5,N23,IF($C$2=18.5,P23,IF($C$2=19.5,R23,IF($C$2=20.5,T23,IF($C$2=21.5,V23,IF($C$2=22.5,X23,IF($C$2=23.5,Z23,IF($C$2=24.5,AB23,IF($C$2=25.5,AD23,IF($C$2=26.5,AF23,IF($C$2=27.5,AH23,IF($C$2=28.5,AJ23,IF($C$2=29.5,AL23,IF($C$2=30.5,AN23,IF($C$2=31.5,AP23,IF($C$2=32.5,AR23,IF($C$2=33.5,AT23,IF($C$2=34.5,AV23,IF($C$2=35.5,AY23)))))))))))))))))))))</f>
        <v>16.53</v>
      </c>
      <c r="BS23" s="646">
        <f t="shared" ref="BS23:BS25" si="10">IF($C$2=15.5,K23,IF($C$2=16.5,M23,IF($C$2=17.5,O23,IF($C$2=18.5,Q23,IF($C$2=19.5,S23,IF($C$2=20.5,U23,IF($C$2=21.5,W23,IF($C$2=22.5,Y23,IF($C$2=23.5,AA23,IF($C$2=24.5,AC23,IF($C$2=25.5,AE23,IF($C$2=26.5,AG23,IF($C$2=27.5,AI23,IF($C$2=28.5,AK23,IF($C$2=29.5,AM23,IF($C$2=30.5,AO23,IF($C$2=31.5,AQ23,IF($C$2=32.5,AS23,IF($C$2=33.5,AU23)))))))))))))))))))</f>
        <v>17.02</v>
      </c>
      <c r="BT23" s="647">
        <f>IF(ข้อมูล!$Q$14=0,BR23,IF(ข้อมูล!$Q$14=1,BS23,IF(ข้อมูล!$Q$14=2,BS23,)))</f>
        <v>16.53</v>
      </c>
      <c r="BW23" s="678">
        <f>ข้อมูล!$F$125</f>
        <v>5</v>
      </c>
      <c r="BX23" s="678">
        <v>30</v>
      </c>
      <c r="BY23" s="691">
        <v>0.8</v>
      </c>
      <c r="BZ23" s="692"/>
    </row>
    <row r="24" spans="2:88" ht="18.75" thickBot="1" x14ac:dyDescent="0.35">
      <c r="B24" s="639">
        <v>20</v>
      </c>
      <c r="C24" s="640">
        <f>IF($C$2=15.5,'S3'!A24,IF($C$2=16.5,'S3'!B24,IF($C$2=17.5,'S3'!C24,IF($C$2=18.5,'S3'!D24,IF($C$2=19.5,'S3'!E24,IF($C$2=20.5,'S3'!F24,IF($C$2=21.5,'S3'!G24,IF($C$2=22.5,'S3'!H24,IF($C$2=23.5,'S3'!I24,IF($C$2=24.5,'S3'!J24,IF($C$2=25.5,'S3'!K24,IF($C$2=26.5,'S3'!L24,IF($C$2=27.5,'S3'!M24,IF($C$2=28.5,'S3'!N24,IF($C$2=29.5,'S3'!O24,IF($C$2=30.5,'S3'!P24,IF($C$2=31.5,'S3'!Q24,IF($C$2=32.5,'S3'!R24,IF($C$2=33.5,'S3'!S24,IF($C$2=34.5,'S3'!T24,IF($C$2=35.5,'S3'!U24)))))))))))))))))))))</f>
        <v>53.32</v>
      </c>
      <c r="D24" s="641">
        <f t="shared" si="3"/>
        <v>74.650000000000006</v>
      </c>
      <c r="E24" s="641">
        <f>IF($E$2=15.5,'S3'!AF24,IF($E$2=16.5,'S3'!AG24,IF($E$2=17.5,'S3'!AH24,IF($E$2=18.5,'S3'!AI24,IF($E$2=19.5,'S3'!AJ24,IF($E$2=20.5,'S3'!AK24,IF($E$2=21.5,'S3'!AL24,IF($E$2=22.5,'S3'!AM24,IF($E$2=23.5,'S3'!AN24,IF($E$2=24.5,'S3'!AO24,IF($E$2=25.5,'S3'!AP24,IF($E$2=26.5,'S3'!AQ24,IF($E$2=27.5,'S3'!AR24,IF($E$2=28.5,'S3'!AS24,IF($E$2=29.5,'S3'!AT24,IF($E$2=30.5,'S3'!AU24,IF($E$2=31.5,'S3'!AV24,IF($E$2=32.5,'S3'!AW24,IF($E$2=33.5,'S3'!AX24,IF($E$2=34.5,'S3'!AY24,IF($E$2=35.5,'S3'!AZ24)))))))))))))))))))))</f>
        <v>33.270000000000003</v>
      </c>
      <c r="F24" s="641">
        <f t="shared" si="1"/>
        <v>46.58</v>
      </c>
      <c r="H24" s="634" t="s">
        <v>103</v>
      </c>
      <c r="I24" s="642" t="s">
        <v>102</v>
      </c>
      <c r="J24" s="635">
        <v>2.09</v>
      </c>
      <c r="K24" s="635">
        <v>2.19</v>
      </c>
      <c r="L24" s="635">
        <v>2.13</v>
      </c>
      <c r="M24" s="635">
        <v>2.23</v>
      </c>
      <c r="N24" s="635">
        <v>2.1800000000000002</v>
      </c>
      <c r="O24" s="635">
        <v>2.2799999999999998</v>
      </c>
      <c r="P24" s="635">
        <v>2.2200000000000002</v>
      </c>
      <c r="Q24" s="635">
        <v>2.3199999999999998</v>
      </c>
      <c r="R24" s="635">
        <v>2.2599999999999998</v>
      </c>
      <c r="S24" s="635">
        <v>2.36</v>
      </c>
      <c r="T24" s="635">
        <v>2.31</v>
      </c>
      <c r="U24" s="635">
        <v>2.41</v>
      </c>
      <c r="V24" s="635">
        <v>2.35</v>
      </c>
      <c r="W24" s="635">
        <v>2.4500000000000002</v>
      </c>
      <c r="X24" s="679">
        <v>2.4</v>
      </c>
      <c r="Y24" s="679">
        <v>2.5</v>
      </c>
      <c r="Z24" s="679">
        <v>2.44</v>
      </c>
      <c r="AA24" s="679">
        <v>2.54</v>
      </c>
      <c r="AB24" s="679">
        <v>2.48</v>
      </c>
      <c r="AC24" s="679">
        <v>2.58</v>
      </c>
      <c r="AD24" s="679">
        <v>2.5299999999999998</v>
      </c>
      <c r="AE24" s="679">
        <v>2.63</v>
      </c>
      <c r="AF24" s="679">
        <v>2.57</v>
      </c>
      <c r="AG24" s="679">
        <v>2.67</v>
      </c>
      <c r="AH24" s="679">
        <v>2.62</v>
      </c>
      <c r="AI24" s="679">
        <v>2.72</v>
      </c>
      <c r="AJ24" s="679">
        <v>2.66</v>
      </c>
      <c r="AK24" s="679">
        <v>2.76</v>
      </c>
      <c r="AL24" s="679">
        <v>2.7</v>
      </c>
      <c r="AM24" s="679">
        <v>2.8</v>
      </c>
      <c r="AN24" s="679">
        <v>2.75</v>
      </c>
      <c r="AO24" s="679">
        <v>2.85</v>
      </c>
      <c r="AP24" s="679">
        <v>2.79</v>
      </c>
      <c r="AQ24" s="679">
        <v>2.89</v>
      </c>
      <c r="AR24" s="680">
        <v>2.84</v>
      </c>
      <c r="AS24" s="680">
        <v>2.94</v>
      </c>
      <c r="AT24" s="680">
        <v>2.88</v>
      </c>
      <c r="AU24" s="680">
        <v>2.98</v>
      </c>
      <c r="AV24" s="680">
        <v>2.92</v>
      </c>
      <c r="AW24" s="680">
        <v>3.02</v>
      </c>
      <c r="AX24" s="680">
        <v>2.97</v>
      </c>
      <c r="AY24" s="680">
        <v>3.07</v>
      </c>
      <c r="AZ24" s="681">
        <v>2.8</v>
      </c>
      <c r="BA24" s="681">
        <v>2.89</v>
      </c>
      <c r="BB24" s="681">
        <v>2.84</v>
      </c>
      <c r="BC24" s="681">
        <v>2.93</v>
      </c>
      <c r="BD24" s="681">
        <v>2.89</v>
      </c>
      <c r="BE24" s="681">
        <v>2.98</v>
      </c>
      <c r="BF24" s="681">
        <v>2.93</v>
      </c>
      <c r="BG24" s="681">
        <v>3.02</v>
      </c>
      <c r="BH24" s="681">
        <v>2.14</v>
      </c>
      <c r="BI24" s="681">
        <v>2.33</v>
      </c>
      <c r="BJ24" s="681">
        <v>2.1</v>
      </c>
      <c r="BK24" s="681">
        <v>2.19</v>
      </c>
      <c r="BL24" s="681">
        <v>2.0499999999999998</v>
      </c>
      <c r="BM24" s="681">
        <v>2.14</v>
      </c>
      <c r="BN24" s="681">
        <v>2.0099999999999998</v>
      </c>
      <c r="BO24" s="681">
        <v>2.1</v>
      </c>
      <c r="BP24" s="681">
        <v>1.97</v>
      </c>
      <c r="BQ24" s="681">
        <v>2.06</v>
      </c>
      <c r="BR24" s="646">
        <f t="shared" si="9"/>
        <v>2.88</v>
      </c>
      <c r="BS24" s="646">
        <f t="shared" si="10"/>
        <v>2.98</v>
      </c>
      <c r="BT24" s="647">
        <f>IF(ข้อมูล!$Q$14=0,BR24,IF(ข้อมูล!$Q$14=1,BS24,IF(ข้อมูล!$Q$14=2,BS24,)))</f>
        <v>2.88</v>
      </c>
      <c r="BW24" s="678">
        <f>BW23*10</f>
        <v>50</v>
      </c>
      <c r="BX24" s="678">
        <v>40</v>
      </c>
      <c r="BY24" s="691">
        <v>0.9</v>
      </c>
    </row>
    <row r="25" spans="2:88" ht="18.75" thickBot="1" x14ac:dyDescent="0.35">
      <c r="B25" s="639">
        <v>21</v>
      </c>
      <c r="C25" s="640">
        <f>IF($C$2=15.5,'S3'!A25,IF($C$2=16.5,'S3'!B25,IF($C$2=17.5,'S3'!C25,IF($C$2=18.5,'S3'!D25,IF($C$2=19.5,'S3'!E25,IF($C$2=20.5,'S3'!F25,IF($C$2=21.5,'S3'!G25,IF($C$2=22.5,'S3'!H25,IF($C$2=23.5,'S3'!I25,IF($C$2=24.5,'S3'!J25,IF($C$2=25.5,'S3'!K25,IF($C$2=26.5,'S3'!L25,IF($C$2=27.5,'S3'!M25,IF($C$2=28.5,'S3'!N25,IF($C$2=29.5,'S3'!O25,IF($C$2=30.5,'S3'!P25,IF($C$2=31.5,'S3'!Q25,IF($C$2=32.5,'S3'!R25,IF($C$2=33.5,'S3'!S25,IF($C$2=34.5,'S3'!T25,IF($C$2=35.5,'S3'!U25)))))))))))))))))))))</f>
        <v>55.92</v>
      </c>
      <c r="D25" s="641">
        <f t="shared" si="3"/>
        <v>78.290000000000006</v>
      </c>
      <c r="E25" s="641">
        <f>IF($E$2=15.5,'S3'!AF25,IF($E$2=16.5,'S3'!AG25,IF($E$2=17.5,'S3'!AH25,IF($E$2=18.5,'S3'!AI25,IF($E$2=19.5,'S3'!AJ25,IF($E$2=20.5,'S3'!AK25,IF($E$2=21.5,'S3'!AL25,IF($E$2=22.5,'S3'!AM25,IF($E$2=23.5,'S3'!AN25,IF($E$2=24.5,'S3'!AO25,IF($E$2=25.5,'S3'!AP25,IF($E$2=26.5,'S3'!AQ25,IF($E$2=27.5,'S3'!AR25,IF($E$2=28.5,'S3'!AS25,IF($E$2=29.5,'S3'!AT25,IF($E$2=30.5,'S3'!AU25,IF($E$2=31.5,'S3'!AV25,IF($E$2=32.5,'S3'!AW25,IF($E$2=33.5,'S3'!AX25,IF($E$2=34.5,'S3'!AY25,IF($E$2=35.5,'S3'!AZ25)))))))))))))))))))))</f>
        <v>34.9</v>
      </c>
      <c r="F25" s="641">
        <f t="shared" si="1"/>
        <v>48.86</v>
      </c>
      <c r="H25" s="634" t="s">
        <v>104</v>
      </c>
      <c r="I25" s="642" t="s">
        <v>102</v>
      </c>
      <c r="J25" s="635">
        <v>9.7799999999999994</v>
      </c>
      <c r="K25" s="635">
        <v>10.27</v>
      </c>
      <c r="L25" s="635">
        <v>9.93</v>
      </c>
      <c r="M25" s="635">
        <v>10.45</v>
      </c>
      <c r="N25" s="635">
        <v>10.1</v>
      </c>
      <c r="O25" s="635">
        <v>10.62</v>
      </c>
      <c r="P25" s="635">
        <v>10.27</v>
      </c>
      <c r="Q25" s="635">
        <v>10.79</v>
      </c>
      <c r="R25" s="635">
        <v>10.44</v>
      </c>
      <c r="S25" s="635">
        <v>10.96</v>
      </c>
      <c r="T25" s="635">
        <v>10.62</v>
      </c>
      <c r="U25" s="635">
        <v>11.14</v>
      </c>
      <c r="V25" s="635">
        <v>10.79</v>
      </c>
      <c r="W25" s="635">
        <v>11.31</v>
      </c>
      <c r="X25" s="679">
        <v>10.96</v>
      </c>
      <c r="Y25" s="679">
        <v>11.48</v>
      </c>
      <c r="Z25" s="679">
        <v>11.13</v>
      </c>
      <c r="AA25" s="679">
        <v>11.65</v>
      </c>
      <c r="AB25" s="679">
        <v>11.31</v>
      </c>
      <c r="AC25" s="679">
        <v>11.83</v>
      </c>
      <c r="AD25" s="679">
        <v>11.48</v>
      </c>
      <c r="AE25" s="679">
        <v>12</v>
      </c>
      <c r="AF25" s="679">
        <v>11.65</v>
      </c>
      <c r="AG25" s="679">
        <v>12.17</v>
      </c>
      <c r="AH25" s="679">
        <v>11.83</v>
      </c>
      <c r="AI25" s="679">
        <v>12.35</v>
      </c>
      <c r="AJ25" s="679">
        <v>12</v>
      </c>
      <c r="AK25" s="679">
        <v>12.52</v>
      </c>
      <c r="AL25" s="679">
        <v>12.17</v>
      </c>
      <c r="AM25" s="679">
        <v>12.69</v>
      </c>
      <c r="AN25" s="679">
        <v>12.34</v>
      </c>
      <c r="AO25" s="679">
        <v>12.86</v>
      </c>
      <c r="AP25" s="679">
        <v>12.52</v>
      </c>
      <c r="AQ25" s="679">
        <v>13.04</v>
      </c>
      <c r="AR25" s="680">
        <v>12.69</v>
      </c>
      <c r="AS25" s="680">
        <v>13.21</v>
      </c>
      <c r="AT25" s="680">
        <v>12.86</v>
      </c>
      <c r="AU25" s="680">
        <v>13.38</v>
      </c>
      <c r="AV25" s="680">
        <v>13.03</v>
      </c>
      <c r="AW25" s="680">
        <v>13.55</v>
      </c>
      <c r="AX25" s="680">
        <v>13.21</v>
      </c>
      <c r="AY25" s="680">
        <v>13.73</v>
      </c>
      <c r="AZ25" s="681">
        <v>12.35</v>
      </c>
      <c r="BA25" s="681">
        <v>12.84</v>
      </c>
      <c r="BB25" s="681">
        <v>12.53</v>
      </c>
      <c r="BC25" s="681">
        <v>13.01</v>
      </c>
      <c r="BD25" s="681">
        <v>12.7</v>
      </c>
      <c r="BE25" s="681">
        <v>13.18</v>
      </c>
      <c r="BF25" s="681">
        <v>12.87</v>
      </c>
      <c r="BG25" s="681">
        <v>13.35</v>
      </c>
      <c r="BH25" s="681">
        <v>9.77</v>
      </c>
      <c r="BI25" s="681">
        <v>10.25</v>
      </c>
      <c r="BJ25" s="681">
        <v>9.59</v>
      </c>
      <c r="BK25" s="681">
        <v>10.08</v>
      </c>
      <c r="BL25" s="681">
        <v>9.42</v>
      </c>
      <c r="BM25" s="681">
        <v>9.9</v>
      </c>
      <c r="BN25" s="681">
        <v>9.25</v>
      </c>
      <c r="BO25" s="681">
        <v>9.73</v>
      </c>
      <c r="BP25" s="681">
        <v>9.08</v>
      </c>
      <c r="BQ25" s="681">
        <v>9.56</v>
      </c>
      <c r="BR25" s="646">
        <f t="shared" si="9"/>
        <v>12.86</v>
      </c>
      <c r="BS25" s="646">
        <f t="shared" si="10"/>
        <v>13.38</v>
      </c>
      <c r="BT25" s="647">
        <f>IF(ข้อมูล!$Q$14=0,BR25,IF(ข้อมูล!$Q$14=1,BS25,IF(ข้อมูล!$Q$14=2,BS25,)))</f>
        <v>12.86</v>
      </c>
      <c r="BW25" s="678">
        <f>VLOOKUP(BW24,BX23:BY28,2)</f>
        <v>1</v>
      </c>
      <c r="BX25" s="678">
        <v>50</v>
      </c>
      <c r="BY25" s="691">
        <v>1</v>
      </c>
    </row>
    <row r="26" spans="2:88" ht="18.75" thickBot="1" x14ac:dyDescent="0.35">
      <c r="B26" s="639">
        <v>22</v>
      </c>
      <c r="C26" s="640">
        <f>IF($C$2=15.5,'S3'!A26,IF($C$2=16.5,'S3'!B26,IF($C$2=17.5,'S3'!C26,IF($C$2=18.5,'S3'!D26,IF($C$2=19.5,'S3'!E26,IF($C$2=20.5,'S3'!F26,IF($C$2=21.5,'S3'!G26,IF($C$2=22.5,'S3'!H26,IF($C$2=23.5,'S3'!I26,IF($C$2=24.5,'S3'!J26,IF($C$2=25.5,'S3'!K26,IF($C$2=26.5,'S3'!L26,IF($C$2=27.5,'S3'!M26,IF($C$2=28.5,'S3'!N26,IF($C$2=29.5,'S3'!O26,IF($C$2=30.5,'S3'!P26,IF($C$2=31.5,'S3'!Q26,IF($C$2=32.5,'S3'!R26,IF($C$2=33.5,'S3'!S26,IF($C$2=34.5,'S3'!T26,IF($C$2=35.5,'S3'!U26)))))))))))))))))))))</f>
        <v>58.53</v>
      </c>
      <c r="D26" s="641">
        <f t="shared" si="3"/>
        <v>81.94</v>
      </c>
      <c r="E26" s="641">
        <f>IF($E$2=15.5,'S3'!AF26,IF($E$2=16.5,'S3'!AG26,IF($E$2=17.5,'S3'!AH26,IF($E$2=18.5,'S3'!AI26,IF($E$2=19.5,'S3'!AJ26,IF($E$2=20.5,'S3'!AK26,IF($E$2=21.5,'S3'!AL26,IF($E$2=22.5,'S3'!AM26,IF($E$2=23.5,'S3'!AN26,IF($E$2=24.5,'S3'!AO26,IF($E$2=25.5,'S3'!AP26,IF($E$2=26.5,'S3'!AQ26,IF($E$2=27.5,'S3'!AR26,IF($E$2=28.5,'S3'!AS26,IF($E$2=29.5,'S3'!AT26,IF($E$2=30.5,'S3'!AU26,IF($E$2=31.5,'S3'!AV26,IF($E$2=32.5,'S3'!AW26,IF($E$2=33.5,'S3'!AX26,IF($E$2=34.5,'S3'!AY26,IF($E$2=35.5,'S3'!AZ26)))))))))))))))))))))</f>
        <v>36.53</v>
      </c>
      <c r="F26" s="641">
        <f t="shared" si="1"/>
        <v>51.14</v>
      </c>
      <c r="H26" s="633" t="s">
        <v>171</v>
      </c>
      <c r="I26" s="648"/>
      <c r="J26" s="635"/>
      <c r="K26" s="635"/>
      <c r="L26" s="635"/>
      <c r="M26" s="635"/>
      <c r="N26" s="635"/>
      <c r="O26" s="635"/>
      <c r="P26" s="635"/>
      <c r="Q26" s="635"/>
      <c r="R26" s="635"/>
      <c r="S26" s="635"/>
      <c r="T26" s="635"/>
      <c r="U26" s="635"/>
      <c r="V26" s="635"/>
      <c r="W26" s="635"/>
      <c r="X26" s="643"/>
      <c r="Y26" s="643"/>
      <c r="Z26" s="643"/>
      <c r="AA26" s="643"/>
      <c r="AB26" s="643"/>
      <c r="AC26" s="643"/>
      <c r="AD26" s="643"/>
      <c r="AE26" s="643"/>
      <c r="AF26" s="643"/>
      <c r="AG26" s="643"/>
      <c r="AH26" s="643"/>
      <c r="AI26" s="643"/>
      <c r="AJ26" s="643"/>
      <c r="AK26" s="643"/>
      <c r="AL26" s="643"/>
      <c r="AM26" s="643"/>
      <c r="AN26" s="643"/>
      <c r="AO26" s="643"/>
      <c r="AP26" s="643"/>
      <c r="AQ26" s="643"/>
      <c r="AR26" s="644"/>
      <c r="AS26" s="644"/>
      <c r="AT26" s="644"/>
      <c r="AU26" s="644"/>
      <c r="AV26" s="644"/>
      <c r="AW26" s="644"/>
      <c r="AX26" s="644"/>
      <c r="AY26" s="644"/>
      <c r="AZ26" s="645"/>
      <c r="BA26" s="645"/>
      <c r="BB26" s="645"/>
      <c r="BC26" s="645"/>
      <c r="BD26" s="645"/>
      <c r="BE26" s="645"/>
      <c r="BF26" s="645"/>
      <c r="BG26" s="645"/>
      <c r="BH26" s="645"/>
      <c r="BI26" s="645"/>
      <c r="BJ26" s="645"/>
      <c r="BK26" s="645"/>
      <c r="BL26" s="645"/>
      <c r="BM26" s="645"/>
      <c r="BN26" s="645"/>
      <c r="BO26" s="645"/>
      <c r="BP26" s="645"/>
      <c r="BQ26" s="645"/>
      <c r="BR26" s="652"/>
      <c r="BS26" s="652"/>
      <c r="BT26" s="653"/>
      <c r="BW26" s="678"/>
      <c r="BX26" s="678">
        <v>60</v>
      </c>
      <c r="BY26" s="691">
        <v>1.6</v>
      </c>
    </row>
    <row r="27" spans="2:88" ht="18.75" thickBot="1" x14ac:dyDescent="0.35">
      <c r="B27" s="639">
        <v>23</v>
      </c>
      <c r="C27" s="640">
        <f>IF($C$2=15.5,'S3'!A27,IF($C$2=16.5,'S3'!B27,IF($C$2=17.5,'S3'!C27,IF($C$2=18.5,'S3'!D27,IF($C$2=19.5,'S3'!E27,IF($C$2=20.5,'S3'!F27,IF($C$2=21.5,'S3'!G27,IF($C$2=22.5,'S3'!H27,IF($C$2=23.5,'S3'!I27,IF($C$2=24.5,'S3'!J27,IF($C$2=25.5,'S3'!K27,IF($C$2=26.5,'S3'!L27,IF($C$2=27.5,'S3'!M27,IF($C$2=28.5,'S3'!N27,IF($C$2=29.5,'S3'!O27,IF($C$2=30.5,'S3'!P27,IF($C$2=31.5,'S3'!Q27,IF($C$2=32.5,'S3'!R27,IF($C$2=33.5,'S3'!S27,IF($C$2=34.5,'S3'!T27,IF($C$2=35.5,'S3'!U27)))))))))))))))))))))</f>
        <v>61.12</v>
      </c>
      <c r="D27" s="641">
        <f t="shared" si="3"/>
        <v>85.57</v>
      </c>
      <c r="E27" s="641">
        <f>IF($E$2=15.5,'S3'!AF27,IF($E$2=16.5,'S3'!AG27,IF($E$2=17.5,'S3'!AH27,IF($E$2=18.5,'S3'!AI27,IF($E$2=19.5,'S3'!AJ27,IF($E$2=20.5,'S3'!AK27,IF($E$2=21.5,'S3'!AL27,IF($E$2=22.5,'S3'!AM27,IF($E$2=23.5,'S3'!AN27,IF($E$2=24.5,'S3'!AO27,IF($E$2=25.5,'S3'!AP27,IF($E$2=26.5,'S3'!AQ27,IF($E$2=27.5,'S3'!AR27,IF($E$2=28.5,'S3'!AS27,IF($E$2=29.5,'S3'!AT27,IF($E$2=30.5,'S3'!AU27,IF($E$2=31.5,'S3'!AV27,IF($E$2=32.5,'S3'!AW27,IF($E$2=33.5,'S3'!AX27,IF($E$2=34.5,'S3'!AY27,IF($E$2=35.5,'S3'!AZ27)))))))))))))))))))))</f>
        <v>38.17</v>
      </c>
      <c r="F27" s="641">
        <f t="shared" si="1"/>
        <v>53.44</v>
      </c>
      <c r="H27" s="634" t="s">
        <v>172</v>
      </c>
      <c r="I27" s="642" t="s">
        <v>102</v>
      </c>
      <c r="J27" s="635">
        <v>33.340000000000003</v>
      </c>
      <c r="K27" s="635">
        <v>35.19</v>
      </c>
      <c r="L27" s="635">
        <v>33.51</v>
      </c>
      <c r="M27" s="635">
        <v>35.36</v>
      </c>
      <c r="N27" s="635">
        <v>33.69</v>
      </c>
      <c r="O27" s="635">
        <v>35.54</v>
      </c>
      <c r="P27" s="635">
        <v>33.869999999999997</v>
      </c>
      <c r="Q27" s="635">
        <v>35.72</v>
      </c>
      <c r="R27" s="635">
        <v>34.049999999999997</v>
      </c>
      <c r="S27" s="635">
        <v>35.9</v>
      </c>
      <c r="T27" s="635">
        <v>34.22</v>
      </c>
      <c r="U27" s="635">
        <v>36.07</v>
      </c>
      <c r="V27" s="635">
        <v>34.4</v>
      </c>
      <c r="W27" s="635">
        <v>36.25</v>
      </c>
      <c r="X27" s="679">
        <v>34.58</v>
      </c>
      <c r="Y27" s="679">
        <v>36.43</v>
      </c>
      <c r="Z27" s="679">
        <v>34.76</v>
      </c>
      <c r="AA27" s="679">
        <v>36.61</v>
      </c>
      <c r="AB27" s="679">
        <v>34.93</v>
      </c>
      <c r="AC27" s="679">
        <v>36.78</v>
      </c>
      <c r="AD27" s="679">
        <v>35.11</v>
      </c>
      <c r="AE27" s="679">
        <v>36.96</v>
      </c>
      <c r="AF27" s="679">
        <v>35.29</v>
      </c>
      <c r="AG27" s="679">
        <v>37.14</v>
      </c>
      <c r="AH27" s="679">
        <v>35.47</v>
      </c>
      <c r="AI27" s="679">
        <v>37.32</v>
      </c>
      <c r="AJ27" s="679">
        <v>35.64</v>
      </c>
      <c r="AK27" s="679">
        <v>37.49</v>
      </c>
      <c r="AL27" s="679">
        <v>35.82</v>
      </c>
      <c r="AM27" s="679">
        <v>37.67</v>
      </c>
      <c r="AN27" s="679">
        <v>36</v>
      </c>
      <c r="AO27" s="679">
        <v>37.85</v>
      </c>
      <c r="AP27" s="679">
        <v>36.18</v>
      </c>
      <c r="AQ27" s="679">
        <v>38.03</v>
      </c>
      <c r="AR27" s="680">
        <v>36.35</v>
      </c>
      <c r="AS27" s="680">
        <v>38.200000000000003</v>
      </c>
      <c r="AT27" s="680">
        <v>36.53</v>
      </c>
      <c r="AU27" s="680">
        <v>38.380000000000003</v>
      </c>
      <c r="AV27" s="680">
        <v>36.71</v>
      </c>
      <c r="AW27" s="680">
        <v>38.56</v>
      </c>
      <c r="AX27" s="680">
        <v>36.89</v>
      </c>
      <c r="AY27" s="680">
        <v>38.74</v>
      </c>
      <c r="AZ27" s="681">
        <v>43.93</v>
      </c>
      <c r="BA27" s="681">
        <v>47.29</v>
      </c>
      <c r="BB27" s="681">
        <v>44.11</v>
      </c>
      <c r="BC27" s="681">
        <v>47.46</v>
      </c>
      <c r="BD27" s="681">
        <v>44.29</v>
      </c>
      <c r="BE27" s="681">
        <v>47.64</v>
      </c>
      <c r="BF27" s="681">
        <v>44.47</v>
      </c>
      <c r="BG27" s="681">
        <v>47.82</v>
      </c>
      <c r="BH27" s="681">
        <v>41.27</v>
      </c>
      <c r="BI27" s="681">
        <v>44.62</v>
      </c>
      <c r="BJ27" s="681">
        <v>41.1</v>
      </c>
      <c r="BK27" s="681">
        <v>44.45</v>
      </c>
      <c r="BL27" s="681">
        <v>40.92</v>
      </c>
      <c r="BM27" s="681">
        <v>44.27</v>
      </c>
      <c r="BN27" s="681">
        <v>40.74</v>
      </c>
      <c r="BO27" s="681">
        <v>44.09</v>
      </c>
      <c r="BP27" s="681">
        <v>40.56</v>
      </c>
      <c r="BQ27" s="681">
        <v>43.91</v>
      </c>
      <c r="BR27" s="646">
        <f t="shared" ref="BR27" si="11">IF($C$2=15.5,J27,IF($C$2=16.5,L27,IF($C$2=17.5,N27,IF($C$2=18.5,P27,IF($C$2=19.5,R27,IF($C$2=20.5,T27,IF($C$2=21.5,V27,IF($C$2=22.5,X27,IF($C$2=23.5,Z27,IF($C$2=24.5,AB27,IF($C$2=25.5,AD27,IF($C$2=26.5,AF27,IF($C$2=27.5,AH27,IF($C$2=28.5,AJ27,IF($C$2=29.5,AL27,IF($C$2=30.5,AN27,IF($C$2=31.5,AP27,IF($C$2=32.5,AR27,IF($C$2=33.5,AT27,IF($C$2=34.5,AV27,IF($C$2=35.5,AY27)))))))))))))))))))))</f>
        <v>36.53</v>
      </c>
      <c r="BS27" s="646">
        <f>IF($C$2=15.5,K27,IF($C$2=16.5,M27,IF($C$2=17.5,O27,IF($C$2=18.5,Q27,IF($C$2=19.5,S27,IF($C$2=20.5,U27,IF($C$2=21.5,W27,IF($C$2=22.5,Y27,IF($C$2=23.5,AA27,IF($C$2=24.5,AC27,IF($C$2=25.5,AE27,IF($C$2=26.5,AG27,IF($C$2=27.5,AI27,IF($C$2=28.5,AK27,IF($C$2=29.5,AM27,IF($C$2=30.5,AO27,IF($C$2=31.5,AQ27,IF($C$2=32.5,AS27,IF($C$2=33.5,AU27)))))))))))))))))))</f>
        <v>38.380000000000003</v>
      </c>
      <c r="BT27" s="647">
        <f>IF(ข้อมูล!$Q$14=0,BR27,IF(ข้อมูล!$Q$14=1,BS27,IF(ข้อมูล!$Q$14=2,BS27,)))</f>
        <v>36.53</v>
      </c>
      <c r="BW27" s="678"/>
      <c r="BX27" s="678">
        <v>70</v>
      </c>
      <c r="BY27" s="691">
        <v>1.7</v>
      </c>
    </row>
    <row r="28" spans="2:88" ht="18.75" thickBot="1" x14ac:dyDescent="0.35">
      <c r="B28" s="639">
        <v>24</v>
      </c>
      <c r="C28" s="640">
        <f>IF($C$2=15.5,'S3'!A28,IF($C$2=16.5,'S3'!B28,IF($C$2=17.5,'S3'!C28,IF($C$2=18.5,'S3'!D28,IF($C$2=19.5,'S3'!E28,IF($C$2=20.5,'S3'!F28,IF($C$2=21.5,'S3'!G28,IF($C$2=22.5,'S3'!H28,IF($C$2=23.5,'S3'!I28,IF($C$2=24.5,'S3'!J28,IF($C$2=25.5,'S3'!K28,IF($C$2=26.5,'S3'!L28,IF($C$2=27.5,'S3'!M28,IF($C$2=28.5,'S3'!N28,IF($C$2=29.5,'S3'!O28,IF($C$2=30.5,'S3'!P28,IF($C$2=31.5,'S3'!Q28,IF($C$2=32.5,'S3'!R28,IF($C$2=33.5,'S3'!S28,IF($C$2=34.5,'S3'!T28,IF($C$2=35.5,'S3'!U28)))))))))))))))))))))</f>
        <v>63.73</v>
      </c>
      <c r="D28" s="641">
        <f t="shared" si="3"/>
        <v>89.22</v>
      </c>
      <c r="E28" s="641">
        <f>IF($E$2=15.5,'S3'!AF28,IF($E$2=16.5,'S3'!AG28,IF($E$2=17.5,'S3'!AH28,IF($E$2=18.5,'S3'!AI28,IF($E$2=19.5,'S3'!AJ28,IF($E$2=20.5,'S3'!AK28,IF($E$2=21.5,'S3'!AL28,IF($E$2=22.5,'S3'!AM28,IF($E$2=23.5,'S3'!AN28,IF($E$2=24.5,'S3'!AO28,IF($E$2=25.5,'S3'!AP28,IF($E$2=26.5,'S3'!AQ28,IF($E$2=27.5,'S3'!AR28,IF($E$2=28.5,'S3'!AS28,IF($E$2=29.5,'S3'!AT28,IF($E$2=30.5,'S3'!AU28,IF($E$2=31.5,'S3'!AV28,IF($E$2=32.5,'S3'!AW28,IF($E$2=33.5,'S3'!AX28,IF($E$2=34.5,'S3'!AY28,IF($E$2=35.5,'S3'!AZ28)))))))))))))))))))))</f>
        <v>39.79</v>
      </c>
      <c r="F28" s="641">
        <f t="shared" si="1"/>
        <v>55.71</v>
      </c>
      <c r="H28" s="633" t="s">
        <v>174</v>
      </c>
      <c r="I28" s="634"/>
      <c r="J28" s="635"/>
      <c r="K28" s="635"/>
      <c r="L28" s="635"/>
      <c r="M28" s="635"/>
      <c r="N28" s="635"/>
      <c r="O28" s="635"/>
      <c r="P28" s="635"/>
      <c r="Q28" s="635"/>
      <c r="R28" s="635"/>
      <c r="S28" s="635"/>
      <c r="T28" s="635"/>
      <c r="U28" s="635"/>
      <c r="V28" s="635"/>
      <c r="W28" s="635"/>
      <c r="X28" s="693"/>
      <c r="Y28" s="693"/>
      <c r="Z28" s="693"/>
      <c r="AA28" s="693"/>
      <c r="AB28" s="693"/>
      <c r="AC28" s="693"/>
      <c r="AD28" s="693"/>
      <c r="AE28" s="693"/>
      <c r="AF28" s="693"/>
      <c r="AG28" s="693"/>
      <c r="AH28" s="693"/>
      <c r="AI28" s="693"/>
      <c r="AJ28" s="693"/>
      <c r="AK28" s="693"/>
      <c r="AL28" s="693"/>
      <c r="AM28" s="693"/>
      <c r="AN28" s="693"/>
      <c r="AO28" s="693"/>
      <c r="AP28" s="693"/>
      <c r="AQ28" s="693"/>
      <c r="AR28" s="694"/>
      <c r="AS28" s="694"/>
      <c r="AT28" s="694"/>
      <c r="AU28" s="694"/>
      <c r="AV28" s="694"/>
      <c r="AW28" s="694"/>
      <c r="AX28" s="694"/>
      <c r="AY28" s="694"/>
      <c r="AZ28" s="695"/>
      <c r="BA28" s="695"/>
      <c r="BB28" s="695"/>
      <c r="BC28" s="695"/>
      <c r="BD28" s="695"/>
      <c r="BE28" s="695"/>
      <c r="BF28" s="695"/>
      <c r="BG28" s="695"/>
      <c r="BH28" s="695"/>
      <c r="BI28" s="695"/>
      <c r="BJ28" s="695"/>
      <c r="BK28" s="695"/>
      <c r="BL28" s="695"/>
      <c r="BM28" s="695"/>
      <c r="BN28" s="695"/>
      <c r="BO28" s="695"/>
      <c r="BP28" s="695"/>
      <c r="BQ28" s="695"/>
      <c r="BR28" s="652"/>
      <c r="BS28" s="652"/>
      <c r="BT28" s="653"/>
      <c r="BW28" s="696"/>
      <c r="BX28" s="697">
        <v>80</v>
      </c>
      <c r="BY28" s="698">
        <v>1.8</v>
      </c>
    </row>
    <row r="29" spans="2:88" ht="18.75" thickBot="1" x14ac:dyDescent="0.35">
      <c r="B29" s="639">
        <v>25</v>
      </c>
      <c r="C29" s="640">
        <f>IF($C$2=15.5,'S3'!A29,IF($C$2=16.5,'S3'!B29,IF($C$2=17.5,'S3'!C29,IF($C$2=18.5,'S3'!D29,IF($C$2=19.5,'S3'!E29,IF($C$2=20.5,'S3'!F29,IF($C$2=21.5,'S3'!G29,IF($C$2=22.5,'S3'!H29,IF($C$2=23.5,'S3'!I29,IF($C$2=24.5,'S3'!J29,IF($C$2=25.5,'S3'!K29,IF($C$2=26.5,'S3'!L29,IF($C$2=27.5,'S3'!M29,IF($C$2=28.5,'S3'!N29,IF($C$2=29.5,'S3'!O29,IF($C$2=30.5,'S3'!P29,IF($C$2=31.5,'S3'!Q29,IF($C$2=32.5,'S3'!R29,IF($C$2=33.5,'S3'!S29,IF($C$2=34.5,'S3'!T29,IF($C$2=35.5,'S3'!U29)))))))))))))))))))))</f>
        <v>66.34</v>
      </c>
      <c r="D29" s="641">
        <f t="shared" si="3"/>
        <v>92.88</v>
      </c>
      <c r="E29" s="641">
        <f>IF($E$2=15.5,'S3'!AF29,IF($E$2=16.5,'S3'!AG29,IF($E$2=17.5,'S3'!AH29,IF($E$2=18.5,'S3'!AI29,IF($E$2=19.5,'S3'!AJ29,IF($E$2=20.5,'S3'!AK29,IF($E$2=21.5,'S3'!AL29,IF($E$2=22.5,'S3'!AM29,IF($E$2=23.5,'S3'!AN29,IF($E$2=24.5,'S3'!AO29,IF($E$2=25.5,'S3'!AP29,IF($E$2=26.5,'S3'!AQ29,IF($E$2=27.5,'S3'!AR29,IF($E$2=28.5,'S3'!AS29,IF($E$2=29.5,'S3'!AT29,IF($E$2=30.5,'S3'!AU29,IF($E$2=31.5,'S3'!AV29,IF($E$2=32.5,'S3'!AW29,IF($E$2=33.5,'S3'!AX29,IF($E$2=34.5,'S3'!AY29,IF($E$2=35.5,'S3'!AZ29)))))))))))))))))))))</f>
        <v>41.43</v>
      </c>
      <c r="F29" s="641">
        <f t="shared" si="1"/>
        <v>58</v>
      </c>
      <c r="H29" s="699" t="s">
        <v>175</v>
      </c>
      <c r="I29" s="642" t="s">
        <v>102</v>
      </c>
      <c r="J29" s="635">
        <v>3.18</v>
      </c>
      <c r="K29" s="635">
        <v>3.32</v>
      </c>
      <c r="L29" s="635">
        <v>3.21</v>
      </c>
      <c r="M29" s="635">
        <v>3.35</v>
      </c>
      <c r="N29" s="635">
        <v>3.25</v>
      </c>
      <c r="O29" s="635">
        <v>3.39</v>
      </c>
      <c r="P29" s="635">
        <v>3.28</v>
      </c>
      <c r="Q29" s="635">
        <v>3.42</v>
      </c>
      <c r="R29" s="635">
        <v>3.31</v>
      </c>
      <c r="S29" s="635">
        <v>3.45</v>
      </c>
      <c r="T29" s="635">
        <v>3.34</v>
      </c>
      <c r="U29" s="635">
        <v>3.48</v>
      </c>
      <c r="V29" s="635">
        <v>3.38</v>
      </c>
      <c r="W29" s="635">
        <v>3.52</v>
      </c>
      <c r="X29" s="649">
        <v>3.41</v>
      </c>
      <c r="Y29" s="649">
        <v>3.55</v>
      </c>
      <c r="Z29" s="649">
        <v>3.44</v>
      </c>
      <c r="AA29" s="700">
        <v>3.58</v>
      </c>
      <c r="AB29" s="649">
        <v>3.47</v>
      </c>
      <c r="AC29" s="649">
        <v>3.61</v>
      </c>
      <c r="AD29" s="700">
        <v>3.5</v>
      </c>
      <c r="AE29" s="649">
        <v>3.64</v>
      </c>
      <c r="AF29" s="649">
        <v>3.54</v>
      </c>
      <c r="AG29" s="649">
        <v>3.68</v>
      </c>
      <c r="AH29" s="700">
        <v>3.57</v>
      </c>
      <c r="AI29" s="649">
        <v>3.71</v>
      </c>
      <c r="AJ29" s="649">
        <v>3.6</v>
      </c>
      <c r="AK29" s="649">
        <v>3.74</v>
      </c>
      <c r="AL29" s="649">
        <v>3.63</v>
      </c>
      <c r="AM29" s="649">
        <v>3.77</v>
      </c>
      <c r="AN29" s="700">
        <v>3.67</v>
      </c>
      <c r="AO29" s="649">
        <v>3.81</v>
      </c>
      <c r="AP29" s="700">
        <v>3.7</v>
      </c>
      <c r="AQ29" s="649">
        <v>3.84</v>
      </c>
      <c r="AR29" s="650">
        <v>3.73</v>
      </c>
      <c r="AS29" s="650">
        <v>3.87</v>
      </c>
      <c r="AT29" s="701">
        <v>3.76</v>
      </c>
      <c r="AU29" s="701">
        <v>3.9</v>
      </c>
      <c r="AV29" s="650">
        <v>3.79</v>
      </c>
      <c r="AW29" s="650">
        <v>3.93</v>
      </c>
      <c r="AX29" s="650">
        <v>3.83</v>
      </c>
      <c r="AY29" s="650">
        <v>3.97</v>
      </c>
      <c r="AZ29" s="651">
        <v>3.29</v>
      </c>
      <c r="BA29" s="651">
        <v>3.41</v>
      </c>
      <c r="BB29" s="651">
        <v>3.32</v>
      </c>
      <c r="BC29" s="651">
        <v>3.44</v>
      </c>
      <c r="BD29" s="651">
        <v>3.36</v>
      </c>
      <c r="BE29" s="651">
        <v>3.47</v>
      </c>
      <c r="BF29" s="651">
        <v>3.39</v>
      </c>
      <c r="BG29" s="651">
        <v>3.51</v>
      </c>
      <c r="BH29" s="651">
        <v>2.81</v>
      </c>
      <c r="BI29" s="651">
        <v>2.92</v>
      </c>
      <c r="BJ29" s="651">
        <v>2.78</v>
      </c>
      <c r="BK29" s="651">
        <v>2.89</v>
      </c>
      <c r="BL29" s="651">
        <v>2.74</v>
      </c>
      <c r="BM29" s="651">
        <v>2.86</v>
      </c>
      <c r="BN29" s="651">
        <v>2.71</v>
      </c>
      <c r="BO29" s="651">
        <v>2.83</v>
      </c>
      <c r="BP29" s="651">
        <v>2.68</v>
      </c>
      <c r="BQ29" s="651">
        <v>2.8</v>
      </c>
      <c r="BR29" s="646">
        <f t="shared" ref="BR29:BR30" si="12">IF($C$2=15.5,J29,IF($C$2=16.5,L29,IF($C$2=17.5,N29,IF($C$2=18.5,P29,IF($C$2=19.5,R29,IF($C$2=20.5,T29,IF($C$2=21.5,V29,IF($C$2=22.5,X29,IF($C$2=23.5,Z29,IF($C$2=24.5,AB29,IF($C$2=25.5,AD29,IF($C$2=26.5,AF29,IF($C$2=27.5,AH29,IF($C$2=28.5,AJ29,IF($C$2=29.5,AL29,IF($C$2=30.5,AN29,IF($C$2=31.5,AP29,IF($C$2=32.5,AR29,IF($C$2=33.5,AT29,IF($C$2=34.5,AV29,IF($C$2=35.5,AY29)))))))))))))))))))))</f>
        <v>3.76</v>
      </c>
      <c r="BS29" s="646">
        <f>IF($C$2=15.5,K29,IF($C$2=16.5,M29,IF($C$2=17.5,O29,IF($C$2=18.5,Q29,IF($C$2=19.5,S29,IF($C$2=20.5,U29,IF($C$2=21.5,W29,IF($C$2=22.5,Y29,IF($C$2=23.5,AA29,IF($C$2=24.5,AC29,IF($C$2=25.5,AE29,IF($C$2=26.5,AG29,IF($C$2=27.5,AI29,IF($C$2=28.5,AK29,IF($C$2=29.5,AM29,IF($C$2=30.5,AO29,IF($C$2=31.5,AQ29,IF($C$2=32.5,AS29,IF($C$2=33.5,AU29)))))))))))))))))))</f>
        <v>3.9</v>
      </c>
      <c r="BT29" s="647">
        <f>IF(ข้อมูล!$Q$14=0,BR29,IF(ข้อมูล!$Q$14=1,BS29,IF(ข้อมูล!$Q$14=2,BS29,)))</f>
        <v>3.76</v>
      </c>
    </row>
    <row r="30" spans="2:88" ht="18.75" thickBot="1" x14ac:dyDescent="0.35">
      <c r="B30" s="639">
        <v>26</v>
      </c>
      <c r="C30" s="640">
        <f>IF($C$2=15.5,'S3'!A30,IF($C$2=16.5,'S3'!B30,IF($C$2=17.5,'S3'!C30,IF($C$2=18.5,'S3'!D30,IF($C$2=19.5,'S3'!E30,IF($C$2=20.5,'S3'!F30,IF($C$2=21.5,'S3'!G30,IF($C$2=22.5,'S3'!H30,IF($C$2=23.5,'S3'!I30,IF($C$2=24.5,'S3'!J30,IF($C$2=25.5,'S3'!K30,IF($C$2=26.5,'S3'!L30,IF($C$2=27.5,'S3'!M30,IF($C$2=28.5,'S3'!N30,IF($C$2=29.5,'S3'!O30,IF($C$2=30.5,'S3'!P30,IF($C$2=31.5,'S3'!Q30,IF($C$2=32.5,'S3'!R30,IF($C$2=33.5,'S3'!S30,IF($C$2=34.5,'S3'!T30,IF($C$2=35.5,'S3'!U30)))))))))))))))))))))</f>
        <v>68.94</v>
      </c>
      <c r="D30" s="641">
        <f t="shared" si="3"/>
        <v>96.52</v>
      </c>
      <c r="E30" s="641">
        <f>IF($E$2=15.5,'S3'!AF30,IF($E$2=16.5,'S3'!AG30,IF($E$2=17.5,'S3'!AH30,IF($E$2=18.5,'S3'!AI30,IF($E$2=19.5,'S3'!AJ30,IF($E$2=20.5,'S3'!AK30,IF($E$2=21.5,'S3'!AL30,IF($E$2=22.5,'S3'!AM30,IF($E$2=23.5,'S3'!AN30,IF($E$2=24.5,'S3'!AO30,IF($E$2=25.5,'S3'!AP30,IF($E$2=26.5,'S3'!AQ30,IF($E$2=27.5,'S3'!AR30,IF($E$2=28.5,'S3'!AS30,IF($E$2=29.5,'S3'!AT30,IF($E$2=30.5,'S3'!AU30,IF($E$2=31.5,'S3'!AV30,IF($E$2=32.5,'S3'!AW30,IF($E$2=33.5,'S3'!AX30,IF($E$2=34.5,'S3'!AY30,IF($E$2=35.5,'S3'!AZ30)))))))))))))))))))))</f>
        <v>43.06</v>
      </c>
      <c r="F30" s="641">
        <f t="shared" si="1"/>
        <v>60.28</v>
      </c>
      <c r="H30" s="702" t="s">
        <v>176</v>
      </c>
      <c r="I30" s="642" t="s">
        <v>88</v>
      </c>
      <c r="J30" s="635">
        <v>6.94</v>
      </c>
      <c r="K30" s="635">
        <v>7.36</v>
      </c>
      <c r="L30" s="635">
        <v>7.01</v>
      </c>
      <c r="M30" s="635">
        <v>7.43</v>
      </c>
      <c r="N30" s="635">
        <v>7.09</v>
      </c>
      <c r="O30" s="635">
        <v>7.51</v>
      </c>
      <c r="P30" s="635">
        <v>7.17</v>
      </c>
      <c r="Q30" s="635">
        <v>7.59</v>
      </c>
      <c r="R30" s="635">
        <v>7.24</v>
      </c>
      <c r="S30" s="635">
        <v>7.66</v>
      </c>
      <c r="T30" s="635">
        <v>7.32</v>
      </c>
      <c r="U30" s="635">
        <v>7.74</v>
      </c>
      <c r="V30" s="635">
        <v>7.4</v>
      </c>
      <c r="W30" s="635">
        <v>7.82</v>
      </c>
      <c r="X30" s="649">
        <v>7.47</v>
      </c>
      <c r="Y30" s="649">
        <v>7.89</v>
      </c>
      <c r="Z30" s="649">
        <v>7.55</v>
      </c>
      <c r="AA30" s="649">
        <v>7.97</v>
      </c>
      <c r="AB30" s="649">
        <v>7.63</v>
      </c>
      <c r="AC30" s="700">
        <v>8.0500000000000007</v>
      </c>
      <c r="AD30" s="700">
        <v>7.7</v>
      </c>
      <c r="AE30" s="649">
        <v>8.1199999999999992</v>
      </c>
      <c r="AF30" s="649">
        <v>7.78</v>
      </c>
      <c r="AG30" s="649">
        <v>8.1999999999999993</v>
      </c>
      <c r="AH30" s="700">
        <v>7.86</v>
      </c>
      <c r="AI30" s="649">
        <v>8.2799999999999994</v>
      </c>
      <c r="AJ30" s="649">
        <v>7.93</v>
      </c>
      <c r="AK30" s="700">
        <v>8.35</v>
      </c>
      <c r="AL30" s="700">
        <v>8.01</v>
      </c>
      <c r="AM30" s="649">
        <v>8.43</v>
      </c>
      <c r="AN30" s="649">
        <v>8.09</v>
      </c>
      <c r="AO30" s="700">
        <v>8.51</v>
      </c>
      <c r="AP30" s="649">
        <v>8.16</v>
      </c>
      <c r="AQ30" s="649">
        <v>8.58</v>
      </c>
      <c r="AR30" s="650">
        <v>8.24</v>
      </c>
      <c r="AS30" s="650">
        <v>8.66</v>
      </c>
      <c r="AT30" s="701">
        <v>8.32</v>
      </c>
      <c r="AU30" s="650">
        <v>8.74</v>
      </c>
      <c r="AV30" s="650">
        <v>8.39</v>
      </c>
      <c r="AW30" s="650">
        <v>8.81</v>
      </c>
      <c r="AX30" s="650">
        <v>8.4700000000000006</v>
      </c>
      <c r="AY30" s="650">
        <v>8.89</v>
      </c>
      <c r="AZ30" s="651">
        <v>7.09</v>
      </c>
      <c r="BA30" s="651">
        <v>7.42</v>
      </c>
      <c r="BB30" s="651">
        <v>7.17</v>
      </c>
      <c r="BC30" s="651">
        <v>7.49</v>
      </c>
      <c r="BD30" s="651">
        <v>7.24</v>
      </c>
      <c r="BE30" s="651">
        <v>7.57</v>
      </c>
      <c r="BF30" s="651">
        <v>7.32</v>
      </c>
      <c r="BG30" s="651">
        <v>7.65</v>
      </c>
      <c r="BH30" s="651">
        <v>5.94</v>
      </c>
      <c r="BI30" s="651">
        <v>6.27</v>
      </c>
      <c r="BJ30" s="651">
        <v>5.86</v>
      </c>
      <c r="BK30" s="651">
        <v>6.19</v>
      </c>
      <c r="BL30" s="651">
        <v>5.79</v>
      </c>
      <c r="BM30" s="651">
        <v>6.11</v>
      </c>
      <c r="BN30" s="651">
        <v>5.71</v>
      </c>
      <c r="BO30" s="651">
        <v>6.04</v>
      </c>
      <c r="BP30" s="651">
        <v>5.63</v>
      </c>
      <c r="BQ30" s="651">
        <v>5.96</v>
      </c>
      <c r="BR30" s="646">
        <f t="shared" si="12"/>
        <v>8.32</v>
      </c>
      <c r="BS30" s="646">
        <f>IF($C$2=15.5,K30,IF($C$2=16.5,M30,IF($C$2=17.5,O30,IF($C$2=18.5,Q30,IF($C$2=19.5,S30,IF($C$2=20.5,U30,IF($C$2=21.5,W30,IF($C$2=22.5,Y30,IF($C$2=23.5,AA30,IF($C$2=24.5,AC30,IF($C$2=25.5,AE30,IF($C$2=26.5,AG30,IF($C$2=27.5,AI30,IF($C$2=28.5,AK30,IF($C$2=29.5,AM30,IF($C$2=30.5,AO30,IF($C$2=31.5,AQ30,IF($C$2=32.5,AS30,IF($C$2=33.5,AU30)))))))))))))))))))</f>
        <v>8.74</v>
      </c>
      <c r="BT30" s="647">
        <f>IF(ข้อมูล!$Q$14=0,BR30,IF(ข้อมูล!$Q$14=1,BS30,IF(ข้อมูล!$Q$14=2,BS30,)))</f>
        <v>8.32</v>
      </c>
    </row>
    <row r="31" spans="2:88" ht="19.5" thickBot="1" x14ac:dyDescent="0.35">
      <c r="B31" s="639">
        <v>27</v>
      </c>
      <c r="C31" s="640">
        <f>IF($C$2=15.5,'S3'!A31,IF($C$2=16.5,'S3'!B31,IF($C$2=17.5,'S3'!C31,IF($C$2=18.5,'S3'!D31,IF($C$2=19.5,'S3'!E31,IF($C$2=20.5,'S3'!F31,IF($C$2=21.5,'S3'!G31,IF($C$2=22.5,'S3'!H31,IF($C$2=23.5,'S3'!I31,IF($C$2=24.5,'S3'!J31,IF($C$2=25.5,'S3'!K31,IF($C$2=26.5,'S3'!L31,IF($C$2=27.5,'S3'!M31,IF($C$2=28.5,'S3'!N31,IF($C$2=29.5,'S3'!O31,IF($C$2=30.5,'S3'!P31,IF($C$2=31.5,'S3'!Q31,IF($C$2=32.5,'S3'!R31,IF($C$2=33.5,'S3'!S31,IF($C$2=34.5,'S3'!T31,IF($C$2=35.5,'S3'!U31)))))))))))))))))))))</f>
        <v>71.540000000000006</v>
      </c>
      <c r="D31" s="641">
        <f t="shared" si="3"/>
        <v>100.16</v>
      </c>
      <c r="E31" s="641">
        <f>IF($E$2=15.5,'S3'!AF31,IF($E$2=16.5,'S3'!AG31,IF($E$2=17.5,'S3'!AH31,IF($E$2=18.5,'S3'!AI31,IF($E$2=19.5,'S3'!AJ31,IF($E$2=20.5,'S3'!AK31,IF($E$2=21.5,'S3'!AL31,IF($E$2=22.5,'S3'!AM31,IF($E$2=23.5,'S3'!AN31,IF($E$2=24.5,'S3'!AO31,IF($E$2=25.5,'S3'!AP31,IF($E$2=26.5,'S3'!AQ31,IF($E$2=27.5,'S3'!AR31,IF($E$2=28.5,'S3'!AS31,IF($E$2=29.5,'S3'!AT31,IF($E$2=30.5,'S3'!AU31,IF($E$2=31.5,'S3'!AV31,IF($E$2=32.5,'S3'!AW31,IF($E$2=33.5,'S3'!AX31,IF($E$2=34.5,'S3'!AY31,IF($E$2=35.5,'S3'!AZ31)))))))))))))))))))))</f>
        <v>44.69</v>
      </c>
      <c r="F31" s="641">
        <f t="shared" si="1"/>
        <v>62.57</v>
      </c>
      <c r="H31" s="702" t="s">
        <v>192</v>
      </c>
      <c r="I31" s="699"/>
      <c r="J31" s="703"/>
      <c r="K31" s="703"/>
      <c r="L31" s="703"/>
      <c r="M31" s="703"/>
      <c r="N31" s="703"/>
      <c r="O31" s="703"/>
      <c r="P31" s="703"/>
      <c r="Q31" s="703"/>
      <c r="R31" s="703"/>
      <c r="S31" s="703"/>
      <c r="T31" s="703"/>
      <c r="U31" s="703"/>
      <c r="V31" s="703"/>
      <c r="W31" s="703"/>
      <c r="X31" s="649"/>
      <c r="Y31" s="649"/>
      <c r="Z31" s="649"/>
      <c r="AA31" s="649"/>
      <c r="AB31" s="649"/>
      <c r="AC31" s="649"/>
      <c r="AD31" s="649"/>
      <c r="AE31" s="649"/>
      <c r="AF31" s="649"/>
      <c r="AG31" s="649"/>
      <c r="AH31" s="649"/>
      <c r="AI31" s="649"/>
      <c r="AJ31" s="649"/>
      <c r="AK31" s="649"/>
      <c r="AL31" s="649"/>
      <c r="AM31" s="649"/>
      <c r="AN31" s="649"/>
      <c r="AO31" s="649"/>
      <c r="AP31" s="649"/>
      <c r="AQ31" s="649"/>
      <c r="AR31" s="650"/>
      <c r="AS31" s="650"/>
      <c r="AT31" s="650"/>
      <c r="AU31" s="650"/>
      <c r="AV31" s="650"/>
      <c r="AW31" s="650"/>
      <c r="AX31" s="650"/>
      <c r="AY31" s="650"/>
      <c r="AZ31" s="651"/>
      <c r="BA31" s="651"/>
      <c r="BB31" s="651"/>
      <c r="BC31" s="651"/>
      <c r="BD31" s="651"/>
      <c r="BE31" s="651"/>
      <c r="BF31" s="651"/>
      <c r="BG31" s="651"/>
      <c r="BH31" s="651"/>
      <c r="BI31" s="651"/>
      <c r="BJ31" s="651"/>
      <c r="BK31" s="651"/>
      <c r="BL31" s="651"/>
      <c r="BM31" s="651"/>
      <c r="BN31" s="651"/>
      <c r="BO31" s="651"/>
      <c r="BP31" s="651"/>
      <c r="BQ31" s="651"/>
      <c r="BR31" s="704"/>
      <c r="BS31" s="704"/>
      <c r="BT31" s="699"/>
      <c r="BW31" s="705" t="s">
        <v>182</v>
      </c>
      <c r="BX31" s="706"/>
      <c r="BY31" s="707" t="s">
        <v>289</v>
      </c>
      <c r="BZ31" s="708">
        <f>IF(ข้อมูล!$Q$14=0,'S2'!$BW$17,IF(ข้อมูล!$Q$14=1,'S2'!$BX$17,IF(ข้อมูล!$Q$14=2,'S2'!$BY$17)))</f>
        <v>1.2473000000000001</v>
      </c>
    </row>
    <row r="32" spans="2:88" ht="18.75" thickBot="1" x14ac:dyDescent="0.35">
      <c r="B32" s="639">
        <v>28</v>
      </c>
      <c r="C32" s="640">
        <f>IF($C$2=15.5,'S3'!A32,IF($C$2=16.5,'S3'!B32,IF($C$2=17.5,'S3'!C32,IF($C$2=18.5,'S3'!D32,IF($C$2=19.5,'S3'!E32,IF($C$2=20.5,'S3'!F32,IF($C$2=21.5,'S3'!G32,IF($C$2=22.5,'S3'!H32,IF($C$2=23.5,'S3'!I32,IF($C$2=24.5,'S3'!J32,IF($C$2=25.5,'S3'!K32,IF($C$2=26.5,'S3'!L32,IF($C$2=27.5,'S3'!M32,IF($C$2=28.5,'S3'!N32,IF($C$2=29.5,'S3'!O32,IF($C$2=30.5,'S3'!P32,IF($C$2=31.5,'S3'!Q32,IF($C$2=32.5,'S3'!R32,IF($C$2=33.5,'S3'!S32,IF($C$2=34.5,'S3'!T32,IF($C$2=35.5,'S3'!U32)))))))))))))))))))))</f>
        <v>74.150000000000006</v>
      </c>
      <c r="D32" s="641">
        <f t="shared" si="3"/>
        <v>103.81</v>
      </c>
      <c r="E32" s="641">
        <f>IF($E$2=15.5,'S3'!AF32,IF($E$2=16.5,'S3'!AG32,IF($E$2=17.5,'S3'!AH32,IF($E$2=18.5,'S3'!AI32,IF($E$2=19.5,'S3'!AJ32,IF($E$2=20.5,'S3'!AK32,IF($E$2=21.5,'S3'!AL32,IF($E$2=22.5,'S3'!AM32,IF($E$2=23.5,'S3'!AN32,IF($E$2=24.5,'S3'!AO32,IF($E$2=25.5,'S3'!AP32,IF($E$2=26.5,'S3'!AQ32,IF($E$2=27.5,'S3'!AR32,IF($E$2=28.5,'S3'!AS32,IF($E$2=29.5,'S3'!AT32,IF($E$2=30.5,'S3'!AU32,IF($E$2=31.5,'S3'!AV32,IF($E$2=32.5,'S3'!AW32,IF($E$2=33.5,'S3'!AX32,IF($E$2=34.5,'S3'!AY32,IF($E$2=35.5,'S3'!AZ32)))))))))))))))))))))</f>
        <v>46.33</v>
      </c>
      <c r="F32" s="641">
        <f t="shared" si="1"/>
        <v>64.86</v>
      </c>
      <c r="H32" s="699" t="s">
        <v>193</v>
      </c>
      <c r="I32" s="565" t="s">
        <v>194</v>
      </c>
      <c r="J32" s="703">
        <v>18.649999999999999</v>
      </c>
      <c r="K32" s="703">
        <v>19.420000000000002</v>
      </c>
      <c r="L32" s="703">
        <v>18.48</v>
      </c>
      <c r="M32" s="703">
        <v>19.61</v>
      </c>
      <c r="N32" s="703">
        <v>19.02</v>
      </c>
      <c r="O32" s="703">
        <v>19.79</v>
      </c>
      <c r="P32" s="703">
        <v>19.21</v>
      </c>
      <c r="Q32" s="703">
        <v>19.98</v>
      </c>
      <c r="R32" s="709">
        <v>19.399999999999999</v>
      </c>
      <c r="S32" s="703">
        <v>20.170000000000002</v>
      </c>
      <c r="T32" s="703">
        <v>19.59</v>
      </c>
      <c r="U32" s="703">
        <v>20.36</v>
      </c>
      <c r="V32" s="703">
        <v>19.78</v>
      </c>
      <c r="W32" s="703">
        <v>20.55</v>
      </c>
      <c r="X32" s="649">
        <v>19.96</v>
      </c>
      <c r="Y32" s="649">
        <v>20.73</v>
      </c>
      <c r="Z32" s="700">
        <v>20.149999999999999</v>
      </c>
      <c r="AA32" s="700">
        <v>20.92</v>
      </c>
      <c r="AB32" s="649">
        <v>20.34</v>
      </c>
      <c r="AC32" s="649">
        <v>21.11</v>
      </c>
      <c r="AD32" s="649">
        <v>20.53</v>
      </c>
      <c r="AE32" s="700">
        <v>21.3</v>
      </c>
      <c r="AF32" s="649">
        <v>20.71</v>
      </c>
      <c r="AG32" s="649">
        <v>21.48</v>
      </c>
      <c r="AH32" s="700">
        <v>20.9</v>
      </c>
      <c r="AI32" s="649">
        <v>21.67</v>
      </c>
      <c r="AJ32" s="700">
        <v>21.09</v>
      </c>
      <c r="AK32" s="649">
        <v>21.86</v>
      </c>
      <c r="AL32" s="649">
        <v>21.28</v>
      </c>
      <c r="AM32" s="649">
        <v>22.05</v>
      </c>
      <c r="AN32" s="649">
        <v>21.47</v>
      </c>
      <c r="AO32" s="649">
        <v>22.24</v>
      </c>
      <c r="AP32" s="649">
        <v>21.65</v>
      </c>
      <c r="AQ32" s="700">
        <v>22.42</v>
      </c>
      <c r="AR32" s="650">
        <v>21.84</v>
      </c>
      <c r="AS32" s="650">
        <v>22.61</v>
      </c>
      <c r="AT32" s="650">
        <v>22.03</v>
      </c>
      <c r="AU32" s="701">
        <v>22.8</v>
      </c>
      <c r="AV32" s="650">
        <v>22.22</v>
      </c>
      <c r="AW32" s="650">
        <v>22.99</v>
      </c>
      <c r="AX32" s="650">
        <v>22.41</v>
      </c>
      <c r="AY32" s="650">
        <v>23.18</v>
      </c>
      <c r="AZ32" s="651">
        <v>19.940000000000001</v>
      </c>
      <c r="BA32" s="651">
        <v>20.67</v>
      </c>
      <c r="BB32" s="651">
        <v>20.12</v>
      </c>
      <c r="BC32" s="651">
        <v>20.86</v>
      </c>
      <c r="BD32" s="651">
        <v>20.309999999999999</v>
      </c>
      <c r="BE32" s="651">
        <v>21.05</v>
      </c>
      <c r="BF32" s="710">
        <v>20.5</v>
      </c>
      <c r="BG32" s="651">
        <v>21.23</v>
      </c>
      <c r="BH32" s="651">
        <v>17.12</v>
      </c>
      <c r="BI32" s="651">
        <v>17.850000000000001</v>
      </c>
      <c r="BJ32" s="651">
        <v>16.93</v>
      </c>
      <c r="BK32" s="651">
        <v>17.66</v>
      </c>
      <c r="BL32" s="651">
        <v>16.739999999999998</v>
      </c>
      <c r="BM32" s="651">
        <v>17.48</v>
      </c>
      <c r="BN32" s="651">
        <v>16.559999999999999</v>
      </c>
      <c r="BO32" s="651">
        <v>17.29</v>
      </c>
      <c r="BP32" s="651">
        <v>16.37</v>
      </c>
      <c r="BQ32" s="651">
        <v>17.100000000000001</v>
      </c>
      <c r="BR32" s="646">
        <f t="shared" ref="BR32" si="13">IF($C$2=15.5,J32,IF($C$2=16.5,L32,IF($C$2=17.5,N32,IF($C$2=18.5,P32,IF($C$2=19.5,R32,IF($C$2=20.5,T32,IF($C$2=21.5,V32,IF($C$2=22.5,X32,IF($C$2=23.5,Z32,IF($C$2=24.5,AB32,IF($C$2=25.5,AD32,IF($C$2=26.5,AF32,IF($C$2=27.5,AH32,IF($C$2=28.5,AJ32,IF($C$2=29.5,AL32,IF($C$2=30.5,AN32,IF($C$2=31.5,AP32,IF($C$2=32.5,AR32,IF($C$2=33.5,AT32,IF($C$2=34.5,AV32,IF($C$2=35.5,AY32)))))))))))))))))))))</f>
        <v>22.03</v>
      </c>
      <c r="BS32" s="646">
        <f>IF($C$2=15.5,K32,IF($C$2=16.5,M32,IF($C$2=17.5,O32,IF($C$2=18.5,Q32,IF($C$2=19.5,S32,IF($C$2=20.5,U32,IF($C$2=21.5,W32,IF($C$2=22.5,Y32,IF($C$2=23.5,AA32,IF($C$2=24.5,AC32,IF($C$2=25.5,AE32,IF($C$2=26.5,AG32,IF($C$2=27.5,AI32,IF($C$2=28.5,AK32,IF($C$2=29.5,AM32,IF($C$2=30.5,AO32,IF($C$2=31.5,AQ32,IF($C$2=32.5,AS32,IF($C$2=33.5,AU32)))))))))))))))))))</f>
        <v>22.8</v>
      </c>
      <c r="BT32" s="647">
        <f>IF(ข้อมูล!$Q$14=0,BR32,IF(ข้อมูล!$Q$14=1,BS32,IF(ข้อมูล!$Q$14=2,BS32,)))</f>
        <v>22.03</v>
      </c>
    </row>
    <row r="33" spans="2:72" ht="18.75" thickBot="1" x14ac:dyDescent="0.35">
      <c r="B33" s="639">
        <v>29</v>
      </c>
      <c r="C33" s="640">
        <f>IF($C$2=15.5,'S3'!A33,IF($C$2=16.5,'S3'!B33,IF($C$2=17.5,'S3'!C33,IF($C$2=18.5,'S3'!D33,IF($C$2=19.5,'S3'!E33,IF($C$2=20.5,'S3'!F33,IF($C$2=21.5,'S3'!G33,IF($C$2=22.5,'S3'!H33,IF($C$2=23.5,'S3'!I33,IF($C$2=24.5,'S3'!J33,IF($C$2=25.5,'S3'!K33,IF($C$2=26.5,'S3'!L33,IF($C$2=27.5,'S3'!M33,IF($C$2=28.5,'S3'!N33,IF($C$2=29.5,'S3'!O33,IF($C$2=30.5,'S3'!P33,IF($C$2=31.5,'S3'!Q33,IF($C$2=32.5,'S3'!R33,IF($C$2=33.5,'S3'!S33,IF($C$2=34.5,'S3'!T33,IF($C$2=35.5,'S3'!U33)))))))))))))))))))))</f>
        <v>76.739999999999995</v>
      </c>
      <c r="D33" s="641">
        <f t="shared" si="3"/>
        <v>107.44</v>
      </c>
      <c r="E33" s="641">
        <f>IF($E$2=15.5,'S3'!AF33,IF($E$2=16.5,'S3'!AG33,IF($E$2=17.5,'S3'!AH33,IF($E$2=18.5,'S3'!AI33,IF($E$2=19.5,'S3'!AJ33,IF($E$2=20.5,'S3'!AK33,IF($E$2=21.5,'S3'!AL33,IF($E$2=22.5,'S3'!AM33,IF($E$2=23.5,'S3'!AN33,IF($E$2=24.5,'S3'!AO33,IF($E$2=25.5,'S3'!AP33,IF($E$2=26.5,'S3'!AQ33,IF($E$2=27.5,'S3'!AR33,IF($E$2=28.5,'S3'!AS33,IF($E$2=29.5,'S3'!AT33,IF($E$2=30.5,'S3'!AU33,IF($E$2=31.5,'S3'!AV33,IF($E$2=32.5,'S3'!AW33,IF($E$2=33.5,'S3'!AX33,IF($E$2=34.5,'S3'!AY33,IF($E$2=35.5,'S3'!AZ33)))))))))))))))))))))</f>
        <v>47.96</v>
      </c>
      <c r="F33" s="641">
        <f t="shared" si="1"/>
        <v>67.14</v>
      </c>
      <c r="H33" s="702" t="s">
        <v>195</v>
      </c>
      <c r="I33" s="699"/>
      <c r="J33" s="703"/>
      <c r="K33" s="703"/>
      <c r="L33" s="703"/>
      <c r="M33" s="703"/>
      <c r="N33" s="703"/>
      <c r="O33" s="703"/>
      <c r="P33" s="703"/>
      <c r="Q33" s="703"/>
      <c r="R33" s="703"/>
      <c r="S33" s="703"/>
      <c r="T33" s="703"/>
      <c r="U33" s="703"/>
      <c r="V33" s="703"/>
      <c r="W33" s="703"/>
      <c r="X33" s="649"/>
      <c r="Y33" s="649"/>
      <c r="Z33" s="649"/>
      <c r="AA33" s="649"/>
      <c r="AB33" s="649"/>
      <c r="AC33" s="649"/>
      <c r="AD33" s="649"/>
      <c r="AE33" s="649"/>
      <c r="AF33" s="649"/>
      <c r="AG33" s="649"/>
      <c r="AH33" s="649"/>
      <c r="AI33" s="649"/>
      <c r="AJ33" s="649"/>
      <c r="AK33" s="649"/>
      <c r="AL33" s="649"/>
      <c r="AM33" s="649"/>
      <c r="AN33" s="649"/>
      <c r="AO33" s="649"/>
      <c r="AP33" s="649"/>
      <c r="AQ33" s="649"/>
      <c r="AR33" s="650"/>
      <c r="AS33" s="650"/>
      <c r="AT33" s="650"/>
      <c r="AU33" s="650"/>
      <c r="AV33" s="650"/>
      <c r="AW33" s="650"/>
      <c r="AX33" s="650"/>
      <c r="AY33" s="650"/>
      <c r="AZ33" s="651"/>
      <c r="BA33" s="651"/>
      <c r="BB33" s="651"/>
      <c r="BC33" s="651"/>
      <c r="BD33" s="651"/>
      <c r="BE33" s="651"/>
      <c r="BF33" s="651"/>
      <c r="BG33" s="651"/>
      <c r="BH33" s="651"/>
      <c r="BI33" s="651"/>
      <c r="BJ33" s="651"/>
      <c r="BK33" s="651"/>
      <c r="BL33" s="651"/>
      <c r="BM33" s="651"/>
      <c r="BN33" s="651"/>
      <c r="BO33" s="651"/>
      <c r="BP33" s="651"/>
      <c r="BQ33" s="651"/>
      <c r="BR33" s="704"/>
      <c r="BS33" s="704"/>
      <c r="BT33" s="699"/>
    </row>
    <row r="34" spans="2:72" ht="18.75" thickBot="1" x14ac:dyDescent="0.35">
      <c r="B34" s="639">
        <v>30</v>
      </c>
      <c r="C34" s="640">
        <f>IF($C$2=15.5,'S3'!A34,IF($C$2=16.5,'S3'!B34,IF($C$2=17.5,'S3'!C34,IF($C$2=18.5,'S3'!D34,IF($C$2=19.5,'S3'!E34,IF($C$2=20.5,'S3'!F34,IF($C$2=21.5,'S3'!G34,IF($C$2=22.5,'S3'!H34,IF($C$2=23.5,'S3'!I34,IF($C$2=24.5,'S3'!J34,IF($C$2=25.5,'S3'!K34,IF($C$2=26.5,'S3'!L34,IF($C$2=27.5,'S3'!M34,IF($C$2=28.5,'S3'!N34,IF($C$2=29.5,'S3'!O34,IF($C$2=30.5,'S3'!P34,IF($C$2=31.5,'S3'!Q34,IF($C$2=32.5,'S3'!R34,IF($C$2=33.5,'S3'!S34,IF($C$2=34.5,'S3'!T34,IF($C$2=35.5,'S3'!U34)))))))))))))))))))))</f>
        <v>79.349999999999994</v>
      </c>
      <c r="D34" s="641">
        <f t="shared" si="3"/>
        <v>111.09</v>
      </c>
      <c r="E34" s="641">
        <f>IF($E$2=15.5,'S3'!AF34,IF($E$2=16.5,'S3'!AG34,IF($E$2=17.5,'S3'!AH34,IF($E$2=18.5,'S3'!AI34,IF($E$2=19.5,'S3'!AJ34,IF($E$2=20.5,'S3'!AK34,IF($E$2=21.5,'S3'!AL34,IF($E$2=22.5,'S3'!AM34,IF($E$2=23.5,'S3'!AN34,IF($E$2=24.5,'S3'!AO34,IF($E$2=25.5,'S3'!AP34,IF($E$2=26.5,'S3'!AQ34,IF($E$2=27.5,'S3'!AR34,IF($E$2=28.5,'S3'!AS34,IF($E$2=29.5,'S3'!AT34,IF($E$2=30.5,'S3'!AU34,IF($E$2=31.5,'S3'!AV34,IF($E$2=32.5,'S3'!AW34,IF($E$2=33.5,'S3'!AX34,IF($E$2=34.5,'S3'!AY34,IF($E$2=35.5,'S3'!AZ34)))))))))))))))))))))</f>
        <v>49.59</v>
      </c>
      <c r="F34" s="641">
        <f t="shared" si="1"/>
        <v>69.430000000000007</v>
      </c>
      <c r="H34" s="699" t="s">
        <v>196</v>
      </c>
      <c r="I34" s="642" t="s">
        <v>86</v>
      </c>
      <c r="J34" s="635">
        <v>18.53</v>
      </c>
      <c r="K34" s="635">
        <v>19.41</v>
      </c>
      <c r="L34" s="635">
        <v>18.75</v>
      </c>
      <c r="M34" s="635">
        <v>19.63</v>
      </c>
      <c r="N34" s="635">
        <v>18.97</v>
      </c>
      <c r="O34" s="635">
        <v>19.850000000000001</v>
      </c>
      <c r="P34" s="635">
        <v>19.18</v>
      </c>
      <c r="Q34" s="635">
        <v>20.059999999999999</v>
      </c>
      <c r="R34" s="635">
        <v>19.399999999999999</v>
      </c>
      <c r="S34" s="635">
        <v>20.28</v>
      </c>
      <c r="T34" s="635">
        <v>19.61</v>
      </c>
      <c r="U34" s="635">
        <v>20.49</v>
      </c>
      <c r="V34" s="635">
        <v>19.829999999999998</v>
      </c>
      <c r="W34" s="635">
        <v>20.71</v>
      </c>
      <c r="X34" s="649">
        <v>20.04</v>
      </c>
      <c r="Y34" s="649">
        <v>20.92</v>
      </c>
      <c r="Z34" s="700">
        <v>20.260000000000002</v>
      </c>
      <c r="AA34" s="649">
        <v>21.14</v>
      </c>
      <c r="AB34" s="649">
        <v>20.47</v>
      </c>
      <c r="AC34" s="649">
        <v>21.35</v>
      </c>
      <c r="AD34" s="649">
        <v>20.69</v>
      </c>
      <c r="AE34" s="700">
        <v>21.57</v>
      </c>
      <c r="AF34" s="649">
        <v>20.9</v>
      </c>
      <c r="AG34" s="649">
        <v>21.78</v>
      </c>
      <c r="AH34" s="649">
        <v>21.12</v>
      </c>
      <c r="AI34" s="700">
        <v>22</v>
      </c>
      <c r="AJ34" s="649">
        <v>21.34</v>
      </c>
      <c r="AK34" s="700">
        <v>22.22</v>
      </c>
      <c r="AL34" s="649">
        <v>21.55</v>
      </c>
      <c r="AM34" s="649">
        <v>22.43</v>
      </c>
      <c r="AN34" s="649">
        <v>21.77</v>
      </c>
      <c r="AO34" s="649">
        <v>22.65</v>
      </c>
      <c r="AP34" s="649">
        <v>21.98</v>
      </c>
      <c r="AQ34" s="649">
        <v>22.86</v>
      </c>
      <c r="AR34" s="701">
        <v>22.2</v>
      </c>
      <c r="AS34" s="650">
        <v>23.08</v>
      </c>
      <c r="AT34" s="650">
        <v>22.41</v>
      </c>
      <c r="AU34" s="650">
        <v>23.29</v>
      </c>
      <c r="AV34" s="650">
        <v>22.63</v>
      </c>
      <c r="AW34" s="701">
        <v>23.51</v>
      </c>
      <c r="AX34" s="650">
        <v>22.84</v>
      </c>
      <c r="AY34" s="650">
        <v>23.72</v>
      </c>
      <c r="AZ34" s="651">
        <v>20.6</v>
      </c>
      <c r="BA34" s="651">
        <v>21.47</v>
      </c>
      <c r="BB34" s="651">
        <v>20.82</v>
      </c>
      <c r="BC34" s="651">
        <v>21.69</v>
      </c>
      <c r="BD34" s="651">
        <v>21.03</v>
      </c>
      <c r="BE34" s="710">
        <v>21.9</v>
      </c>
      <c r="BF34" s="651">
        <v>21.25</v>
      </c>
      <c r="BG34" s="710">
        <v>22.12</v>
      </c>
      <c r="BH34" s="710">
        <v>17.37</v>
      </c>
      <c r="BI34" s="710">
        <v>18.239999999999998</v>
      </c>
      <c r="BJ34" s="710">
        <v>17.16</v>
      </c>
      <c r="BK34" s="710">
        <v>18.02</v>
      </c>
      <c r="BL34" s="710">
        <v>16.940000000000001</v>
      </c>
      <c r="BM34" s="710">
        <v>17.809999999999999</v>
      </c>
      <c r="BN34" s="710">
        <v>16.72</v>
      </c>
      <c r="BO34" s="710">
        <v>17.59</v>
      </c>
      <c r="BP34" s="710">
        <v>16.510000000000002</v>
      </c>
      <c r="BQ34" s="710">
        <v>17.38</v>
      </c>
      <c r="BR34" s="646">
        <f t="shared" ref="BR34:BR35" si="14">IF($C$2=15.5,J34,IF($C$2=16.5,L34,IF($C$2=17.5,N34,IF($C$2=18.5,P34,IF($C$2=19.5,R34,IF($C$2=20.5,T34,IF($C$2=21.5,V34,IF($C$2=22.5,X34,IF($C$2=23.5,Z34,IF($C$2=24.5,AB34,IF($C$2=25.5,AD34,IF($C$2=26.5,AF34,IF($C$2=27.5,AH34,IF($C$2=28.5,AJ34,IF($C$2=29.5,AL34,IF($C$2=30.5,AN34,IF($C$2=31.5,AP34,IF($C$2=32.5,AR34,IF($C$2=33.5,AT34,IF($C$2=34.5,AV34,IF($C$2=35.5,AY34)))))))))))))))))))))</f>
        <v>22.41</v>
      </c>
      <c r="BS34" s="646">
        <f>IF($C$2=15.5,K34,IF($C$2=16.5,M34,IF($C$2=17.5,O34,IF($C$2=18.5,Q34,IF($C$2=19.5,S34,IF($C$2=20.5,U34,IF($C$2=21.5,W34,IF($C$2=22.5,Y34,IF($C$2=23.5,AA34,IF($C$2=24.5,AC34,IF($C$2=25.5,AE34,IF($C$2=26.5,AG34,IF($C$2=27.5,AI34,IF($C$2=28.5,AK34,IF($C$2=29.5,AM34,IF($C$2=30.5,AO34,IF($C$2=31.5,AQ34,IF($C$2=32.5,AS34,IF($C$2=33.5,AU34)))))))))))))))))))</f>
        <v>23.29</v>
      </c>
      <c r="BT34" s="647">
        <f>IF(ข้อมูล!$Q$14=0,BR34,IF(ข้อมูล!$Q$14=1,BS34,IF(ข้อมูล!$Q$14=2,BS34,)))</f>
        <v>22.41</v>
      </c>
    </row>
    <row r="35" spans="2:72" ht="18.75" thickBot="1" x14ac:dyDescent="0.35">
      <c r="B35" s="639">
        <v>31</v>
      </c>
      <c r="C35" s="640">
        <f>IF($C$2=15.5,'S3'!A35,IF($C$2=16.5,'S3'!B35,IF($C$2=17.5,'S3'!C35,IF($C$2=18.5,'S3'!D35,IF($C$2=19.5,'S3'!E35,IF($C$2=20.5,'S3'!F35,IF($C$2=21.5,'S3'!G35,IF($C$2=22.5,'S3'!H35,IF($C$2=23.5,'S3'!I35,IF($C$2=24.5,'S3'!J35,IF($C$2=25.5,'S3'!K35,IF($C$2=26.5,'S3'!L35,IF($C$2=27.5,'S3'!M35,IF($C$2=28.5,'S3'!N35,IF($C$2=29.5,'S3'!O35,IF($C$2=30.5,'S3'!P35,IF($C$2=31.5,'S3'!Q35,IF($C$2=32.5,'S3'!R35,IF($C$2=33.5,'S3'!S35,IF($C$2=34.5,'S3'!T35,IF($C$2=35.5,'S3'!U35)))))))))))))))))))))</f>
        <v>81.94</v>
      </c>
      <c r="D35" s="641">
        <f t="shared" si="3"/>
        <v>114.72</v>
      </c>
      <c r="E35" s="641">
        <f>IF($E$2=15.5,'S3'!AF35,IF($E$2=16.5,'S3'!AG35,IF($E$2=17.5,'S3'!AH35,IF($E$2=18.5,'S3'!AI35,IF($E$2=19.5,'S3'!AJ35,IF($E$2=20.5,'S3'!AK35,IF($E$2=21.5,'S3'!AL35,IF($E$2=22.5,'S3'!AM35,IF($E$2=23.5,'S3'!AN35,IF($E$2=24.5,'S3'!AO35,IF($E$2=25.5,'S3'!AP35,IF($E$2=26.5,'S3'!AQ35,IF($E$2=27.5,'S3'!AR35,IF($E$2=28.5,'S3'!AS35,IF($E$2=29.5,'S3'!AT35,IF($E$2=30.5,'S3'!AU35,IF($E$2=31.5,'S3'!AV35,IF($E$2=32.5,'S3'!AW35,IF($E$2=33.5,'S3'!AX35,IF($E$2=34.5,'S3'!AY35,IF($E$2=35.5,'S3'!AZ35)))))))))))))))))))))</f>
        <v>51.22</v>
      </c>
      <c r="F35" s="641">
        <f t="shared" si="1"/>
        <v>71.709999999999994</v>
      </c>
      <c r="H35" s="699" t="s">
        <v>197</v>
      </c>
      <c r="I35" s="642" t="s">
        <v>88</v>
      </c>
      <c r="J35" s="635">
        <v>39.17</v>
      </c>
      <c r="K35" s="635">
        <v>41.87</v>
      </c>
      <c r="L35" s="635">
        <v>39.630000000000003</v>
      </c>
      <c r="M35" s="635">
        <v>42.33</v>
      </c>
      <c r="N35" s="635">
        <v>40.08</v>
      </c>
      <c r="O35" s="635">
        <v>42.78</v>
      </c>
      <c r="P35" s="635">
        <v>40.53</v>
      </c>
      <c r="Q35" s="635">
        <v>43.23</v>
      </c>
      <c r="R35" s="635">
        <v>40.98</v>
      </c>
      <c r="S35" s="635">
        <v>43.68</v>
      </c>
      <c r="T35" s="635">
        <v>41.43</v>
      </c>
      <c r="U35" s="635">
        <v>44.13</v>
      </c>
      <c r="V35" s="635">
        <v>41.88</v>
      </c>
      <c r="W35" s="635">
        <v>44.58</v>
      </c>
      <c r="X35" s="700">
        <v>42.33</v>
      </c>
      <c r="Y35" s="649">
        <v>45.03</v>
      </c>
      <c r="Z35" s="649">
        <v>42.78</v>
      </c>
      <c r="AA35" s="649">
        <v>45.48</v>
      </c>
      <c r="AB35" s="649">
        <v>43.23</v>
      </c>
      <c r="AC35" s="649">
        <v>45.93</v>
      </c>
      <c r="AD35" s="649">
        <v>43.68</v>
      </c>
      <c r="AE35" s="649">
        <v>46.38</v>
      </c>
      <c r="AF35" s="649">
        <v>44.13</v>
      </c>
      <c r="AG35" s="649">
        <v>46.83</v>
      </c>
      <c r="AH35" s="649">
        <v>44.58</v>
      </c>
      <c r="AI35" s="649">
        <v>47.28</v>
      </c>
      <c r="AJ35" s="649">
        <v>45.03</v>
      </c>
      <c r="AK35" s="649">
        <v>47.73</v>
      </c>
      <c r="AL35" s="649">
        <v>45.49</v>
      </c>
      <c r="AM35" s="649">
        <v>48.19</v>
      </c>
      <c r="AN35" s="649">
        <v>45.94</v>
      </c>
      <c r="AO35" s="649">
        <v>48.64</v>
      </c>
      <c r="AP35" s="649">
        <v>46.39</v>
      </c>
      <c r="AQ35" s="649">
        <v>49.09</v>
      </c>
      <c r="AR35" s="650">
        <v>46.84</v>
      </c>
      <c r="AS35" s="650">
        <v>49.54</v>
      </c>
      <c r="AT35" s="650">
        <v>47.29</v>
      </c>
      <c r="AU35" s="650">
        <v>49.99</v>
      </c>
      <c r="AV35" s="650">
        <v>47.74</v>
      </c>
      <c r="AW35" s="650">
        <v>50.44</v>
      </c>
      <c r="AX35" s="650">
        <v>48.19</v>
      </c>
      <c r="AY35" s="650">
        <v>50.89</v>
      </c>
      <c r="AZ35" s="651">
        <v>39.15</v>
      </c>
      <c r="BA35" s="651">
        <v>41.13</v>
      </c>
      <c r="BB35" s="710">
        <v>39.6</v>
      </c>
      <c r="BC35" s="651">
        <v>41.58</v>
      </c>
      <c r="BD35" s="651">
        <v>40.049999999999997</v>
      </c>
      <c r="BE35" s="651">
        <v>42.03</v>
      </c>
      <c r="BF35" s="710">
        <v>40.5</v>
      </c>
      <c r="BG35" s="651">
        <v>42.48</v>
      </c>
      <c r="BH35" s="710">
        <v>32.380000000000003</v>
      </c>
      <c r="BI35" s="710">
        <v>34.36</v>
      </c>
      <c r="BJ35" s="710">
        <v>31.93</v>
      </c>
      <c r="BK35" s="710">
        <v>33.909999999999997</v>
      </c>
      <c r="BL35" s="710">
        <v>31.48</v>
      </c>
      <c r="BM35" s="710">
        <v>33.46</v>
      </c>
      <c r="BN35" s="710">
        <v>31.03</v>
      </c>
      <c r="BO35" s="710">
        <v>33.01</v>
      </c>
      <c r="BP35" s="710">
        <v>30.58</v>
      </c>
      <c r="BQ35" s="710">
        <v>32.56</v>
      </c>
      <c r="BR35" s="646">
        <f t="shared" si="14"/>
        <v>47.29</v>
      </c>
      <c r="BS35" s="646">
        <f>IF($C$2=15.5,K35,IF($C$2=16.5,M35,IF($C$2=17.5,O35,IF($C$2=18.5,Q35,IF($C$2=19.5,S35,IF($C$2=20.5,U35,IF($C$2=21.5,W35,IF($C$2=22.5,Y35,IF($C$2=23.5,AA35,IF($C$2=24.5,AC35,IF($C$2=25.5,AE35,IF($C$2=26.5,AG35,IF($C$2=27.5,AI35,IF($C$2=28.5,AK35,IF($C$2=29.5,AM35,IF($C$2=30.5,AO35,IF($C$2=31.5,AQ35,IF($C$2=32.5,AS35,IF($C$2=33.5,AU35)))))))))))))))))))</f>
        <v>49.99</v>
      </c>
      <c r="BT35" s="647">
        <f>IF(ข้อมูล!$Q$14=0,BR35,IF(ข้อมูล!$Q$14=1,BS35,IF(ข้อมูล!$Q$14=2,BS35,)))</f>
        <v>47.29</v>
      </c>
    </row>
    <row r="36" spans="2:72" ht="18.75" thickBot="1" x14ac:dyDescent="0.35">
      <c r="B36" s="639">
        <v>32</v>
      </c>
      <c r="C36" s="640">
        <f>IF($C$2=15.5,'S3'!A36,IF($C$2=16.5,'S3'!B36,IF($C$2=17.5,'S3'!C36,IF($C$2=18.5,'S3'!D36,IF($C$2=19.5,'S3'!E36,IF($C$2=20.5,'S3'!F36,IF($C$2=21.5,'S3'!G36,IF($C$2=22.5,'S3'!H36,IF($C$2=23.5,'S3'!I36,IF($C$2=24.5,'S3'!J36,IF($C$2=25.5,'S3'!K36,IF($C$2=26.5,'S3'!L36,IF($C$2=27.5,'S3'!M36,IF($C$2=28.5,'S3'!N36,IF($C$2=29.5,'S3'!O36,IF($C$2=30.5,'S3'!P36,IF($C$2=31.5,'S3'!Q36,IF($C$2=32.5,'S3'!R36,IF($C$2=33.5,'S3'!S36,IF($C$2=34.5,'S3'!T36,IF($C$2=35.5,'S3'!U36)))))))))))))))))))))</f>
        <v>84.56</v>
      </c>
      <c r="D36" s="641">
        <f t="shared" si="3"/>
        <v>118.38</v>
      </c>
      <c r="E36" s="641">
        <f>IF($E$2=15.5,'S3'!AF36,IF($E$2=16.5,'S3'!AG36,IF($E$2=17.5,'S3'!AH36,IF($E$2=18.5,'S3'!AI36,IF($E$2=19.5,'S3'!AJ36,IF($E$2=20.5,'S3'!AK36,IF($E$2=21.5,'S3'!AL36,IF($E$2=22.5,'S3'!AM36,IF($E$2=23.5,'S3'!AN36,IF($E$2=24.5,'S3'!AO36,IF($E$2=25.5,'S3'!AP36,IF($E$2=26.5,'S3'!AQ36,IF($E$2=27.5,'S3'!AR36,IF($E$2=28.5,'S3'!AS36,IF($E$2=29.5,'S3'!AT36,IF($E$2=30.5,'S3'!AU36,IF($E$2=31.5,'S3'!AV36,IF($E$2=32.5,'S3'!AW36,IF($E$2=33.5,'S3'!AX36,IF($E$2=34.5,'S3'!AY36,IF($E$2=35.5,'S3'!AZ36)))))))))))))))))))))</f>
        <v>52.85</v>
      </c>
      <c r="F36" s="641">
        <f t="shared" si="1"/>
        <v>73.989999999999995</v>
      </c>
      <c r="H36" s="699"/>
      <c r="I36" s="699"/>
      <c r="J36" s="699"/>
      <c r="K36" s="699"/>
      <c r="L36" s="699"/>
      <c r="M36" s="699"/>
      <c r="N36" s="699"/>
      <c r="O36" s="699"/>
      <c r="P36" s="699"/>
      <c r="Q36" s="699"/>
      <c r="R36" s="699"/>
      <c r="S36" s="699"/>
      <c r="T36" s="699"/>
      <c r="U36" s="699"/>
      <c r="V36" s="699"/>
      <c r="W36" s="699"/>
      <c r="X36" s="699"/>
      <c r="Y36" s="699"/>
      <c r="Z36" s="699"/>
      <c r="AA36" s="699"/>
      <c r="AB36" s="699"/>
      <c r="AC36" s="699"/>
      <c r="AD36" s="699"/>
      <c r="AE36" s="699"/>
      <c r="AF36" s="699"/>
      <c r="AG36" s="699"/>
      <c r="AH36" s="699"/>
      <c r="AI36" s="699"/>
      <c r="AJ36" s="699"/>
      <c r="AK36" s="699"/>
      <c r="AL36" s="699"/>
      <c r="AM36" s="699"/>
      <c r="AN36" s="699"/>
      <c r="AO36" s="699"/>
      <c r="AP36" s="699"/>
      <c r="AQ36" s="699"/>
      <c r="AR36" s="699"/>
      <c r="AS36" s="699"/>
      <c r="AT36" s="699"/>
      <c r="AU36" s="699"/>
      <c r="AV36" s="699"/>
      <c r="AW36" s="699"/>
      <c r="AX36" s="699"/>
      <c r="AY36" s="699"/>
      <c r="AZ36" s="699"/>
      <c r="BA36" s="699"/>
      <c r="BB36" s="699"/>
      <c r="BC36" s="699"/>
      <c r="BD36" s="699"/>
      <c r="BE36" s="699"/>
      <c r="BF36" s="699"/>
      <c r="BG36" s="699"/>
      <c r="BH36" s="699"/>
      <c r="BI36" s="699"/>
      <c r="BJ36" s="699"/>
      <c r="BK36" s="699"/>
      <c r="BL36" s="699"/>
      <c r="BM36" s="699"/>
      <c r="BN36" s="699"/>
      <c r="BO36" s="699"/>
      <c r="BP36" s="699"/>
      <c r="BQ36" s="699"/>
      <c r="BR36" s="704"/>
      <c r="BS36" s="704"/>
      <c r="BT36" s="699"/>
    </row>
    <row r="37" spans="2:72" ht="18.75" thickBot="1" x14ac:dyDescent="0.35">
      <c r="B37" s="639">
        <v>33</v>
      </c>
      <c r="C37" s="640">
        <f>IF($C$2=15.5,'S3'!A37,IF($C$2=16.5,'S3'!B37,IF($C$2=17.5,'S3'!C37,IF($C$2=18.5,'S3'!D37,IF($C$2=19.5,'S3'!E37,IF($C$2=20.5,'S3'!F37,IF($C$2=21.5,'S3'!G37,IF($C$2=22.5,'S3'!H37,IF($C$2=23.5,'S3'!I37,IF($C$2=24.5,'S3'!J37,IF($C$2=25.5,'S3'!K37,IF($C$2=26.5,'S3'!L37,IF($C$2=27.5,'S3'!M37,IF($C$2=28.5,'S3'!N37,IF($C$2=29.5,'S3'!O37,IF($C$2=30.5,'S3'!P37,IF($C$2=31.5,'S3'!Q37,IF($C$2=32.5,'S3'!R37,IF($C$2=33.5,'S3'!S37,IF($C$2=34.5,'S3'!T37,IF($C$2=35.5,'S3'!U37)))))))))))))))))))))</f>
        <v>87.16</v>
      </c>
      <c r="D37" s="641">
        <f t="shared" si="3"/>
        <v>122.02</v>
      </c>
      <c r="E37" s="641">
        <f>IF($E$2=15.5,'S3'!AF37,IF($E$2=16.5,'S3'!AG37,IF($E$2=17.5,'S3'!AH37,IF($E$2=18.5,'S3'!AI37,IF($E$2=19.5,'S3'!AJ37,IF($E$2=20.5,'S3'!AK37,IF($E$2=21.5,'S3'!AL37,IF($E$2=22.5,'S3'!AM37,IF($E$2=23.5,'S3'!AN37,IF($E$2=24.5,'S3'!AO37,IF($E$2=25.5,'S3'!AP37,IF($E$2=26.5,'S3'!AQ37,IF($E$2=27.5,'S3'!AR37,IF($E$2=28.5,'S3'!AS37,IF($E$2=29.5,'S3'!AT37,IF($E$2=30.5,'S3'!AU37,IF($E$2=31.5,'S3'!AV37,IF($E$2=32.5,'S3'!AW37,IF($E$2=33.5,'S3'!AX37,IF($E$2=34.5,'S3'!AY37,IF($E$2=35.5,'S3'!AZ37)))))))))))))))))))))</f>
        <v>54.49</v>
      </c>
      <c r="F37" s="641">
        <f t="shared" si="1"/>
        <v>76.290000000000006</v>
      </c>
      <c r="H37" s="699"/>
      <c r="I37" s="699"/>
      <c r="J37" s="699"/>
      <c r="K37" s="699"/>
      <c r="L37" s="699"/>
      <c r="M37" s="699"/>
      <c r="N37" s="699"/>
      <c r="O37" s="699"/>
      <c r="P37" s="699"/>
      <c r="Q37" s="699"/>
      <c r="R37" s="699"/>
      <c r="S37" s="699"/>
      <c r="T37" s="699"/>
      <c r="U37" s="699"/>
      <c r="V37" s="699"/>
      <c r="W37" s="699"/>
      <c r="X37" s="699"/>
      <c r="Y37" s="699"/>
      <c r="Z37" s="699"/>
      <c r="AA37" s="699"/>
      <c r="AB37" s="699"/>
      <c r="AC37" s="699"/>
      <c r="AD37" s="699"/>
      <c r="AE37" s="699"/>
      <c r="AF37" s="699"/>
      <c r="AG37" s="699"/>
      <c r="AH37" s="699"/>
      <c r="AI37" s="699"/>
      <c r="AJ37" s="699"/>
      <c r="AK37" s="699"/>
      <c r="AL37" s="699"/>
      <c r="AM37" s="699"/>
      <c r="AN37" s="699"/>
      <c r="AO37" s="699"/>
      <c r="AP37" s="699"/>
      <c r="AQ37" s="699"/>
      <c r="AR37" s="699"/>
      <c r="AS37" s="699"/>
      <c r="AT37" s="699"/>
      <c r="AU37" s="699"/>
      <c r="AV37" s="699"/>
      <c r="AW37" s="699"/>
      <c r="AX37" s="699"/>
      <c r="AY37" s="699"/>
      <c r="AZ37" s="699"/>
      <c r="BA37" s="699"/>
      <c r="BB37" s="699"/>
      <c r="BC37" s="699"/>
      <c r="BD37" s="699"/>
      <c r="BE37" s="699"/>
      <c r="BF37" s="699"/>
      <c r="BG37" s="699"/>
      <c r="BH37" s="699"/>
      <c r="BI37" s="699"/>
      <c r="BJ37" s="699"/>
      <c r="BK37" s="699"/>
      <c r="BL37" s="699"/>
      <c r="BM37" s="699"/>
      <c r="BN37" s="699"/>
      <c r="BO37" s="699"/>
      <c r="BP37" s="699"/>
      <c r="BQ37" s="699"/>
      <c r="BR37" s="704"/>
      <c r="BS37" s="704"/>
      <c r="BT37" s="699"/>
    </row>
    <row r="38" spans="2:72" ht="18.75" thickBot="1" x14ac:dyDescent="0.35">
      <c r="B38" s="639">
        <v>34</v>
      </c>
      <c r="C38" s="640">
        <f>IF($C$2=15.5,'S3'!A38,IF($C$2=16.5,'S3'!B38,IF($C$2=17.5,'S3'!C38,IF($C$2=18.5,'S3'!D38,IF($C$2=19.5,'S3'!E38,IF($C$2=20.5,'S3'!F38,IF($C$2=21.5,'S3'!G38,IF($C$2=22.5,'S3'!H38,IF($C$2=23.5,'S3'!I38,IF($C$2=24.5,'S3'!J38,IF($C$2=25.5,'S3'!K38,IF($C$2=26.5,'S3'!L38,IF($C$2=27.5,'S3'!M38,IF($C$2=28.5,'S3'!N38,IF($C$2=29.5,'S3'!O38,IF($C$2=30.5,'S3'!P38,IF($C$2=31.5,'S3'!Q38,IF($C$2=32.5,'S3'!R38,IF($C$2=33.5,'S3'!S38,IF($C$2=34.5,'S3'!T38,IF($C$2=35.5,'S3'!U38)))))))))))))))))))))</f>
        <v>89.77</v>
      </c>
      <c r="D38" s="641">
        <f t="shared" si="3"/>
        <v>125.68</v>
      </c>
      <c r="E38" s="641">
        <f>IF($E$2=15.5,'S3'!AF38,IF($E$2=16.5,'S3'!AG38,IF($E$2=17.5,'S3'!AH38,IF($E$2=18.5,'S3'!AI38,IF($E$2=19.5,'S3'!AJ38,IF($E$2=20.5,'S3'!AK38,IF($E$2=21.5,'S3'!AL38,IF($E$2=22.5,'S3'!AM38,IF($E$2=23.5,'S3'!AN38,IF($E$2=24.5,'S3'!AO38,IF($E$2=25.5,'S3'!AP38,IF($E$2=26.5,'S3'!AQ38,IF($E$2=27.5,'S3'!AR38,IF($E$2=28.5,'S3'!AS38,IF($E$2=29.5,'S3'!AT38,IF($E$2=30.5,'S3'!AU38,IF($E$2=31.5,'S3'!AV38,IF($E$2=32.5,'S3'!AW38,IF($E$2=33.5,'S3'!AX38,IF($E$2=34.5,'S3'!AY38,IF($E$2=35.5,'S3'!AZ38)))))))))))))))))))))</f>
        <v>56.12</v>
      </c>
      <c r="F38" s="641">
        <f t="shared" si="1"/>
        <v>78.569999999999993</v>
      </c>
      <c r="H38" s="699"/>
      <c r="I38" s="699"/>
      <c r="J38" s="699"/>
      <c r="K38" s="699"/>
      <c r="L38" s="699"/>
      <c r="M38" s="699"/>
      <c r="N38" s="699"/>
      <c r="O38" s="699"/>
      <c r="P38" s="699"/>
      <c r="Q38" s="699"/>
      <c r="R38" s="699"/>
      <c r="S38" s="699"/>
      <c r="T38" s="699"/>
      <c r="U38" s="699"/>
      <c r="V38" s="699"/>
      <c r="W38" s="699"/>
      <c r="X38" s="699"/>
      <c r="Y38" s="699"/>
      <c r="Z38" s="699"/>
      <c r="AA38" s="699"/>
      <c r="AB38" s="699"/>
      <c r="AC38" s="699"/>
      <c r="AD38" s="699"/>
      <c r="AE38" s="699"/>
      <c r="AF38" s="699"/>
      <c r="AG38" s="699"/>
      <c r="AH38" s="699"/>
      <c r="AI38" s="699"/>
      <c r="AJ38" s="699"/>
      <c r="AK38" s="699"/>
      <c r="AL38" s="699"/>
      <c r="AM38" s="699"/>
      <c r="AN38" s="699"/>
      <c r="AO38" s="699"/>
      <c r="AP38" s="699"/>
      <c r="AQ38" s="699"/>
      <c r="AR38" s="699"/>
      <c r="AS38" s="699"/>
      <c r="AT38" s="699"/>
      <c r="AU38" s="699"/>
      <c r="AV38" s="699"/>
      <c r="AW38" s="699"/>
      <c r="AX38" s="699"/>
      <c r="AY38" s="699"/>
      <c r="AZ38" s="699"/>
      <c r="BA38" s="699"/>
      <c r="BB38" s="699"/>
      <c r="BC38" s="699"/>
      <c r="BD38" s="699"/>
      <c r="BE38" s="699"/>
      <c r="BF38" s="699"/>
      <c r="BG38" s="699"/>
      <c r="BH38" s="699"/>
      <c r="BI38" s="699"/>
      <c r="BJ38" s="699"/>
      <c r="BK38" s="699"/>
      <c r="BL38" s="699"/>
      <c r="BM38" s="699"/>
      <c r="BN38" s="699"/>
      <c r="BO38" s="699"/>
      <c r="BP38" s="699"/>
      <c r="BQ38" s="699"/>
      <c r="BR38" s="704"/>
      <c r="BS38" s="704"/>
      <c r="BT38" s="699"/>
    </row>
    <row r="39" spans="2:72" ht="18.75" thickBot="1" x14ac:dyDescent="0.35">
      <c r="B39" s="639">
        <v>35</v>
      </c>
      <c r="C39" s="640">
        <f>IF($C$2=15.5,'S3'!A39,IF($C$2=16.5,'S3'!B39,IF($C$2=17.5,'S3'!C39,IF($C$2=18.5,'S3'!D39,IF($C$2=19.5,'S3'!E39,IF($C$2=20.5,'S3'!F39,IF($C$2=21.5,'S3'!G39,IF($C$2=22.5,'S3'!H39,IF($C$2=23.5,'S3'!I39,IF($C$2=24.5,'S3'!J39,IF($C$2=25.5,'S3'!K39,IF($C$2=26.5,'S3'!L39,IF($C$2=27.5,'S3'!M39,IF($C$2=28.5,'S3'!N39,IF($C$2=29.5,'S3'!O39,IF($C$2=30.5,'S3'!P39,IF($C$2=31.5,'S3'!Q39,IF($C$2=32.5,'S3'!R39,IF($C$2=33.5,'S3'!S39,IF($C$2=34.5,'S3'!T39,IF($C$2=35.5,'S3'!U39)))))))))))))))))))))</f>
        <v>92.36</v>
      </c>
      <c r="D39" s="641">
        <f t="shared" si="3"/>
        <v>129.30000000000001</v>
      </c>
      <c r="E39" s="641">
        <f>IF($E$2=15.5,'S3'!AF39,IF($E$2=16.5,'S3'!AG39,IF($E$2=17.5,'S3'!AH39,IF($E$2=18.5,'S3'!AI39,IF($E$2=19.5,'S3'!AJ39,IF($E$2=20.5,'S3'!AK39,IF($E$2=21.5,'S3'!AL39,IF($E$2=22.5,'S3'!AM39,IF($E$2=23.5,'S3'!AN39,IF($E$2=24.5,'S3'!AO39,IF($E$2=25.5,'S3'!AP39,IF($E$2=26.5,'S3'!AQ39,IF($E$2=27.5,'S3'!AR39,IF($E$2=28.5,'S3'!AS39,IF($E$2=29.5,'S3'!AT39,IF($E$2=30.5,'S3'!AU39,IF($E$2=31.5,'S3'!AV39,IF($E$2=32.5,'S3'!AW39,IF($E$2=33.5,'S3'!AX39,IF($E$2=34.5,'S3'!AY39,IF($E$2=35.5,'S3'!AZ39)))))))))))))))))))))</f>
        <v>57.75</v>
      </c>
      <c r="F39" s="641">
        <f t="shared" si="1"/>
        <v>80.849999999999994</v>
      </c>
      <c r="H39" s="699"/>
      <c r="I39" s="699"/>
      <c r="J39" s="699"/>
      <c r="K39" s="699"/>
      <c r="L39" s="699"/>
      <c r="M39" s="699"/>
      <c r="N39" s="699"/>
      <c r="O39" s="699"/>
      <c r="P39" s="699"/>
      <c r="Q39" s="699"/>
      <c r="R39" s="699"/>
      <c r="S39" s="699"/>
      <c r="T39" s="699"/>
      <c r="U39" s="699"/>
      <c r="V39" s="699"/>
      <c r="W39" s="699"/>
      <c r="X39" s="699"/>
      <c r="Y39" s="699"/>
      <c r="Z39" s="699"/>
      <c r="AA39" s="699"/>
      <c r="AB39" s="699"/>
      <c r="AC39" s="699"/>
      <c r="AD39" s="699"/>
      <c r="AE39" s="699"/>
      <c r="AF39" s="699"/>
      <c r="AG39" s="699"/>
      <c r="AH39" s="699"/>
      <c r="AI39" s="699"/>
      <c r="AJ39" s="699"/>
      <c r="AK39" s="699"/>
      <c r="AL39" s="699"/>
      <c r="AM39" s="699"/>
      <c r="AN39" s="699"/>
      <c r="AO39" s="699"/>
      <c r="AP39" s="699"/>
      <c r="AQ39" s="699"/>
      <c r="AR39" s="699"/>
      <c r="AS39" s="699"/>
      <c r="AT39" s="699"/>
      <c r="AU39" s="699"/>
      <c r="AV39" s="699"/>
      <c r="AW39" s="699"/>
      <c r="AX39" s="699"/>
      <c r="AY39" s="699"/>
      <c r="AZ39" s="699"/>
      <c r="BA39" s="699"/>
      <c r="BB39" s="699"/>
      <c r="BC39" s="699"/>
      <c r="BD39" s="699"/>
      <c r="BE39" s="699"/>
      <c r="BF39" s="699"/>
      <c r="BG39" s="699"/>
      <c r="BH39" s="699"/>
      <c r="BI39" s="699"/>
      <c r="BJ39" s="699"/>
      <c r="BK39" s="699"/>
      <c r="BL39" s="699"/>
      <c r="BM39" s="699"/>
      <c r="BN39" s="699"/>
      <c r="BO39" s="699"/>
      <c r="BP39" s="699"/>
      <c r="BQ39" s="699"/>
      <c r="BR39" s="704"/>
      <c r="BS39" s="704"/>
      <c r="BT39" s="699"/>
    </row>
    <row r="40" spans="2:72" ht="18.75" thickBot="1" x14ac:dyDescent="0.35">
      <c r="B40" s="639">
        <v>36</v>
      </c>
      <c r="C40" s="640">
        <f>IF($C$2=15.5,'S3'!A40,IF($C$2=16.5,'S3'!B40,IF($C$2=17.5,'S3'!C40,IF($C$2=18.5,'S3'!D40,IF($C$2=19.5,'S3'!E40,IF($C$2=20.5,'S3'!F40,IF($C$2=21.5,'S3'!G40,IF($C$2=22.5,'S3'!H40,IF($C$2=23.5,'S3'!I40,IF($C$2=24.5,'S3'!J40,IF($C$2=25.5,'S3'!K40,IF($C$2=26.5,'S3'!L40,IF($C$2=27.5,'S3'!M40,IF($C$2=28.5,'S3'!N40,IF($C$2=29.5,'S3'!O40,IF($C$2=30.5,'S3'!P40,IF($C$2=31.5,'S3'!Q40,IF($C$2=32.5,'S3'!R40,IF($C$2=33.5,'S3'!S40,IF($C$2=34.5,'S3'!T40,IF($C$2=35.5,'S3'!U40)))))))))))))))))))))</f>
        <v>94.97</v>
      </c>
      <c r="D40" s="641">
        <f t="shared" si="3"/>
        <v>132.96</v>
      </c>
      <c r="E40" s="641">
        <f>IF($E$2=15.5,'S3'!AF40,IF($E$2=16.5,'S3'!AG40,IF($E$2=17.5,'S3'!AH40,IF($E$2=18.5,'S3'!AI40,IF($E$2=19.5,'S3'!AJ40,IF($E$2=20.5,'S3'!AK40,IF($E$2=21.5,'S3'!AL40,IF($E$2=22.5,'S3'!AM40,IF($E$2=23.5,'S3'!AN40,IF($E$2=24.5,'S3'!AO40,IF($E$2=25.5,'S3'!AP40,IF($E$2=26.5,'S3'!AQ40,IF($E$2=27.5,'S3'!AR40,IF($E$2=28.5,'S3'!AS40,IF($E$2=29.5,'S3'!AT40,IF($E$2=30.5,'S3'!AU40,IF($E$2=31.5,'S3'!AV40,IF($E$2=32.5,'S3'!AW40,IF($E$2=33.5,'S3'!AX40,IF($E$2=34.5,'S3'!AY40,IF($E$2=35.5,'S3'!AZ40)))))))))))))))))))))</f>
        <v>59.38</v>
      </c>
      <c r="F40" s="641">
        <f t="shared" si="1"/>
        <v>83.13</v>
      </c>
      <c r="H40" s="699"/>
      <c r="I40" s="699"/>
      <c r="J40" s="699"/>
      <c r="K40" s="699"/>
      <c r="L40" s="699"/>
      <c r="M40" s="699"/>
      <c r="N40" s="699"/>
      <c r="O40" s="699"/>
      <c r="P40" s="699"/>
      <c r="Q40" s="699"/>
      <c r="R40" s="699"/>
      <c r="S40" s="699"/>
      <c r="T40" s="699"/>
      <c r="U40" s="699"/>
      <c r="V40" s="699"/>
      <c r="W40" s="699"/>
      <c r="X40" s="699"/>
      <c r="Y40" s="699"/>
      <c r="Z40" s="699"/>
      <c r="AA40" s="699"/>
      <c r="AB40" s="699"/>
      <c r="AC40" s="699"/>
      <c r="AD40" s="699"/>
      <c r="AE40" s="699"/>
      <c r="AF40" s="699"/>
      <c r="AG40" s="699"/>
      <c r="AH40" s="699"/>
      <c r="AI40" s="699"/>
      <c r="AJ40" s="699"/>
      <c r="AK40" s="699"/>
      <c r="AL40" s="699"/>
      <c r="AM40" s="699"/>
      <c r="AN40" s="699"/>
      <c r="AO40" s="699"/>
      <c r="AP40" s="699"/>
      <c r="AQ40" s="699"/>
      <c r="AR40" s="699"/>
      <c r="AS40" s="699"/>
      <c r="AT40" s="699"/>
      <c r="AU40" s="699"/>
      <c r="AV40" s="699"/>
      <c r="AW40" s="699"/>
      <c r="AX40" s="699"/>
      <c r="AY40" s="699"/>
      <c r="AZ40" s="699"/>
      <c r="BA40" s="699"/>
      <c r="BB40" s="699"/>
      <c r="BC40" s="699"/>
      <c r="BD40" s="699"/>
      <c r="BE40" s="699"/>
      <c r="BF40" s="699"/>
      <c r="BG40" s="699"/>
      <c r="BH40" s="699"/>
      <c r="BI40" s="699"/>
      <c r="BJ40" s="699"/>
      <c r="BK40" s="699"/>
      <c r="BL40" s="699"/>
      <c r="BM40" s="699"/>
      <c r="BN40" s="699"/>
      <c r="BO40" s="699"/>
      <c r="BP40" s="699"/>
      <c r="BQ40" s="699"/>
      <c r="BR40" s="704"/>
      <c r="BS40" s="704"/>
      <c r="BT40" s="699"/>
    </row>
    <row r="41" spans="2:72" ht="18.75" thickBot="1" x14ac:dyDescent="0.35">
      <c r="B41" s="639">
        <v>37</v>
      </c>
      <c r="C41" s="640">
        <f>IF($C$2=15.5,'S3'!A41,IF($C$2=16.5,'S3'!B41,IF($C$2=17.5,'S3'!C41,IF($C$2=18.5,'S3'!D41,IF($C$2=19.5,'S3'!E41,IF($C$2=20.5,'S3'!F41,IF($C$2=21.5,'S3'!G41,IF($C$2=22.5,'S3'!H41,IF($C$2=23.5,'S3'!I41,IF($C$2=24.5,'S3'!J41,IF($C$2=25.5,'S3'!K41,IF($C$2=26.5,'S3'!L41,IF($C$2=27.5,'S3'!M41,IF($C$2=28.5,'S3'!N41,IF($C$2=29.5,'S3'!O41,IF($C$2=30.5,'S3'!P41,IF($C$2=31.5,'S3'!Q41,IF($C$2=32.5,'S3'!R41,IF($C$2=33.5,'S3'!S41,IF($C$2=34.5,'S3'!T41,IF($C$2=35.5,'S3'!U41)))))))))))))))))))))</f>
        <v>97.58</v>
      </c>
      <c r="D41" s="641">
        <f t="shared" si="3"/>
        <v>136.61000000000001</v>
      </c>
      <c r="E41" s="641">
        <f>IF($E$2=15.5,'S3'!AF41,IF($E$2=16.5,'S3'!AG41,IF($E$2=17.5,'S3'!AH41,IF($E$2=18.5,'S3'!AI41,IF($E$2=19.5,'S3'!AJ41,IF($E$2=20.5,'S3'!AK41,IF($E$2=21.5,'S3'!AL41,IF($E$2=22.5,'S3'!AM41,IF($E$2=23.5,'S3'!AN41,IF($E$2=24.5,'S3'!AO41,IF($E$2=25.5,'S3'!AP41,IF($E$2=26.5,'S3'!AQ41,IF($E$2=27.5,'S3'!AR41,IF($E$2=28.5,'S3'!AS41,IF($E$2=29.5,'S3'!AT41,IF($E$2=30.5,'S3'!AU41,IF($E$2=31.5,'S3'!AV41,IF($E$2=32.5,'S3'!AW41,IF($E$2=33.5,'S3'!AX41,IF($E$2=34.5,'S3'!AY41,IF($E$2=35.5,'S3'!AZ41)))))))))))))))))))))</f>
        <v>61.01</v>
      </c>
      <c r="F41" s="641">
        <f t="shared" si="1"/>
        <v>85.41</v>
      </c>
      <c r="H41" s="625"/>
      <c r="I41" s="625"/>
      <c r="J41" s="625"/>
      <c r="K41" s="625"/>
      <c r="L41" s="625"/>
      <c r="M41" s="625"/>
      <c r="N41" s="625"/>
      <c r="O41" s="625"/>
      <c r="P41" s="625"/>
      <c r="Q41" s="625"/>
      <c r="R41" s="625"/>
      <c r="S41" s="625"/>
      <c r="T41" s="625"/>
      <c r="U41" s="625"/>
      <c r="V41" s="625"/>
      <c r="W41" s="625"/>
      <c r="X41" s="625"/>
      <c r="Y41" s="625"/>
      <c r="Z41" s="625"/>
      <c r="AA41" s="625"/>
      <c r="AB41" s="625"/>
      <c r="AC41" s="625"/>
      <c r="AD41" s="625"/>
      <c r="AE41" s="625"/>
      <c r="AF41" s="625"/>
      <c r="AG41" s="625"/>
      <c r="AH41" s="625"/>
      <c r="AI41" s="625"/>
      <c r="AJ41" s="625"/>
      <c r="AK41" s="625"/>
      <c r="AL41" s="625"/>
      <c r="AM41" s="625"/>
      <c r="AN41" s="625"/>
      <c r="AO41" s="625"/>
      <c r="AP41" s="625"/>
      <c r="AQ41" s="625"/>
      <c r="AR41" s="625"/>
      <c r="AS41" s="625"/>
      <c r="AT41" s="625"/>
      <c r="AU41" s="625"/>
      <c r="AV41" s="625"/>
      <c r="AW41" s="625"/>
      <c r="AX41" s="625"/>
      <c r="AY41" s="625"/>
      <c r="AZ41" s="625"/>
      <c r="BA41" s="625"/>
      <c r="BB41" s="625"/>
      <c r="BC41" s="625"/>
      <c r="BD41" s="625"/>
      <c r="BE41" s="625"/>
      <c r="BF41" s="625"/>
      <c r="BG41" s="625"/>
      <c r="BH41" s="625"/>
      <c r="BI41" s="625"/>
      <c r="BJ41" s="625"/>
      <c r="BK41" s="625"/>
      <c r="BL41" s="625"/>
      <c r="BM41" s="625"/>
      <c r="BN41" s="625"/>
      <c r="BO41" s="625"/>
      <c r="BP41" s="625"/>
      <c r="BQ41" s="625"/>
      <c r="BR41" s="711"/>
      <c r="BS41" s="711"/>
      <c r="BT41" s="625"/>
    </row>
    <row r="42" spans="2:72" ht="18.75" thickBot="1" x14ac:dyDescent="0.35">
      <c r="B42" s="639">
        <v>38</v>
      </c>
      <c r="C42" s="640">
        <f>IF($C$2=15.5,'S3'!A42,IF($C$2=16.5,'S3'!B42,IF($C$2=17.5,'S3'!C42,IF($C$2=18.5,'S3'!D42,IF($C$2=19.5,'S3'!E42,IF($C$2=20.5,'S3'!F42,IF($C$2=21.5,'S3'!G42,IF($C$2=22.5,'S3'!H42,IF($C$2=23.5,'S3'!I42,IF($C$2=24.5,'S3'!J42,IF($C$2=25.5,'S3'!K42,IF($C$2=26.5,'S3'!L42,IF($C$2=27.5,'S3'!M42,IF($C$2=28.5,'S3'!N42,IF($C$2=29.5,'S3'!O42,IF($C$2=30.5,'S3'!P42,IF($C$2=31.5,'S3'!Q42,IF($C$2=32.5,'S3'!R42,IF($C$2=33.5,'S3'!S42,IF($C$2=34.5,'S3'!T42,IF($C$2=35.5,'S3'!U42)))))))))))))))))))))</f>
        <v>100.19</v>
      </c>
      <c r="D42" s="641">
        <f t="shared" si="3"/>
        <v>140.27000000000001</v>
      </c>
      <c r="E42" s="641">
        <f>IF($E$2=15.5,'S3'!AF42,IF($E$2=16.5,'S3'!AG42,IF($E$2=17.5,'S3'!AH42,IF($E$2=18.5,'S3'!AI42,IF($E$2=19.5,'S3'!AJ42,IF($E$2=20.5,'S3'!AK42,IF($E$2=21.5,'S3'!AL42,IF($E$2=22.5,'S3'!AM42,IF($E$2=23.5,'S3'!AN42,IF($E$2=24.5,'S3'!AO42,IF($E$2=25.5,'S3'!AP42,IF($E$2=26.5,'S3'!AQ42,IF($E$2=27.5,'S3'!AR42,IF($E$2=28.5,'S3'!AS42,IF($E$2=29.5,'S3'!AT42,IF($E$2=30.5,'S3'!AU42,IF($E$2=31.5,'S3'!AV42,IF($E$2=32.5,'S3'!AW42,IF($E$2=33.5,'S3'!AX42,IF($E$2=34.5,'S3'!AY42,IF($E$2=35.5,'S3'!AZ42)))))))))))))))))))))</f>
        <v>62.65</v>
      </c>
      <c r="F42" s="641">
        <f t="shared" si="1"/>
        <v>87.71</v>
      </c>
    </row>
    <row r="43" spans="2:72" ht="18.75" thickBot="1" x14ac:dyDescent="0.35">
      <c r="B43" s="639">
        <v>39</v>
      </c>
      <c r="C43" s="640">
        <f>IF($C$2=15.5,'S3'!A43,IF($C$2=16.5,'S3'!B43,IF($C$2=17.5,'S3'!C43,IF($C$2=18.5,'S3'!D43,IF($C$2=19.5,'S3'!E43,IF($C$2=20.5,'S3'!F43,IF($C$2=21.5,'S3'!G43,IF($C$2=22.5,'S3'!H43,IF($C$2=23.5,'S3'!I43,IF($C$2=24.5,'S3'!J43,IF($C$2=25.5,'S3'!K43,IF($C$2=26.5,'S3'!L43,IF($C$2=27.5,'S3'!M43,IF($C$2=28.5,'S3'!N43,IF($C$2=29.5,'S3'!O43,IF($C$2=30.5,'S3'!P43,IF($C$2=31.5,'S3'!Q43,IF($C$2=32.5,'S3'!R43,IF($C$2=33.5,'S3'!S43,IF($C$2=34.5,'S3'!T43,IF($C$2=35.5,'S3'!U43)))))))))))))))))))))</f>
        <v>102.79</v>
      </c>
      <c r="D43" s="641">
        <f t="shared" si="3"/>
        <v>143.91</v>
      </c>
      <c r="E43" s="641">
        <f>IF($E$2=15.5,'S3'!AF43,IF($E$2=16.5,'S3'!AG43,IF($E$2=17.5,'S3'!AH43,IF($E$2=18.5,'S3'!AI43,IF($E$2=19.5,'S3'!AJ43,IF($E$2=20.5,'S3'!AK43,IF($E$2=21.5,'S3'!AL43,IF($E$2=22.5,'S3'!AM43,IF($E$2=23.5,'S3'!AN43,IF($E$2=24.5,'S3'!AO43,IF($E$2=25.5,'S3'!AP43,IF($E$2=26.5,'S3'!AQ43,IF($E$2=27.5,'S3'!AR43,IF($E$2=28.5,'S3'!AS43,IF($E$2=29.5,'S3'!AT43,IF($E$2=30.5,'S3'!AU43,IF($E$2=31.5,'S3'!AV43,IF($E$2=32.5,'S3'!AW43,IF($E$2=33.5,'S3'!AX43,IF($E$2=34.5,'S3'!AY43,IF($E$2=35.5,'S3'!AZ43)))))))))))))))))))))</f>
        <v>64.28</v>
      </c>
      <c r="F43" s="641">
        <f t="shared" si="1"/>
        <v>89.99</v>
      </c>
    </row>
    <row r="44" spans="2:72" ht="18.75" thickBot="1" x14ac:dyDescent="0.35">
      <c r="B44" s="639">
        <v>40</v>
      </c>
      <c r="C44" s="640">
        <f>IF($C$2=15.5,'S3'!A44,IF($C$2=16.5,'S3'!B44,IF($C$2=17.5,'S3'!C44,IF($C$2=18.5,'S3'!D44,IF($C$2=19.5,'S3'!E44,IF($C$2=20.5,'S3'!F44,IF($C$2=21.5,'S3'!G44,IF($C$2=22.5,'S3'!H44,IF($C$2=23.5,'S3'!I44,IF($C$2=24.5,'S3'!J44,IF($C$2=25.5,'S3'!K44,IF($C$2=26.5,'S3'!L44,IF($C$2=27.5,'S3'!M44,IF($C$2=28.5,'S3'!N44,IF($C$2=29.5,'S3'!O44,IF($C$2=30.5,'S3'!P44,IF($C$2=31.5,'S3'!Q44,IF($C$2=32.5,'S3'!R44,IF($C$2=33.5,'S3'!S44,IF($C$2=34.5,'S3'!T44,IF($C$2=35.5,'S3'!U44)))))))))))))))))))))</f>
        <v>105.38</v>
      </c>
      <c r="D44" s="641">
        <f t="shared" si="3"/>
        <v>147.53</v>
      </c>
      <c r="E44" s="641">
        <f>IF($E$2=15.5,'S3'!AF44,IF($E$2=16.5,'S3'!AG44,IF($E$2=17.5,'S3'!AH44,IF($E$2=18.5,'S3'!AI44,IF($E$2=19.5,'S3'!AJ44,IF($E$2=20.5,'S3'!AK44,IF($E$2=21.5,'S3'!AL44,IF($E$2=22.5,'S3'!AM44,IF($E$2=23.5,'S3'!AN44,IF($E$2=24.5,'S3'!AO44,IF($E$2=25.5,'S3'!AP44,IF($E$2=26.5,'S3'!AQ44,IF($E$2=27.5,'S3'!AR44,IF($E$2=28.5,'S3'!AS44,IF($E$2=29.5,'S3'!AT44,IF($E$2=30.5,'S3'!AU44,IF($E$2=31.5,'S3'!AV44,IF($E$2=32.5,'S3'!AW44,IF($E$2=33.5,'S3'!AX44,IF($E$2=34.5,'S3'!AY44,IF($E$2=35.5,'S3'!AZ44)))))))))))))))))))))</f>
        <v>65.91</v>
      </c>
      <c r="F44" s="641">
        <f t="shared" si="1"/>
        <v>92.27</v>
      </c>
    </row>
    <row r="45" spans="2:72" ht="18.75" thickBot="1" x14ac:dyDescent="0.35">
      <c r="B45" s="639">
        <v>41</v>
      </c>
      <c r="C45" s="640">
        <f>IF($C$2=15.5,'S3'!A45,IF($C$2=16.5,'S3'!B45,IF($C$2=17.5,'S3'!C45,IF($C$2=18.5,'S3'!D45,IF($C$2=19.5,'S3'!E45,IF($C$2=20.5,'S3'!F45,IF($C$2=21.5,'S3'!G45,IF($C$2=22.5,'S3'!H45,IF($C$2=23.5,'S3'!I45,IF($C$2=24.5,'S3'!J45,IF($C$2=25.5,'S3'!K45,IF($C$2=26.5,'S3'!L45,IF($C$2=27.5,'S3'!M45,IF($C$2=28.5,'S3'!N45,IF($C$2=29.5,'S3'!O45,IF($C$2=30.5,'S3'!P45,IF($C$2=31.5,'S3'!Q45,IF($C$2=32.5,'S3'!R45,IF($C$2=33.5,'S3'!S45,IF($C$2=34.5,'S3'!T45,IF($C$2=35.5,'S3'!U45)))))))))))))))))))))</f>
        <v>108</v>
      </c>
      <c r="D45" s="641">
        <f t="shared" si="3"/>
        <v>151.19999999999999</v>
      </c>
      <c r="E45" s="641">
        <f>IF($E$2=15.5,'S3'!AF45,IF($E$2=16.5,'S3'!AG45,IF($E$2=17.5,'S3'!AH45,IF($E$2=18.5,'S3'!AI45,IF($E$2=19.5,'S3'!AJ45,IF($E$2=20.5,'S3'!AK45,IF($E$2=21.5,'S3'!AL45,IF($E$2=22.5,'S3'!AM45,IF($E$2=23.5,'S3'!AN45,IF($E$2=24.5,'S3'!AO45,IF($E$2=25.5,'S3'!AP45,IF($E$2=26.5,'S3'!AQ45,IF($E$2=27.5,'S3'!AR45,IF($E$2=28.5,'S3'!AS45,IF($E$2=29.5,'S3'!AT45,IF($E$2=30.5,'S3'!AU45,IF($E$2=31.5,'S3'!AV45,IF($E$2=32.5,'S3'!AW45,IF($E$2=33.5,'S3'!AX45,IF($E$2=34.5,'S3'!AY45,IF($E$2=35.5,'S3'!AZ45)))))))))))))))))))))</f>
        <v>67.540000000000006</v>
      </c>
      <c r="F45" s="641">
        <f t="shared" si="1"/>
        <v>94.56</v>
      </c>
    </row>
    <row r="46" spans="2:72" ht="18.75" thickBot="1" x14ac:dyDescent="0.35">
      <c r="B46" s="639">
        <v>42</v>
      </c>
      <c r="C46" s="640">
        <f>IF($C$2=15.5,'S3'!A46,IF($C$2=16.5,'S3'!B46,IF($C$2=17.5,'S3'!C46,IF($C$2=18.5,'S3'!D46,IF($C$2=19.5,'S3'!E46,IF($C$2=20.5,'S3'!F46,IF($C$2=21.5,'S3'!G46,IF($C$2=22.5,'S3'!H46,IF($C$2=23.5,'S3'!I46,IF($C$2=24.5,'S3'!J46,IF($C$2=25.5,'S3'!K46,IF($C$2=26.5,'S3'!L46,IF($C$2=27.5,'S3'!M46,IF($C$2=28.5,'S3'!N46,IF($C$2=29.5,'S3'!O46,IF($C$2=30.5,'S3'!P46,IF($C$2=31.5,'S3'!Q46,IF($C$2=32.5,'S3'!R46,IF($C$2=33.5,'S3'!S46,IF($C$2=34.5,'S3'!T46,IF($C$2=35.5,'S3'!U46)))))))))))))))))))))</f>
        <v>110.6</v>
      </c>
      <c r="D46" s="641">
        <f t="shared" si="3"/>
        <v>154.84</v>
      </c>
      <c r="E46" s="641">
        <f>IF($E$2=15.5,'S3'!AF46,IF($E$2=16.5,'S3'!AG46,IF($E$2=17.5,'S3'!AH46,IF($E$2=18.5,'S3'!AI46,IF($E$2=19.5,'S3'!AJ46,IF($E$2=20.5,'S3'!AK46,IF($E$2=21.5,'S3'!AL46,IF($E$2=22.5,'S3'!AM46,IF($E$2=23.5,'S3'!AN46,IF($E$2=24.5,'S3'!AO46,IF($E$2=25.5,'S3'!AP46,IF($E$2=26.5,'S3'!AQ46,IF($E$2=27.5,'S3'!AR46,IF($E$2=28.5,'S3'!AS46,IF($E$2=29.5,'S3'!AT46,IF($E$2=30.5,'S3'!AU46,IF($E$2=31.5,'S3'!AV46,IF($E$2=32.5,'S3'!AW46,IF($E$2=33.5,'S3'!AX46,IF($E$2=34.5,'S3'!AY46,IF($E$2=35.5,'S3'!AZ46)))))))))))))))))))))</f>
        <v>69.180000000000007</v>
      </c>
      <c r="F46" s="641">
        <f t="shared" si="1"/>
        <v>96.85</v>
      </c>
    </row>
    <row r="47" spans="2:72" ht="18.75" thickBot="1" x14ac:dyDescent="0.35">
      <c r="B47" s="639">
        <v>43</v>
      </c>
      <c r="C47" s="640">
        <f>IF($C$2=15.5,'S3'!A47,IF($C$2=16.5,'S3'!B47,IF($C$2=17.5,'S3'!C47,IF($C$2=18.5,'S3'!D47,IF($C$2=19.5,'S3'!E47,IF($C$2=20.5,'S3'!F47,IF($C$2=21.5,'S3'!G47,IF($C$2=22.5,'S3'!H47,IF($C$2=23.5,'S3'!I47,IF($C$2=24.5,'S3'!J47,IF($C$2=25.5,'S3'!K47,IF($C$2=26.5,'S3'!L47,IF($C$2=27.5,'S3'!M47,IF($C$2=28.5,'S3'!N47,IF($C$2=29.5,'S3'!O47,IF($C$2=30.5,'S3'!P47,IF($C$2=31.5,'S3'!Q47,IF($C$2=32.5,'S3'!R47,IF($C$2=33.5,'S3'!S47,IF($C$2=34.5,'S3'!T47,IF($C$2=35.5,'S3'!U47)))))))))))))))))))))</f>
        <v>113.19</v>
      </c>
      <c r="D47" s="641">
        <f t="shared" si="3"/>
        <v>158.47</v>
      </c>
      <c r="E47" s="641">
        <f>IF($E$2=15.5,'S3'!AF47,IF($E$2=16.5,'S3'!AG47,IF($E$2=17.5,'S3'!AH47,IF($E$2=18.5,'S3'!AI47,IF($E$2=19.5,'S3'!AJ47,IF($E$2=20.5,'S3'!AK47,IF($E$2=21.5,'S3'!AL47,IF($E$2=22.5,'S3'!AM47,IF($E$2=23.5,'S3'!AN47,IF($E$2=24.5,'S3'!AO47,IF($E$2=25.5,'S3'!AP47,IF($E$2=26.5,'S3'!AQ47,IF($E$2=27.5,'S3'!AR47,IF($E$2=28.5,'S3'!AS47,IF($E$2=29.5,'S3'!AT47,IF($E$2=30.5,'S3'!AU47,IF($E$2=31.5,'S3'!AV47,IF($E$2=32.5,'S3'!AW47,IF($E$2=33.5,'S3'!AX47,IF($E$2=34.5,'S3'!AY47,IF($E$2=35.5,'S3'!AZ47)))))))))))))))))))))</f>
        <v>70.81</v>
      </c>
      <c r="F47" s="641">
        <f t="shared" si="1"/>
        <v>99.13</v>
      </c>
    </row>
    <row r="48" spans="2:72" ht="18.75" thickBot="1" x14ac:dyDescent="0.35">
      <c r="B48" s="639">
        <v>44</v>
      </c>
      <c r="C48" s="640">
        <f>IF($C$2=15.5,'S3'!A48,IF($C$2=16.5,'S3'!B48,IF($C$2=17.5,'S3'!C48,IF($C$2=18.5,'S3'!D48,IF($C$2=19.5,'S3'!E48,IF($C$2=20.5,'S3'!F48,IF($C$2=21.5,'S3'!G48,IF($C$2=22.5,'S3'!H48,IF($C$2=23.5,'S3'!I48,IF($C$2=24.5,'S3'!J48,IF($C$2=25.5,'S3'!K48,IF($C$2=26.5,'S3'!L48,IF($C$2=27.5,'S3'!M48,IF($C$2=28.5,'S3'!N48,IF($C$2=29.5,'S3'!O48,IF($C$2=30.5,'S3'!P48,IF($C$2=31.5,'S3'!Q48,IF($C$2=32.5,'S3'!R48,IF($C$2=33.5,'S3'!S48,IF($C$2=34.5,'S3'!T48,IF($C$2=35.5,'S3'!U48)))))))))))))))))))))</f>
        <v>115.81</v>
      </c>
      <c r="D48" s="641">
        <f t="shared" si="3"/>
        <v>162.13</v>
      </c>
      <c r="E48" s="641">
        <f>IF($E$2=15.5,'S3'!AF48,IF($E$2=16.5,'S3'!AG48,IF($E$2=17.5,'S3'!AH48,IF($E$2=18.5,'S3'!AI48,IF($E$2=19.5,'S3'!AJ48,IF($E$2=20.5,'S3'!AK48,IF($E$2=21.5,'S3'!AL48,IF($E$2=22.5,'S3'!AM48,IF($E$2=23.5,'S3'!AN48,IF($E$2=24.5,'S3'!AO48,IF($E$2=25.5,'S3'!AP48,IF($E$2=26.5,'S3'!AQ48,IF($E$2=27.5,'S3'!AR48,IF($E$2=28.5,'S3'!AS48,IF($E$2=29.5,'S3'!AT48,IF($E$2=30.5,'S3'!AU48,IF($E$2=31.5,'S3'!AV48,IF($E$2=32.5,'S3'!AW48,IF($E$2=33.5,'S3'!AX48,IF($E$2=34.5,'S3'!AY48,IF($E$2=35.5,'S3'!AZ48)))))))))))))))))))))</f>
        <v>72.44</v>
      </c>
      <c r="F48" s="641">
        <f t="shared" si="1"/>
        <v>101.42</v>
      </c>
    </row>
    <row r="49" spans="2:6" ht="18.75" thickBot="1" x14ac:dyDescent="0.35">
      <c r="B49" s="639">
        <v>45</v>
      </c>
      <c r="C49" s="640">
        <f>IF($C$2=15.5,'S3'!A49,IF($C$2=16.5,'S3'!B49,IF($C$2=17.5,'S3'!C49,IF($C$2=18.5,'S3'!D49,IF($C$2=19.5,'S3'!E49,IF($C$2=20.5,'S3'!F49,IF($C$2=21.5,'S3'!G49,IF($C$2=22.5,'S3'!H49,IF($C$2=23.5,'S3'!I49,IF($C$2=24.5,'S3'!J49,IF($C$2=25.5,'S3'!K49,IF($C$2=26.5,'S3'!L49,IF($C$2=27.5,'S3'!M49,IF($C$2=28.5,'S3'!N49,IF($C$2=29.5,'S3'!O49,IF($C$2=30.5,'S3'!P49,IF($C$2=31.5,'S3'!Q49,IF($C$2=32.5,'S3'!R49,IF($C$2=33.5,'S3'!S49,IF($C$2=34.5,'S3'!T49,IF($C$2=35.5,'S3'!U49)))))))))))))))))))))</f>
        <v>118.4</v>
      </c>
      <c r="D49" s="641">
        <f t="shared" si="3"/>
        <v>165.76</v>
      </c>
      <c r="E49" s="641">
        <f>IF($E$2=15.5,'S3'!AF49,IF($E$2=16.5,'S3'!AG49,IF($E$2=17.5,'S3'!AH49,IF($E$2=18.5,'S3'!AI49,IF($E$2=19.5,'S3'!AJ49,IF($E$2=20.5,'S3'!AK49,IF($E$2=21.5,'S3'!AL49,IF($E$2=22.5,'S3'!AM49,IF($E$2=23.5,'S3'!AN49,IF($E$2=24.5,'S3'!AO49,IF($E$2=25.5,'S3'!AP49,IF($E$2=26.5,'S3'!AQ49,IF($E$2=27.5,'S3'!AR49,IF($E$2=28.5,'S3'!AS49,IF($E$2=29.5,'S3'!AT49,IF($E$2=30.5,'S3'!AU49,IF($E$2=31.5,'S3'!AV49,IF($E$2=32.5,'S3'!AW49,IF($E$2=33.5,'S3'!AX49,IF($E$2=34.5,'S3'!AY49,IF($E$2=35.5,'S3'!AZ49)))))))))))))))))))))</f>
        <v>74.08</v>
      </c>
      <c r="F49" s="641">
        <f t="shared" si="1"/>
        <v>103.71</v>
      </c>
    </row>
    <row r="50" spans="2:6" ht="18.75" thickBot="1" x14ac:dyDescent="0.35">
      <c r="B50" s="639">
        <v>46</v>
      </c>
      <c r="C50" s="640">
        <f>IF($C$2=15.5,'S3'!A50,IF($C$2=16.5,'S3'!B50,IF($C$2=17.5,'S3'!C50,IF($C$2=18.5,'S3'!D50,IF($C$2=19.5,'S3'!E50,IF($C$2=20.5,'S3'!F50,IF($C$2=21.5,'S3'!G50,IF($C$2=22.5,'S3'!H50,IF($C$2=23.5,'S3'!I50,IF($C$2=24.5,'S3'!J50,IF($C$2=25.5,'S3'!K50,IF($C$2=26.5,'S3'!L50,IF($C$2=27.5,'S3'!M50,IF($C$2=28.5,'S3'!N50,IF($C$2=29.5,'S3'!O50,IF($C$2=30.5,'S3'!P50,IF($C$2=31.5,'S3'!Q50,IF($C$2=32.5,'S3'!R50,IF($C$2=33.5,'S3'!S50,IF($C$2=34.5,'S3'!T50,IF($C$2=35.5,'S3'!U50)))))))))))))))))))))</f>
        <v>121.01</v>
      </c>
      <c r="D50" s="641">
        <f t="shared" si="3"/>
        <v>169.41</v>
      </c>
      <c r="E50" s="641">
        <f>IF($E$2=15.5,'S3'!AF50,IF($E$2=16.5,'S3'!AG50,IF($E$2=17.5,'S3'!AH50,IF($E$2=18.5,'S3'!AI50,IF($E$2=19.5,'S3'!AJ50,IF($E$2=20.5,'S3'!AK50,IF($E$2=21.5,'S3'!AL50,IF($E$2=22.5,'S3'!AM50,IF($E$2=23.5,'S3'!AN50,IF($E$2=24.5,'S3'!AO50,IF($E$2=25.5,'S3'!AP50,IF($E$2=26.5,'S3'!AQ50,IF($E$2=27.5,'S3'!AR50,IF($E$2=28.5,'S3'!AS50,IF($E$2=29.5,'S3'!AT50,IF($E$2=30.5,'S3'!AU50,IF($E$2=31.5,'S3'!AV50,IF($E$2=32.5,'S3'!AW50,IF($E$2=33.5,'S3'!AX50,IF($E$2=34.5,'S3'!AY50,IF($E$2=35.5,'S3'!AZ50)))))))))))))))))))))</f>
        <v>75.709999999999994</v>
      </c>
      <c r="F50" s="641">
        <f t="shared" si="1"/>
        <v>105.99</v>
      </c>
    </row>
    <row r="51" spans="2:6" ht="18.75" thickBot="1" x14ac:dyDescent="0.35">
      <c r="B51" s="639">
        <v>47</v>
      </c>
      <c r="C51" s="640">
        <f>IF($C$2=15.5,'S3'!A51,IF($C$2=16.5,'S3'!B51,IF($C$2=17.5,'S3'!C51,IF($C$2=18.5,'S3'!D51,IF($C$2=19.5,'S3'!E51,IF($C$2=20.5,'S3'!F51,IF($C$2=21.5,'S3'!G51,IF($C$2=22.5,'S3'!H51,IF($C$2=23.5,'S3'!I51,IF($C$2=24.5,'S3'!J51,IF($C$2=25.5,'S3'!K51,IF($C$2=26.5,'S3'!L51,IF($C$2=27.5,'S3'!M51,IF($C$2=28.5,'S3'!N51,IF($C$2=29.5,'S3'!O51,IF($C$2=30.5,'S3'!P51,IF($C$2=31.5,'S3'!Q51,IF($C$2=32.5,'S3'!R51,IF($C$2=33.5,'S3'!S51,IF($C$2=34.5,'S3'!T51,IF($C$2=35.5,'S3'!U51)))))))))))))))))))))</f>
        <v>123.6</v>
      </c>
      <c r="D51" s="641">
        <f t="shared" si="3"/>
        <v>173.04</v>
      </c>
      <c r="E51" s="641">
        <f>IF($E$2=15.5,'S3'!AF51,IF($E$2=16.5,'S3'!AG51,IF($E$2=17.5,'S3'!AH51,IF($E$2=18.5,'S3'!AI51,IF($E$2=19.5,'S3'!AJ51,IF($E$2=20.5,'S3'!AK51,IF($E$2=21.5,'S3'!AL51,IF($E$2=22.5,'S3'!AM51,IF($E$2=23.5,'S3'!AN51,IF($E$2=24.5,'S3'!AO51,IF($E$2=25.5,'S3'!AP51,IF($E$2=26.5,'S3'!AQ51,IF($E$2=27.5,'S3'!AR51,IF($E$2=28.5,'S3'!AS51,IF($E$2=29.5,'S3'!AT51,IF($E$2=30.5,'S3'!AU51,IF($E$2=31.5,'S3'!AV51,IF($E$2=32.5,'S3'!AW51,IF($E$2=33.5,'S3'!AX51,IF($E$2=34.5,'S3'!AY51,IF($E$2=35.5,'S3'!AZ51)))))))))))))))))))))</f>
        <v>77.34</v>
      </c>
      <c r="F51" s="641">
        <f t="shared" si="1"/>
        <v>108.28</v>
      </c>
    </row>
    <row r="52" spans="2:6" ht="18.75" thickBot="1" x14ac:dyDescent="0.35">
      <c r="B52" s="639">
        <v>48</v>
      </c>
      <c r="C52" s="640">
        <f>IF($C$2=15.5,'S3'!A52,IF($C$2=16.5,'S3'!B52,IF($C$2=17.5,'S3'!C52,IF($C$2=18.5,'S3'!D52,IF($C$2=19.5,'S3'!E52,IF($C$2=20.5,'S3'!F52,IF($C$2=21.5,'S3'!G52,IF($C$2=22.5,'S3'!H52,IF($C$2=23.5,'S3'!I52,IF($C$2=24.5,'S3'!J52,IF($C$2=25.5,'S3'!K52,IF($C$2=26.5,'S3'!L52,IF($C$2=27.5,'S3'!M52,IF($C$2=28.5,'S3'!N52,IF($C$2=29.5,'S3'!O52,IF($C$2=30.5,'S3'!P52,IF($C$2=31.5,'S3'!Q52,IF($C$2=32.5,'S3'!R52,IF($C$2=33.5,'S3'!S52,IF($C$2=34.5,'S3'!T52,IF($C$2=35.5,'S3'!U52)))))))))))))))))))))</f>
        <v>126.21</v>
      </c>
      <c r="D52" s="641">
        <f t="shared" si="3"/>
        <v>176.69</v>
      </c>
      <c r="E52" s="641">
        <f>IF($E$2=15.5,'S3'!AF52,IF($E$2=16.5,'S3'!AG52,IF($E$2=17.5,'S3'!AH52,IF($E$2=18.5,'S3'!AI52,IF($E$2=19.5,'S3'!AJ52,IF($E$2=20.5,'S3'!AK52,IF($E$2=21.5,'S3'!AL52,IF($E$2=22.5,'S3'!AM52,IF($E$2=23.5,'S3'!AN52,IF($E$2=24.5,'S3'!AO52,IF($E$2=25.5,'S3'!AP52,IF($E$2=26.5,'S3'!AQ52,IF($E$2=27.5,'S3'!AR52,IF($E$2=28.5,'S3'!AS52,IF($E$2=29.5,'S3'!AT52,IF($E$2=30.5,'S3'!AU52,IF($E$2=31.5,'S3'!AV52,IF($E$2=32.5,'S3'!AW52,IF($E$2=33.5,'S3'!AX52,IF($E$2=34.5,'S3'!AY52,IF($E$2=35.5,'S3'!AZ52)))))))))))))))))))))</f>
        <v>78.97</v>
      </c>
      <c r="F52" s="641">
        <f t="shared" si="1"/>
        <v>110.56</v>
      </c>
    </row>
    <row r="53" spans="2:6" ht="18.75" thickBot="1" x14ac:dyDescent="0.35">
      <c r="B53" s="639">
        <v>49</v>
      </c>
      <c r="C53" s="640">
        <f>IF($C$2=15.5,'S3'!A53,IF($C$2=16.5,'S3'!B53,IF($C$2=17.5,'S3'!C53,IF($C$2=18.5,'S3'!D53,IF($C$2=19.5,'S3'!E53,IF($C$2=20.5,'S3'!F53,IF($C$2=21.5,'S3'!G53,IF($C$2=22.5,'S3'!H53,IF($C$2=23.5,'S3'!I53,IF($C$2=24.5,'S3'!J53,IF($C$2=25.5,'S3'!K53,IF($C$2=26.5,'S3'!L53,IF($C$2=27.5,'S3'!M53,IF($C$2=28.5,'S3'!N53,IF($C$2=29.5,'S3'!O53,IF($C$2=30.5,'S3'!P53,IF($C$2=31.5,'S3'!Q53,IF($C$2=32.5,'S3'!R53,IF($C$2=33.5,'S3'!S53,IF($C$2=34.5,'S3'!T53,IF($C$2=35.5,'S3'!U53)))))))))))))))))))))</f>
        <v>128.80000000000001</v>
      </c>
      <c r="D53" s="641">
        <f t="shared" si="3"/>
        <v>180.32</v>
      </c>
      <c r="E53" s="641">
        <f>IF($E$2=15.5,'S3'!AF53,IF($E$2=16.5,'S3'!AG53,IF($E$2=17.5,'S3'!AH53,IF($E$2=18.5,'S3'!AI53,IF($E$2=19.5,'S3'!AJ53,IF($E$2=20.5,'S3'!AK53,IF($E$2=21.5,'S3'!AL53,IF($E$2=22.5,'S3'!AM53,IF($E$2=23.5,'S3'!AN53,IF($E$2=24.5,'S3'!AO53,IF($E$2=25.5,'S3'!AP53,IF($E$2=26.5,'S3'!AQ53,IF($E$2=27.5,'S3'!AR53,IF($E$2=28.5,'S3'!AS53,IF($E$2=29.5,'S3'!AT53,IF($E$2=30.5,'S3'!AU53,IF($E$2=31.5,'S3'!AV53,IF($E$2=32.5,'S3'!AW53,IF($E$2=33.5,'S3'!AX53,IF($E$2=34.5,'S3'!AY53,IF($E$2=35.5,'S3'!AZ53)))))))))))))))))))))</f>
        <v>80.599999999999994</v>
      </c>
      <c r="F53" s="641">
        <f t="shared" si="1"/>
        <v>112.84</v>
      </c>
    </row>
    <row r="54" spans="2:6" ht="18.75" thickBot="1" x14ac:dyDescent="0.35">
      <c r="B54" s="639">
        <v>50</v>
      </c>
      <c r="C54" s="640">
        <f>IF($C$2=15.5,'S3'!A54,IF($C$2=16.5,'S3'!B54,IF($C$2=17.5,'S3'!C54,IF($C$2=18.5,'S3'!D54,IF($C$2=19.5,'S3'!E54,IF($C$2=20.5,'S3'!F54,IF($C$2=21.5,'S3'!G54,IF($C$2=22.5,'S3'!H54,IF($C$2=23.5,'S3'!I54,IF($C$2=24.5,'S3'!J54,IF($C$2=25.5,'S3'!K54,IF($C$2=26.5,'S3'!L54,IF($C$2=27.5,'S3'!M54,IF($C$2=28.5,'S3'!N54,IF($C$2=29.5,'S3'!O54,IF($C$2=30.5,'S3'!P54,IF($C$2=31.5,'S3'!Q54,IF($C$2=32.5,'S3'!R54,IF($C$2=33.5,'S3'!S54,IF($C$2=34.5,'S3'!T54,IF($C$2=35.5,'S3'!U54)))))))))))))))))))))</f>
        <v>131.4</v>
      </c>
      <c r="D54" s="641">
        <f t="shared" si="3"/>
        <v>183.96</v>
      </c>
      <c r="E54" s="641">
        <f>IF($E$2=15.5,'S3'!AF54,IF($E$2=16.5,'S3'!AG54,IF($E$2=17.5,'S3'!AH54,IF($E$2=18.5,'S3'!AI54,IF($E$2=19.5,'S3'!AJ54,IF($E$2=20.5,'S3'!AK54,IF($E$2=21.5,'S3'!AL54,IF($E$2=22.5,'S3'!AM54,IF($E$2=23.5,'S3'!AN54,IF($E$2=24.5,'S3'!AO54,IF($E$2=25.5,'S3'!AP54,IF($E$2=26.5,'S3'!AQ54,IF($E$2=27.5,'S3'!AR54,IF($E$2=28.5,'S3'!AS54,IF($E$2=29.5,'S3'!AT54,IF($E$2=30.5,'S3'!AU54,IF($E$2=31.5,'S3'!AV54,IF($E$2=32.5,'S3'!AW54,IF($E$2=33.5,'S3'!AX54,IF($E$2=34.5,'S3'!AY54,IF($E$2=35.5,'S3'!AZ54)))))))))))))))))))))</f>
        <v>82.24</v>
      </c>
      <c r="F54" s="641">
        <f t="shared" si="1"/>
        <v>115.14</v>
      </c>
    </row>
    <row r="55" spans="2:6" ht="18.75" thickBot="1" x14ac:dyDescent="0.35">
      <c r="B55" s="639">
        <v>51</v>
      </c>
      <c r="C55" s="640">
        <f>IF($C$2=15.5,'S3'!A55,IF($C$2=16.5,'S3'!B55,IF($C$2=17.5,'S3'!C55,IF($C$2=18.5,'S3'!D55,IF($C$2=19.5,'S3'!E55,IF($C$2=20.5,'S3'!F55,IF($C$2=21.5,'S3'!G55,IF($C$2=22.5,'S3'!H55,IF($C$2=23.5,'S3'!I55,IF($C$2=24.5,'S3'!J55,IF($C$2=25.5,'S3'!K55,IF($C$2=26.5,'S3'!L55,IF($C$2=27.5,'S3'!M55,IF($C$2=28.5,'S3'!N55,IF($C$2=29.5,'S3'!O55,IF($C$2=30.5,'S3'!P55,IF($C$2=31.5,'S3'!Q55,IF($C$2=32.5,'S3'!R55,IF($C$2=33.5,'S3'!S55,IF($C$2=34.5,'S3'!T55,IF($C$2=35.5,'S3'!U55)))))))))))))))))))))</f>
        <v>134.02000000000001</v>
      </c>
      <c r="D55" s="641">
        <f t="shared" si="3"/>
        <v>187.63</v>
      </c>
      <c r="E55" s="641">
        <f>IF($E$2=15.5,'S3'!AF55,IF($E$2=16.5,'S3'!AG55,IF($E$2=17.5,'S3'!AH55,IF($E$2=18.5,'S3'!AI55,IF($E$2=19.5,'S3'!AJ55,IF($E$2=20.5,'S3'!AK55,IF($E$2=21.5,'S3'!AL55,IF($E$2=22.5,'S3'!AM55,IF($E$2=23.5,'S3'!AN55,IF($E$2=24.5,'S3'!AO55,IF($E$2=25.5,'S3'!AP55,IF($E$2=26.5,'S3'!AQ55,IF($E$2=27.5,'S3'!AR55,IF($E$2=28.5,'S3'!AS55,IF($E$2=29.5,'S3'!AT55,IF($E$2=30.5,'S3'!AU55,IF($E$2=31.5,'S3'!AV55,IF($E$2=32.5,'S3'!AW55,IF($E$2=33.5,'S3'!AX55,IF($E$2=34.5,'S3'!AY55,IF($E$2=35.5,'S3'!AZ55)))))))))))))))))))))</f>
        <v>83.87</v>
      </c>
      <c r="F55" s="641">
        <f t="shared" si="1"/>
        <v>117.42</v>
      </c>
    </row>
    <row r="56" spans="2:6" ht="18.75" thickBot="1" x14ac:dyDescent="0.35">
      <c r="B56" s="639">
        <v>52</v>
      </c>
      <c r="C56" s="640">
        <f>IF($C$2=15.5,'S3'!A56,IF($C$2=16.5,'S3'!B56,IF($C$2=17.5,'S3'!C56,IF($C$2=18.5,'S3'!D56,IF($C$2=19.5,'S3'!E56,IF($C$2=20.5,'S3'!F56,IF($C$2=21.5,'S3'!G56,IF($C$2=22.5,'S3'!H56,IF($C$2=23.5,'S3'!I56,IF($C$2=24.5,'S3'!J56,IF($C$2=25.5,'S3'!K56,IF($C$2=26.5,'S3'!L56,IF($C$2=27.5,'S3'!M56,IF($C$2=28.5,'S3'!N56,IF($C$2=29.5,'S3'!O56,IF($C$2=30.5,'S3'!P56,IF($C$2=31.5,'S3'!Q56,IF($C$2=32.5,'S3'!R56,IF($C$2=33.5,'S3'!S56,IF($C$2=34.5,'S3'!T56,IF($C$2=35.5,'S3'!U56)))))))))))))))))))))</f>
        <v>136.61000000000001</v>
      </c>
      <c r="D56" s="641">
        <f t="shared" si="3"/>
        <v>191.25</v>
      </c>
      <c r="E56" s="641">
        <f>IF($E$2=15.5,'S3'!AF56,IF($E$2=16.5,'S3'!AG56,IF($E$2=17.5,'S3'!AH56,IF($E$2=18.5,'S3'!AI56,IF($E$2=19.5,'S3'!AJ56,IF($E$2=20.5,'S3'!AK56,IF($E$2=21.5,'S3'!AL56,IF($E$2=22.5,'S3'!AM56,IF($E$2=23.5,'S3'!AN56,IF($E$2=24.5,'S3'!AO56,IF($E$2=25.5,'S3'!AP56,IF($E$2=26.5,'S3'!AQ56,IF($E$2=27.5,'S3'!AR56,IF($E$2=28.5,'S3'!AS56,IF($E$2=29.5,'S3'!AT56,IF($E$2=30.5,'S3'!AU56,IF($E$2=31.5,'S3'!AV56,IF($E$2=32.5,'S3'!AW56,IF($E$2=33.5,'S3'!AX56,IF($E$2=34.5,'S3'!AY56,IF($E$2=35.5,'S3'!AZ56)))))))))))))))))))))</f>
        <v>85.5</v>
      </c>
      <c r="F56" s="641">
        <f t="shared" si="1"/>
        <v>119.7</v>
      </c>
    </row>
    <row r="57" spans="2:6" ht="18.75" thickBot="1" x14ac:dyDescent="0.35">
      <c r="B57" s="639">
        <v>53</v>
      </c>
      <c r="C57" s="640">
        <f>IF($C$2=15.5,'S3'!A57,IF($C$2=16.5,'S3'!B57,IF($C$2=17.5,'S3'!C57,IF($C$2=18.5,'S3'!D57,IF($C$2=19.5,'S3'!E57,IF($C$2=20.5,'S3'!F57,IF($C$2=21.5,'S3'!G57,IF($C$2=22.5,'S3'!H57,IF($C$2=23.5,'S3'!I57,IF($C$2=24.5,'S3'!J57,IF($C$2=25.5,'S3'!K57,IF($C$2=26.5,'S3'!L57,IF($C$2=27.5,'S3'!M57,IF($C$2=28.5,'S3'!N57,IF($C$2=29.5,'S3'!O57,IF($C$2=30.5,'S3'!P57,IF($C$2=31.5,'S3'!Q57,IF($C$2=32.5,'S3'!R57,IF($C$2=33.5,'S3'!S57,IF($C$2=34.5,'S3'!T57,IF($C$2=35.5,'S3'!U57)))))))))))))))))))))</f>
        <v>139.21</v>
      </c>
      <c r="D57" s="641">
        <f t="shared" si="3"/>
        <v>194.89</v>
      </c>
      <c r="E57" s="641">
        <f>IF($E$2=15.5,'S3'!AF57,IF($E$2=16.5,'S3'!AG57,IF($E$2=17.5,'S3'!AH57,IF($E$2=18.5,'S3'!AI57,IF($E$2=19.5,'S3'!AJ57,IF($E$2=20.5,'S3'!AK57,IF($E$2=21.5,'S3'!AL57,IF($E$2=22.5,'S3'!AM57,IF($E$2=23.5,'S3'!AN57,IF($E$2=24.5,'S3'!AO57,IF($E$2=25.5,'S3'!AP57,IF($E$2=26.5,'S3'!AQ57,IF($E$2=27.5,'S3'!AR57,IF($E$2=28.5,'S3'!AS57,IF($E$2=29.5,'S3'!AT57,IF($E$2=30.5,'S3'!AU57,IF($E$2=31.5,'S3'!AV57,IF($E$2=32.5,'S3'!AW57,IF($E$2=33.5,'S3'!AX57,IF($E$2=34.5,'S3'!AY57,IF($E$2=35.5,'S3'!AZ57)))))))))))))))))))))</f>
        <v>87.13</v>
      </c>
      <c r="F57" s="641">
        <f t="shared" si="1"/>
        <v>121.98</v>
      </c>
    </row>
    <row r="58" spans="2:6" ht="18.75" thickBot="1" x14ac:dyDescent="0.35">
      <c r="B58" s="639">
        <v>54</v>
      </c>
      <c r="C58" s="640">
        <f>IF($C$2=15.5,'S3'!A58,IF($C$2=16.5,'S3'!B58,IF($C$2=17.5,'S3'!C58,IF($C$2=18.5,'S3'!D58,IF($C$2=19.5,'S3'!E58,IF($C$2=20.5,'S3'!F58,IF($C$2=21.5,'S3'!G58,IF($C$2=22.5,'S3'!H58,IF($C$2=23.5,'S3'!I58,IF($C$2=24.5,'S3'!J58,IF($C$2=25.5,'S3'!K58,IF($C$2=26.5,'S3'!L58,IF($C$2=27.5,'S3'!M58,IF($C$2=28.5,'S3'!N58,IF($C$2=29.5,'S3'!O58,IF($C$2=30.5,'S3'!P58,IF($C$2=31.5,'S3'!Q58,IF($C$2=32.5,'S3'!R58,IF($C$2=33.5,'S3'!S58,IF($C$2=34.5,'S3'!T58,IF($C$2=35.5,'S3'!U58)))))))))))))))))))))</f>
        <v>141.83000000000001</v>
      </c>
      <c r="D58" s="641">
        <f t="shared" si="3"/>
        <v>198.56</v>
      </c>
      <c r="E58" s="641">
        <f>IF($E$2=15.5,'S3'!AF58,IF($E$2=16.5,'S3'!AG58,IF($E$2=17.5,'S3'!AH58,IF($E$2=18.5,'S3'!AI58,IF($E$2=19.5,'S3'!AJ58,IF($E$2=20.5,'S3'!AK58,IF($E$2=21.5,'S3'!AL58,IF($E$2=22.5,'S3'!AM58,IF($E$2=23.5,'S3'!AN58,IF($E$2=24.5,'S3'!AO58,IF($E$2=25.5,'S3'!AP58,IF($E$2=26.5,'S3'!AQ58,IF($E$2=27.5,'S3'!AR58,IF($E$2=28.5,'S3'!AS58,IF($E$2=29.5,'S3'!AT58,IF($E$2=30.5,'S3'!AU58,IF($E$2=31.5,'S3'!AV58,IF($E$2=32.5,'S3'!AW58,IF($E$2=33.5,'S3'!AX58,IF($E$2=34.5,'S3'!AY58,IF($E$2=35.5,'S3'!AZ58)))))))))))))))))))))</f>
        <v>88.76</v>
      </c>
      <c r="F58" s="641">
        <f t="shared" si="1"/>
        <v>124.26</v>
      </c>
    </row>
    <row r="59" spans="2:6" ht="18.75" thickBot="1" x14ac:dyDescent="0.35">
      <c r="B59" s="639">
        <v>55</v>
      </c>
      <c r="C59" s="640">
        <f>IF($C$2=15.5,'S3'!A59,IF($C$2=16.5,'S3'!B59,IF($C$2=17.5,'S3'!C59,IF($C$2=18.5,'S3'!D59,IF($C$2=19.5,'S3'!E59,IF($C$2=20.5,'S3'!F59,IF($C$2=21.5,'S3'!G59,IF($C$2=22.5,'S3'!H59,IF($C$2=23.5,'S3'!I59,IF($C$2=24.5,'S3'!J59,IF($C$2=25.5,'S3'!K59,IF($C$2=26.5,'S3'!L59,IF($C$2=27.5,'S3'!M59,IF($C$2=28.5,'S3'!N59,IF($C$2=29.5,'S3'!O59,IF($C$2=30.5,'S3'!P59,IF($C$2=31.5,'S3'!Q59,IF($C$2=32.5,'S3'!R59,IF($C$2=33.5,'S3'!S59,IF($C$2=34.5,'S3'!T59,IF($C$2=35.5,'S3'!U59)))))))))))))))))))))</f>
        <v>144.41999999999999</v>
      </c>
      <c r="D59" s="641">
        <f t="shared" si="3"/>
        <v>202.19</v>
      </c>
      <c r="E59" s="641">
        <f>IF($E$2=15.5,'S3'!AF59,IF($E$2=16.5,'S3'!AG59,IF($E$2=17.5,'S3'!AH59,IF($E$2=18.5,'S3'!AI59,IF($E$2=19.5,'S3'!AJ59,IF($E$2=20.5,'S3'!AK59,IF($E$2=21.5,'S3'!AL59,IF($E$2=22.5,'S3'!AM59,IF($E$2=23.5,'S3'!AN59,IF($E$2=24.5,'S3'!AO59,IF($E$2=25.5,'S3'!AP59,IF($E$2=26.5,'S3'!AQ59,IF($E$2=27.5,'S3'!AR59,IF($E$2=28.5,'S3'!AS59,IF($E$2=29.5,'S3'!AT59,IF($E$2=30.5,'S3'!AU59,IF($E$2=31.5,'S3'!AV59,IF($E$2=32.5,'S3'!AW59,IF($E$2=33.5,'S3'!AX59,IF($E$2=34.5,'S3'!AY59,IF($E$2=35.5,'S3'!AZ59)))))))))))))))))))))</f>
        <v>90.4</v>
      </c>
      <c r="F59" s="641">
        <f t="shared" si="1"/>
        <v>126.56</v>
      </c>
    </row>
    <row r="60" spans="2:6" ht="18.75" thickBot="1" x14ac:dyDescent="0.35">
      <c r="B60" s="639">
        <v>56</v>
      </c>
      <c r="C60" s="640">
        <f>IF($C$2=15.5,'S3'!A60,IF($C$2=16.5,'S3'!B60,IF($C$2=17.5,'S3'!C60,IF($C$2=18.5,'S3'!D60,IF($C$2=19.5,'S3'!E60,IF($C$2=20.5,'S3'!F60,IF($C$2=21.5,'S3'!G60,IF($C$2=22.5,'S3'!H60,IF($C$2=23.5,'S3'!I60,IF($C$2=24.5,'S3'!J60,IF($C$2=25.5,'S3'!K60,IF($C$2=26.5,'S3'!L60,IF($C$2=27.5,'S3'!M60,IF($C$2=28.5,'S3'!N60,IF($C$2=29.5,'S3'!O60,IF($C$2=30.5,'S3'!P60,IF($C$2=31.5,'S3'!Q60,IF($C$2=32.5,'S3'!R60,IF($C$2=33.5,'S3'!S60,IF($C$2=34.5,'S3'!T60,IF($C$2=35.5,'S3'!U60)))))))))))))))))))))</f>
        <v>147.02000000000001</v>
      </c>
      <c r="D60" s="641">
        <f t="shared" si="3"/>
        <v>205.83</v>
      </c>
      <c r="E60" s="641">
        <f>IF($E$2=15.5,'S3'!AF60,IF($E$2=16.5,'S3'!AG60,IF($E$2=17.5,'S3'!AH60,IF($E$2=18.5,'S3'!AI60,IF($E$2=19.5,'S3'!AJ60,IF($E$2=20.5,'S3'!AK60,IF($E$2=21.5,'S3'!AL60,IF($E$2=22.5,'S3'!AM60,IF($E$2=23.5,'S3'!AN60,IF($E$2=24.5,'S3'!AO60,IF($E$2=25.5,'S3'!AP60,IF($E$2=26.5,'S3'!AQ60,IF($E$2=27.5,'S3'!AR60,IF($E$2=28.5,'S3'!AS60,IF($E$2=29.5,'S3'!AT60,IF($E$2=30.5,'S3'!AU60,IF($E$2=31.5,'S3'!AV60,IF($E$2=32.5,'S3'!AW60,IF($E$2=33.5,'S3'!AX60,IF($E$2=34.5,'S3'!AY60,IF($E$2=35.5,'S3'!AZ60)))))))))))))))))))))</f>
        <v>92.03</v>
      </c>
      <c r="F60" s="641">
        <f t="shared" si="1"/>
        <v>128.84</v>
      </c>
    </row>
    <row r="61" spans="2:6" ht="18.75" thickBot="1" x14ac:dyDescent="0.35">
      <c r="B61" s="639">
        <v>57</v>
      </c>
      <c r="C61" s="640">
        <f>IF($C$2=15.5,'S3'!A61,IF($C$2=16.5,'S3'!B61,IF($C$2=17.5,'S3'!C61,IF($C$2=18.5,'S3'!D61,IF($C$2=19.5,'S3'!E61,IF($C$2=20.5,'S3'!F61,IF($C$2=21.5,'S3'!G61,IF($C$2=22.5,'S3'!H61,IF($C$2=23.5,'S3'!I61,IF($C$2=24.5,'S3'!J61,IF($C$2=25.5,'S3'!K61,IF($C$2=26.5,'S3'!L61,IF($C$2=27.5,'S3'!M61,IF($C$2=28.5,'S3'!N61,IF($C$2=29.5,'S3'!O61,IF($C$2=30.5,'S3'!P61,IF($C$2=31.5,'S3'!Q61,IF($C$2=32.5,'S3'!R61,IF($C$2=33.5,'S3'!S61,IF($C$2=34.5,'S3'!T61,IF($C$2=35.5,'S3'!U61)))))))))))))))))))))</f>
        <v>149.63</v>
      </c>
      <c r="D61" s="641">
        <f t="shared" si="3"/>
        <v>209.48</v>
      </c>
      <c r="E61" s="641">
        <f>IF($E$2=15.5,'S3'!AF61,IF($E$2=16.5,'S3'!AG61,IF($E$2=17.5,'S3'!AH61,IF($E$2=18.5,'S3'!AI61,IF($E$2=19.5,'S3'!AJ61,IF($E$2=20.5,'S3'!AK61,IF($E$2=21.5,'S3'!AL61,IF($E$2=22.5,'S3'!AM61,IF($E$2=23.5,'S3'!AN61,IF($E$2=24.5,'S3'!AO61,IF($E$2=25.5,'S3'!AP61,IF($E$2=26.5,'S3'!AQ61,IF($E$2=27.5,'S3'!AR61,IF($E$2=28.5,'S3'!AS61,IF($E$2=29.5,'S3'!AT61,IF($E$2=30.5,'S3'!AU61,IF($E$2=31.5,'S3'!AV61,IF($E$2=32.5,'S3'!AW61,IF($E$2=33.5,'S3'!AX61,IF($E$2=34.5,'S3'!AY61,IF($E$2=35.5,'S3'!AZ61)))))))))))))))))))))</f>
        <v>93.65</v>
      </c>
      <c r="F61" s="641">
        <f t="shared" si="1"/>
        <v>131.11000000000001</v>
      </c>
    </row>
    <row r="62" spans="2:6" ht="18.75" thickBot="1" x14ac:dyDescent="0.35">
      <c r="B62" s="639">
        <v>58</v>
      </c>
      <c r="C62" s="640">
        <f>IF($C$2=15.5,'S3'!A62,IF($C$2=16.5,'S3'!B62,IF($C$2=17.5,'S3'!C62,IF($C$2=18.5,'S3'!D62,IF($C$2=19.5,'S3'!E62,IF($C$2=20.5,'S3'!F62,IF($C$2=21.5,'S3'!G62,IF($C$2=22.5,'S3'!H62,IF($C$2=23.5,'S3'!I62,IF($C$2=24.5,'S3'!J62,IF($C$2=25.5,'S3'!K62,IF($C$2=26.5,'S3'!L62,IF($C$2=27.5,'S3'!M62,IF($C$2=28.5,'S3'!N62,IF($C$2=29.5,'S3'!O62,IF($C$2=30.5,'S3'!P62,IF($C$2=31.5,'S3'!Q62,IF($C$2=32.5,'S3'!R62,IF($C$2=33.5,'S3'!S62,IF($C$2=34.5,'S3'!T62,IF($C$2=35.5,'S3'!U62)))))))))))))))))))))</f>
        <v>152.26</v>
      </c>
      <c r="D62" s="641">
        <f t="shared" si="3"/>
        <v>213.16</v>
      </c>
      <c r="E62" s="641">
        <f>IF($E$2=15.5,'S3'!AF62,IF($E$2=16.5,'S3'!AG62,IF($E$2=17.5,'S3'!AH62,IF($E$2=18.5,'S3'!AI62,IF($E$2=19.5,'S3'!AJ62,IF($E$2=20.5,'S3'!AK62,IF($E$2=21.5,'S3'!AL62,IF($E$2=22.5,'S3'!AM62,IF($E$2=23.5,'S3'!AN62,IF($E$2=24.5,'S3'!AO62,IF($E$2=25.5,'S3'!AP62,IF($E$2=26.5,'S3'!AQ62,IF($E$2=27.5,'S3'!AR62,IF($E$2=28.5,'S3'!AS62,IF($E$2=29.5,'S3'!AT62,IF($E$2=30.5,'S3'!AU62,IF($E$2=31.5,'S3'!AV62,IF($E$2=32.5,'S3'!AW62,IF($E$2=33.5,'S3'!AX62,IF($E$2=34.5,'S3'!AY62,IF($E$2=35.5,'S3'!AZ62)))))))))))))))))))))</f>
        <v>95.29</v>
      </c>
      <c r="F62" s="641">
        <f t="shared" si="1"/>
        <v>133.41</v>
      </c>
    </row>
    <row r="63" spans="2:6" ht="18.75" thickBot="1" x14ac:dyDescent="0.35">
      <c r="B63" s="639">
        <v>59</v>
      </c>
      <c r="C63" s="640">
        <f>IF($C$2=15.5,'S3'!A63,IF($C$2=16.5,'S3'!B63,IF($C$2=17.5,'S3'!C63,IF($C$2=18.5,'S3'!D63,IF($C$2=19.5,'S3'!E63,IF($C$2=20.5,'S3'!F63,IF($C$2=21.5,'S3'!G63,IF($C$2=22.5,'S3'!H63,IF($C$2=23.5,'S3'!I63,IF($C$2=24.5,'S3'!J63,IF($C$2=25.5,'S3'!K63,IF($C$2=26.5,'S3'!L63,IF($C$2=27.5,'S3'!M63,IF($C$2=28.5,'S3'!N63,IF($C$2=29.5,'S3'!O63,IF($C$2=30.5,'S3'!P63,IF($C$2=31.5,'S3'!Q63,IF($C$2=32.5,'S3'!R63,IF($C$2=33.5,'S3'!S63,IF($C$2=34.5,'S3'!T63,IF($C$2=35.5,'S3'!U63)))))))))))))))))))))</f>
        <v>154.85</v>
      </c>
      <c r="D63" s="641">
        <f t="shared" si="3"/>
        <v>216.79</v>
      </c>
      <c r="E63" s="641">
        <f>IF($E$2=15.5,'S3'!AF63,IF($E$2=16.5,'S3'!AG63,IF($E$2=17.5,'S3'!AH63,IF($E$2=18.5,'S3'!AI63,IF($E$2=19.5,'S3'!AJ63,IF($E$2=20.5,'S3'!AK63,IF($E$2=21.5,'S3'!AL63,IF($E$2=22.5,'S3'!AM63,IF($E$2=23.5,'S3'!AN63,IF($E$2=24.5,'S3'!AO63,IF($E$2=25.5,'S3'!AP63,IF($E$2=26.5,'S3'!AQ63,IF($E$2=27.5,'S3'!AR63,IF($E$2=28.5,'S3'!AS63,IF($E$2=29.5,'S3'!AT63,IF($E$2=30.5,'S3'!AU63,IF($E$2=31.5,'S3'!AV63,IF($E$2=32.5,'S3'!AW63,IF($E$2=33.5,'S3'!AX63,IF($E$2=34.5,'S3'!AY63,IF($E$2=35.5,'S3'!AZ63)))))))))))))))))))))</f>
        <v>96.93</v>
      </c>
      <c r="F63" s="641">
        <f t="shared" si="1"/>
        <v>135.69999999999999</v>
      </c>
    </row>
    <row r="64" spans="2:6" ht="18.75" thickBot="1" x14ac:dyDescent="0.35">
      <c r="B64" s="639">
        <v>60</v>
      </c>
      <c r="C64" s="640">
        <f>IF($C$2=15.5,'S3'!A64,IF($C$2=16.5,'S3'!B64,IF($C$2=17.5,'S3'!C64,IF($C$2=18.5,'S3'!D64,IF($C$2=19.5,'S3'!E64,IF($C$2=20.5,'S3'!F64,IF($C$2=21.5,'S3'!G64,IF($C$2=22.5,'S3'!H64,IF($C$2=23.5,'S3'!I64,IF($C$2=24.5,'S3'!J64,IF($C$2=25.5,'S3'!K64,IF($C$2=26.5,'S3'!L64,IF($C$2=27.5,'S3'!M64,IF($C$2=28.5,'S3'!N64,IF($C$2=29.5,'S3'!O64,IF($C$2=30.5,'S3'!P64,IF($C$2=31.5,'S3'!Q64,IF($C$2=32.5,'S3'!R64,IF($C$2=33.5,'S3'!S64,IF($C$2=34.5,'S3'!T64,IF($C$2=35.5,'S3'!U64)))))))))))))))))))))</f>
        <v>157.44999999999999</v>
      </c>
      <c r="D64" s="641">
        <f t="shared" si="3"/>
        <v>220.43</v>
      </c>
      <c r="E64" s="641">
        <f>IF($E$2=15.5,'S3'!AF64,IF($E$2=16.5,'S3'!AG64,IF($E$2=17.5,'S3'!AH64,IF($E$2=18.5,'S3'!AI64,IF($E$2=19.5,'S3'!AJ64,IF($E$2=20.5,'S3'!AK64,IF($E$2=21.5,'S3'!AL64,IF($E$2=22.5,'S3'!AM64,IF($E$2=23.5,'S3'!AN64,IF($E$2=24.5,'S3'!AO64,IF($E$2=25.5,'S3'!AP64,IF($E$2=26.5,'S3'!AQ64,IF($E$2=27.5,'S3'!AR64,IF($E$2=28.5,'S3'!AS64,IF($E$2=29.5,'S3'!AT64,IF($E$2=30.5,'S3'!AU64,IF($E$2=31.5,'S3'!AV64,IF($E$2=32.5,'S3'!AW64,IF($E$2=33.5,'S3'!AX64,IF($E$2=34.5,'S3'!AY64,IF($E$2=35.5,'S3'!AZ64)))))))))))))))))))))</f>
        <v>98.57</v>
      </c>
      <c r="F64" s="641">
        <f t="shared" si="1"/>
        <v>138</v>
      </c>
    </row>
    <row r="65" spans="2:6" ht="18.75" thickBot="1" x14ac:dyDescent="0.35">
      <c r="B65" s="639">
        <v>61</v>
      </c>
      <c r="C65" s="640">
        <f>IF($C$2=15.5,'S3'!A65,IF($C$2=16.5,'S3'!B65,IF($C$2=17.5,'S3'!C65,IF($C$2=18.5,'S3'!D65,IF($C$2=19.5,'S3'!E65,IF($C$2=20.5,'S3'!F65,IF($C$2=21.5,'S3'!G65,IF($C$2=22.5,'S3'!H65,IF($C$2=23.5,'S3'!I65,IF($C$2=24.5,'S3'!J65,IF($C$2=25.5,'S3'!K65,IF($C$2=26.5,'S3'!L65,IF($C$2=27.5,'S3'!M65,IF($C$2=28.5,'S3'!N65,IF($C$2=29.5,'S3'!O65,IF($C$2=30.5,'S3'!P65,IF($C$2=31.5,'S3'!Q65,IF($C$2=32.5,'S3'!R65,IF($C$2=33.5,'S3'!S65,IF($C$2=34.5,'S3'!T65,IF($C$2=35.5,'S3'!U65)))))))))))))))))))))</f>
        <v>160.06</v>
      </c>
      <c r="D65" s="641">
        <f t="shared" si="3"/>
        <v>224.08</v>
      </c>
      <c r="E65" s="641">
        <f>IF($E$2=15.5,'S3'!AF65,IF($E$2=16.5,'S3'!AG65,IF($E$2=17.5,'S3'!AH65,IF($E$2=18.5,'S3'!AI65,IF($E$2=19.5,'S3'!AJ65,IF($E$2=20.5,'S3'!AK65,IF($E$2=21.5,'S3'!AL65,IF($E$2=22.5,'S3'!AM65,IF($E$2=23.5,'S3'!AN65,IF($E$2=24.5,'S3'!AO65,IF($E$2=25.5,'S3'!AP65,IF($E$2=26.5,'S3'!AQ65,IF($E$2=27.5,'S3'!AR65,IF($E$2=28.5,'S3'!AS65,IF($E$2=29.5,'S3'!AT65,IF($E$2=30.5,'S3'!AU65,IF($E$2=31.5,'S3'!AV65,IF($E$2=32.5,'S3'!AW65,IF($E$2=33.5,'S3'!AX65,IF($E$2=34.5,'S3'!AY65,IF($E$2=35.5,'S3'!AZ65)))))))))))))))))))))</f>
        <v>100.19</v>
      </c>
      <c r="F65" s="641">
        <f t="shared" si="1"/>
        <v>140.27000000000001</v>
      </c>
    </row>
    <row r="66" spans="2:6" ht="18.75" thickBot="1" x14ac:dyDescent="0.35">
      <c r="B66" s="639">
        <v>62</v>
      </c>
      <c r="C66" s="640">
        <f>IF($C$2=15.5,'S3'!A66,IF($C$2=16.5,'S3'!B66,IF($C$2=17.5,'S3'!C66,IF($C$2=18.5,'S3'!D66,IF($C$2=19.5,'S3'!E66,IF($C$2=20.5,'S3'!F66,IF($C$2=21.5,'S3'!G66,IF($C$2=22.5,'S3'!H66,IF($C$2=23.5,'S3'!I66,IF($C$2=24.5,'S3'!J66,IF($C$2=25.5,'S3'!K66,IF($C$2=26.5,'S3'!L66,IF($C$2=27.5,'S3'!M66,IF($C$2=28.5,'S3'!N66,IF($C$2=29.5,'S3'!O66,IF($C$2=30.5,'S3'!P66,IF($C$2=31.5,'S3'!Q66,IF($C$2=32.5,'S3'!R66,IF($C$2=33.5,'S3'!S66,IF($C$2=34.5,'S3'!T66,IF($C$2=35.5,'S3'!U66)))))))))))))))))))))</f>
        <v>162.69</v>
      </c>
      <c r="D66" s="641">
        <f t="shared" si="3"/>
        <v>227.77</v>
      </c>
      <c r="E66" s="641">
        <f>IF($E$2=15.5,'S3'!AF66,IF($E$2=16.5,'S3'!AG66,IF($E$2=17.5,'S3'!AH66,IF($E$2=18.5,'S3'!AI66,IF($E$2=19.5,'S3'!AJ66,IF($E$2=20.5,'S3'!AK66,IF($E$2=21.5,'S3'!AL66,IF($E$2=22.5,'S3'!AM66,IF($E$2=23.5,'S3'!AN66,IF($E$2=24.5,'S3'!AO66,IF($E$2=25.5,'S3'!AP66,IF($E$2=26.5,'S3'!AQ66,IF($E$2=27.5,'S3'!AR66,IF($E$2=28.5,'S3'!AS66,IF($E$2=29.5,'S3'!AT66,IF($E$2=30.5,'S3'!AU66,IF($E$2=31.5,'S3'!AV66,IF($E$2=32.5,'S3'!AW66,IF($E$2=33.5,'S3'!AX66,IF($E$2=34.5,'S3'!AY66,IF($E$2=35.5,'S3'!AZ66)))))))))))))))))))))</f>
        <v>101.82</v>
      </c>
      <c r="F66" s="641">
        <f t="shared" si="1"/>
        <v>142.55000000000001</v>
      </c>
    </row>
    <row r="67" spans="2:6" ht="18.75" thickBot="1" x14ac:dyDescent="0.35">
      <c r="B67" s="639">
        <v>63</v>
      </c>
      <c r="C67" s="640">
        <f>IF($C$2=15.5,'S3'!A67,IF($C$2=16.5,'S3'!B67,IF($C$2=17.5,'S3'!C67,IF($C$2=18.5,'S3'!D67,IF($C$2=19.5,'S3'!E67,IF($C$2=20.5,'S3'!F67,IF($C$2=21.5,'S3'!G67,IF($C$2=22.5,'S3'!H67,IF($C$2=23.5,'S3'!I67,IF($C$2=24.5,'S3'!J67,IF($C$2=25.5,'S3'!K67,IF($C$2=26.5,'S3'!L67,IF($C$2=27.5,'S3'!M67,IF($C$2=28.5,'S3'!N67,IF($C$2=29.5,'S3'!O67,IF($C$2=30.5,'S3'!P67,IF($C$2=31.5,'S3'!Q67,IF($C$2=32.5,'S3'!R67,IF($C$2=33.5,'S3'!S67,IF($C$2=34.5,'S3'!T67,IF($C$2=35.5,'S3'!U67)))))))))))))))))))))</f>
        <v>165.26</v>
      </c>
      <c r="D67" s="641">
        <f t="shared" si="3"/>
        <v>231.36</v>
      </c>
      <c r="E67" s="641">
        <f>IF($E$2=15.5,'S3'!AF67,IF($E$2=16.5,'S3'!AG67,IF($E$2=17.5,'S3'!AH67,IF($E$2=18.5,'S3'!AI67,IF($E$2=19.5,'S3'!AJ67,IF($E$2=20.5,'S3'!AK67,IF($E$2=21.5,'S3'!AL67,IF($E$2=22.5,'S3'!AM67,IF($E$2=23.5,'S3'!AN67,IF($E$2=24.5,'S3'!AO67,IF($E$2=25.5,'S3'!AP67,IF($E$2=26.5,'S3'!AQ67,IF($E$2=27.5,'S3'!AR67,IF($E$2=28.5,'S3'!AS67,IF($E$2=29.5,'S3'!AT67,IF($E$2=30.5,'S3'!AU67,IF($E$2=31.5,'S3'!AV67,IF($E$2=32.5,'S3'!AW67,IF($E$2=33.5,'S3'!AX67,IF($E$2=34.5,'S3'!AY67,IF($E$2=35.5,'S3'!AZ67)))))))))))))))))))))</f>
        <v>103.46</v>
      </c>
      <c r="F67" s="641">
        <f t="shared" si="1"/>
        <v>144.84</v>
      </c>
    </row>
    <row r="68" spans="2:6" ht="18.75" thickBot="1" x14ac:dyDescent="0.35">
      <c r="B68" s="639">
        <v>64</v>
      </c>
      <c r="C68" s="640">
        <f>IF($C$2=15.5,'S3'!A68,IF($C$2=16.5,'S3'!B68,IF($C$2=17.5,'S3'!C68,IF($C$2=18.5,'S3'!D68,IF($C$2=19.5,'S3'!E68,IF($C$2=20.5,'S3'!F68,IF($C$2=21.5,'S3'!G68,IF($C$2=22.5,'S3'!H68,IF($C$2=23.5,'S3'!I68,IF($C$2=24.5,'S3'!J68,IF($C$2=25.5,'S3'!K68,IF($C$2=26.5,'S3'!L68,IF($C$2=27.5,'S3'!M68,IF($C$2=28.5,'S3'!N68,IF($C$2=29.5,'S3'!O68,IF($C$2=30.5,'S3'!P68,IF($C$2=31.5,'S3'!Q68,IF($C$2=32.5,'S3'!R68,IF($C$2=33.5,'S3'!S68,IF($C$2=34.5,'S3'!T68,IF($C$2=35.5,'S3'!U68)))))))))))))))))))))</f>
        <v>167.85</v>
      </c>
      <c r="D68" s="641">
        <f t="shared" si="3"/>
        <v>234.99</v>
      </c>
      <c r="E68" s="641">
        <f>IF($E$2=15.5,'S3'!AF68,IF($E$2=16.5,'S3'!AG68,IF($E$2=17.5,'S3'!AH68,IF($E$2=18.5,'S3'!AI68,IF($E$2=19.5,'S3'!AJ68,IF($E$2=20.5,'S3'!AK68,IF($E$2=21.5,'S3'!AL68,IF($E$2=22.5,'S3'!AM68,IF($E$2=23.5,'S3'!AN68,IF($E$2=24.5,'S3'!AO68,IF($E$2=25.5,'S3'!AP68,IF($E$2=26.5,'S3'!AQ68,IF($E$2=27.5,'S3'!AR68,IF($E$2=28.5,'S3'!AS68,IF($E$2=29.5,'S3'!AT68,IF($E$2=30.5,'S3'!AU68,IF($E$2=31.5,'S3'!AV68,IF($E$2=32.5,'S3'!AW68,IF($E$2=33.5,'S3'!AX68,IF($E$2=34.5,'S3'!AY68,IF($E$2=35.5,'S3'!AZ68)))))))))))))))))))))</f>
        <v>105.09</v>
      </c>
      <c r="F68" s="641">
        <f t="shared" si="1"/>
        <v>147.13</v>
      </c>
    </row>
    <row r="69" spans="2:6" ht="18.75" thickBot="1" x14ac:dyDescent="0.35">
      <c r="B69" s="639">
        <v>65</v>
      </c>
      <c r="C69" s="640">
        <f>IF($C$2=15.5,'S3'!A69,IF($C$2=16.5,'S3'!B69,IF($C$2=17.5,'S3'!C69,IF($C$2=18.5,'S3'!D69,IF($C$2=19.5,'S3'!E69,IF($C$2=20.5,'S3'!F69,IF($C$2=21.5,'S3'!G69,IF($C$2=22.5,'S3'!H69,IF($C$2=23.5,'S3'!I69,IF($C$2=24.5,'S3'!J69,IF($C$2=25.5,'S3'!K69,IF($C$2=26.5,'S3'!L69,IF($C$2=27.5,'S3'!M69,IF($C$2=28.5,'S3'!N69,IF($C$2=29.5,'S3'!O69,IF($C$2=30.5,'S3'!P69,IF($C$2=31.5,'S3'!Q69,IF($C$2=32.5,'S3'!R69,IF($C$2=33.5,'S3'!S69,IF($C$2=34.5,'S3'!T69,IF($C$2=35.5,'S3'!U69)))))))))))))))))))))</f>
        <v>170.45</v>
      </c>
      <c r="D69" s="641">
        <f t="shared" si="3"/>
        <v>238.63</v>
      </c>
      <c r="E69" s="641">
        <f>IF($E$2=15.5,'S3'!AF69,IF($E$2=16.5,'S3'!AG69,IF($E$2=17.5,'S3'!AH69,IF($E$2=18.5,'S3'!AI69,IF($E$2=19.5,'S3'!AJ69,IF($E$2=20.5,'S3'!AK69,IF($E$2=21.5,'S3'!AL69,IF($E$2=22.5,'S3'!AM69,IF($E$2=23.5,'S3'!AN69,IF($E$2=24.5,'S3'!AO69,IF($E$2=25.5,'S3'!AP69,IF($E$2=26.5,'S3'!AQ69,IF($E$2=27.5,'S3'!AR69,IF($E$2=28.5,'S3'!AS69,IF($E$2=29.5,'S3'!AT69,IF($E$2=30.5,'S3'!AU69,IF($E$2=31.5,'S3'!AV69,IF($E$2=32.5,'S3'!AW69,IF($E$2=33.5,'S3'!AX69,IF($E$2=34.5,'S3'!AY69,IF($E$2=35.5,'S3'!AZ69)))))))))))))))))))))</f>
        <v>106.71</v>
      </c>
      <c r="F69" s="641">
        <f t="shared" si="1"/>
        <v>149.38999999999999</v>
      </c>
    </row>
    <row r="70" spans="2:6" ht="18.75" thickBot="1" x14ac:dyDescent="0.35">
      <c r="B70" s="639">
        <v>66</v>
      </c>
      <c r="C70" s="640">
        <f>IF($C$2=15.5,'S3'!A70,IF($C$2=16.5,'S3'!B70,IF($C$2=17.5,'S3'!C70,IF($C$2=18.5,'S3'!D70,IF($C$2=19.5,'S3'!E70,IF($C$2=20.5,'S3'!F70,IF($C$2=21.5,'S3'!G70,IF($C$2=22.5,'S3'!H70,IF($C$2=23.5,'S3'!I70,IF($C$2=24.5,'S3'!J70,IF($C$2=25.5,'S3'!K70,IF($C$2=26.5,'S3'!L70,IF($C$2=27.5,'S3'!M70,IF($C$2=28.5,'S3'!N70,IF($C$2=29.5,'S3'!O70,IF($C$2=30.5,'S3'!P70,IF($C$2=31.5,'S3'!Q70,IF($C$2=32.5,'S3'!R70,IF($C$2=33.5,'S3'!S70,IF($C$2=34.5,'S3'!T70,IF($C$2=35.5,'S3'!U70)))))))))))))))))))))</f>
        <v>173.06</v>
      </c>
      <c r="D70" s="641">
        <f t="shared" si="3"/>
        <v>242.28</v>
      </c>
      <c r="E70" s="641">
        <f>IF($E$2=15.5,'S3'!AF70,IF($E$2=16.5,'S3'!AG70,IF($E$2=17.5,'S3'!AH70,IF($E$2=18.5,'S3'!AI70,IF($E$2=19.5,'S3'!AJ70,IF($E$2=20.5,'S3'!AK70,IF($E$2=21.5,'S3'!AL70,IF($E$2=22.5,'S3'!AM70,IF($E$2=23.5,'S3'!AN70,IF($E$2=24.5,'S3'!AO70,IF($E$2=25.5,'S3'!AP70,IF($E$2=26.5,'S3'!AQ70,IF($E$2=27.5,'S3'!AR70,IF($E$2=28.5,'S3'!AS70,IF($E$2=29.5,'S3'!AT70,IF($E$2=30.5,'S3'!AU70,IF($E$2=31.5,'S3'!AV70,IF($E$2=32.5,'S3'!AW70,IF($E$2=33.5,'S3'!AX70,IF($E$2=34.5,'S3'!AY70,IF($E$2=35.5,'S3'!AZ70)))))))))))))))))))))</f>
        <v>108.36</v>
      </c>
      <c r="F70" s="641">
        <f t="shared" ref="F70:F133" si="15">ROUND(E70*1.4,2)</f>
        <v>151.69999999999999</v>
      </c>
    </row>
    <row r="71" spans="2:6" ht="18.75" thickBot="1" x14ac:dyDescent="0.35">
      <c r="B71" s="639">
        <v>67</v>
      </c>
      <c r="C71" s="640">
        <f>IF($C$2=15.5,'S3'!A71,IF($C$2=16.5,'S3'!B71,IF($C$2=17.5,'S3'!C71,IF($C$2=18.5,'S3'!D71,IF($C$2=19.5,'S3'!E71,IF($C$2=20.5,'S3'!F71,IF($C$2=21.5,'S3'!G71,IF($C$2=22.5,'S3'!H71,IF($C$2=23.5,'S3'!I71,IF($C$2=24.5,'S3'!J71,IF($C$2=25.5,'S3'!K71,IF($C$2=26.5,'S3'!L71,IF($C$2=27.5,'S3'!M71,IF($C$2=28.5,'S3'!N71,IF($C$2=29.5,'S3'!O71,IF($C$2=30.5,'S3'!P71,IF($C$2=31.5,'S3'!Q71,IF($C$2=32.5,'S3'!R71,IF($C$2=33.5,'S3'!S71,IF($C$2=34.5,'S3'!T71,IF($C$2=35.5,'S3'!U71)))))))))))))))))))))</f>
        <v>175.69</v>
      </c>
      <c r="D71" s="641">
        <f t="shared" ref="D71:D134" si="16">ROUND(C71*1.4,2)</f>
        <v>245.97</v>
      </c>
      <c r="E71" s="641">
        <f>IF($E$2=15.5,'S3'!AF71,IF($E$2=16.5,'S3'!AG71,IF($E$2=17.5,'S3'!AH71,IF($E$2=18.5,'S3'!AI71,IF($E$2=19.5,'S3'!AJ71,IF($E$2=20.5,'S3'!AK71,IF($E$2=21.5,'S3'!AL71,IF($E$2=22.5,'S3'!AM71,IF($E$2=23.5,'S3'!AN71,IF($E$2=24.5,'S3'!AO71,IF($E$2=25.5,'S3'!AP71,IF($E$2=26.5,'S3'!AQ71,IF($E$2=27.5,'S3'!AR71,IF($E$2=28.5,'S3'!AS71,IF($E$2=29.5,'S3'!AT71,IF($E$2=30.5,'S3'!AU71,IF($E$2=31.5,'S3'!AV71,IF($E$2=32.5,'S3'!AW71,IF($E$2=33.5,'S3'!AX71,IF($E$2=34.5,'S3'!AY71,IF($E$2=35.5,'S3'!AZ71)))))))))))))))))))))</f>
        <v>109.98</v>
      </c>
      <c r="F71" s="641">
        <f t="shared" si="15"/>
        <v>153.97</v>
      </c>
    </row>
    <row r="72" spans="2:6" ht="18.75" thickBot="1" x14ac:dyDescent="0.35">
      <c r="B72" s="639">
        <v>68</v>
      </c>
      <c r="C72" s="640">
        <f>IF($C$2=15.5,'S3'!A72,IF($C$2=16.5,'S3'!B72,IF($C$2=17.5,'S3'!C72,IF($C$2=18.5,'S3'!D72,IF($C$2=19.5,'S3'!E72,IF($C$2=20.5,'S3'!F72,IF($C$2=21.5,'S3'!G72,IF($C$2=22.5,'S3'!H72,IF($C$2=23.5,'S3'!I72,IF($C$2=24.5,'S3'!J72,IF($C$2=25.5,'S3'!K72,IF($C$2=26.5,'S3'!L72,IF($C$2=27.5,'S3'!M72,IF($C$2=28.5,'S3'!N72,IF($C$2=29.5,'S3'!O72,IF($C$2=30.5,'S3'!P72,IF($C$2=31.5,'S3'!Q72,IF($C$2=32.5,'S3'!R72,IF($C$2=33.5,'S3'!S72,IF($C$2=34.5,'S3'!T72,IF($C$2=35.5,'S3'!U72)))))))))))))))))))))</f>
        <v>178.25</v>
      </c>
      <c r="D72" s="641">
        <f t="shared" si="16"/>
        <v>249.55</v>
      </c>
      <c r="E72" s="641">
        <f>IF($E$2=15.5,'S3'!AF72,IF($E$2=16.5,'S3'!AG72,IF($E$2=17.5,'S3'!AH72,IF($E$2=18.5,'S3'!AI72,IF($E$2=19.5,'S3'!AJ72,IF($E$2=20.5,'S3'!AK72,IF($E$2=21.5,'S3'!AL72,IF($E$2=22.5,'S3'!AM72,IF($E$2=23.5,'S3'!AN72,IF($E$2=24.5,'S3'!AO72,IF($E$2=25.5,'S3'!AP72,IF($E$2=26.5,'S3'!AQ72,IF($E$2=27.5,'S3'!AR72,IF($E$2=28.5,'S3'!AS72,IF($E$2=29.5,'S3'!AT72,IF($E$2=30.5,'S3'!AU72,IF($E$2=31.5,'S3'!AV72,IF($E$2=32.5,'S3'!AW72,IF($E$2=33.5,'S3'!AX72,IF($E$2=34.5,'S3'!AY72,IF($E$2=35.5,'S3'!AZ72)))))))))))))))))))))</f>
        <v>111.61</v>
      </c>
      <c r="F72" s="641">
        <f t="shared" si="15"/>
        <v>156.25</v>
      </c>
    </row>
    <row r="73" spans="2:6" ht="18.75" thickBot="1" x14ac:dyDescent="0.35">
      <c r="B73" s="639">
        <v>69</v>
      </c>
      <c r="C73" s="640">
        <f>IF($C$2=15.5,'S3'!A73,IF($C$2=16.5,'S3'!B73,IF($C$2=17.5,'S3'!C73,IF($C$2=18.5,'S3'!D73,IF($C$2=19.5,'S3'!E73,IF($C$2=20.5,'S3'!F73,IF($C$2=21.5,'S3'!G73,IF($C$2=22.5,'S3'!H73,IF($C$2=23.5,'S3'!I73,IF($C$2=24.5,'S3'!J73,IF($C$2=25.5,'S3'!K73,IF($C$2=26.5,'S3'!L73,IF($C$2=27.5,'S3'!M73,IF($C$2=28.5,'S3'!N73,IF($C$2=29.5,'S3'!O73,IF($C$2=30.5,'S3'!P73,IF($C$2=31.5,'S3'!Q73,IF($C$2=32.5,'S3'!R73,IF($C$2=33.5,'S3'!S73,IF($C$2=34.5,'S3'!T73,IF($C$2=35.5,'S3'!U73)))))))))))))))))))))</f>
        <v>180.9</v>
      </c>
      <c r="D73" s="641">
        <f t="shared" si="16"/>
        <v>253.26</v>
      </c>
      <c r="E73" s="641">
        <f>IF($E$2=15.5,'S3'!AF73,IF($E$2=16.5,'S3'!AG73,IF($E$2=17.5,'S3'!AH73,IF($E$2=18.5,'S3'!AI73,IF($E$2=19.5,'S3'!AJ73,IF($E$2=20.5,'S3'!AK73,IF($E$2=21.5,'S3'!AL73,IF($E$2=22.5,'S3'!AM73,IF($E$2=23.5,'S3'!AN73,IF($E$2=24.5,'S3'!AO73,IF($E$2=25.5,'S3'!AP73,IF($E$2=26.5,'S3'!AQ73,IF($E$2=27.5,'S3'!AR73,IF($E$2=28.5,'S3'!AS73,IF($E$2=29.5,'S3'!AT73,IF($E$2=30.5,'S3'!AU73,IF($E$2=31.5,'S3'!AV73,IF($E$2=32.5,'S3'!AW73,IF($E$2=33.5,'S3'!AX73,IF($E$2=34.5,'S3'!AY73,IF($E$2=35.5,'S3'!AZ73)))))))))))))))))))))</f>
        <v>113.24</v>
      </c>
      <c r="F73" s="641">
        <f t="shared" si="15"/>
        <v>158.54</v>
      </c>
    </row>
    <row r="74" spans="2:6" ht="18.75" thickBot="1" x14ac:dyDescent="0.35">
      <c r="B74" s="639">
        <v>70</v>
      </c>
      <c r="C74" s="640">
        <f>IF($C$2=15.5,'S3'!A74,IF($C$2=16.5,'S3'!B74,IF($C$2=17.5,'S3'!C74,IF($C$2=18.5,'S3'!D74,IF($C$2=19.5,'S3'!E74,IF($C$2=20.5,'S3'!F74,IF($C$2=21.5,'S3'!G74,IF($C$2=22.5,'S3'!H74,IF($C$2=23.5,'S3'!I74,IF($C$2=24.5,'S3'!J74,IF($C$2=25.5,'S3'!K74,IF($C$2=26.5,'S3'!L74,IF($C$2=27.5,'S3'!M74,IF($C$2=28.5,'S3'!N74,IF($C$2=29.5,'S3'!O74,IF($C$2=30.5,'S3'!P74,IF($C$2=31.5,'S3'!Q74,IF($C$2=32.5,'S3'!R74,IF($C$2=33.5,'S3'!S74,IF($C$2=34.5,'S3'!T74,IF($C$2=35.5,'S3'!U74)))))))))))))))))))))</f>
        <v>183.48</v>
      </c>
      <c r="D74" s="641">
        <f t="shared" si="16"/>
        <v>256.87</v>
      </c>
      <c r="E74" s="641">
        <f>IF($E$2=15.5,'S3'!AF74,IF($E$2=16.5,'S3'!AG74,IF($E$2=17.5,'S3'!AH74,IF($E$2=18.5,'S3'!AI74,IF($E$2=19.5,'S3'!AJ74,IF($E$2=20.5,'S3'!AK74,IF($E$2=21.5,'S3'!AL74,IF($E$2=22.5,'S3'!AM74,IF($E$2=23.5,'S3'!AN74,IF($E$2=24.5,'S3'!AO74,IF($E$2=25.5,'S3'!AP74,IF($E$2=26.5,'S3'!AQ74,IF($E$2=27.5,'S3'!AR74,IF($E$2=28.5,'S3'!AS74,IF($E$2=29.5,'S3'!AT74,IF($E$2=30.5,'S3'!AU74,IF($E$2=31.5,'S3'!AV74,IF($E$2=32.5,'S3'!AW74,IF($E$2=33.5,'S3'!AX74,IF($E$2=34.5,'S3'!AY74,IF($E$2=35.5,'S3'!AZ74)))))))))))))))))))))</f>
        <v>114.88</v>
      </c>
      <c r="F74" s="641">
        <f t="shared" si="15"/>
        <v>160.83000000000001</v>
      </c>
    </row>
    <row r="75" spans="2:6" ht="18.75" thickBot="1" x14ac:dyDescent="0.35">
      <c r="B75" s="639">
        <v>71</v>
      </c>
      <c r="C75" s="640">
        <f>IF($C$2=15.5,'S3'!A75,IF($C$2=16.5,'S3'!B75,IF($C$2=17.5,'S3'!C75,IF($C$2=18.5,'S3'!D75,IF($C$2=19.5,'S3'!E75,IF($C$2=20.5,'S3'!F75,IF($C$2=21.5,'S3'!G75,IF($C$2=22.5,'S3'!H75,IF($C$2=23.5,'S3'!I75,IF($C$2=24.5,'S3'!J75,IF($C$2=25.5,'S3'!K75,IF($C$2=26.5,'S3'!L75,IF($C$2=27.5,'S3'!M75,IF($C$2=28.5,'S3'!N75,IF($C$2=29.5,'S3'!O75,IF($C$2=30.5,'S3'!P75,IF($C$2=31.5,'S3'!Q75,IF($C$2=32.5,'S3'!R75,IF($C$2=33.5,'S3'!S75,IF($C$2=34.5,'S3'!T75,IF($C$2=35.5,'S3'!U75)))))))))))))))))))))</f>
        <v>186.07</v>
      </c>
      <c r="D75" s="641">
        <f t="shared" si="16"/>
        <v>260.5</v>
      </c>
      <c r="E75" s="641">
        <f>IF($E$2=15.5,'S3'!AF75,IF($E$2=16.5,'S3'!AG75,IF($E$2=17.5,'S3'!AH75,IF($E$2=18.5,'S3'!AI75,IF($E$2=19.5,'S3'!AJ75,IF($E$2=20.5,'S3'!AK75,IF($E$2=21.5,'S3'!AL75,IF($E$2=22.5,'S3'!AM75,IF($E$2=23.5,'S3'!AN75,IF($E$2=24.5,'S3'!AO75,IF($E$2=25.5,'S3'!AP75,IF($E$2=26.5,'S3'!AQ75,IF($E$2=27.5,'S3'!AR75,IF($E$2=28.5,'S3'!AS75,IF($E$2=29.5,'S3'!AT75,IF($E$2=30.5,'S3'!AU75,IF($E$2=31.5,'S3'!AV75,IF($E$2=32.5,'S3'!AW75,IF($E$2=33.5,'S3'!AX75,IF($E$2=34.5,'S3'!AY75,IF($E$2=35.5,'S3'!AZ75)))))))))))))))))))))</f>
        <v>116.52</v>
      </c>
      <c r="F75" s="641">
        <f t="shared" si="15"/>
        <v>163.13</v>
      </c>
    </row>
    <row r="76" spans="2:6" ht="18.75" thickBot="1" x14ac:dyDescent="0.35">
      <c r="B76" s="639">
        <v>72</v>
      </c>
      <c r="C76" s="640">
        <f>IF($C$2=15.5,'S3'!A76,IF($C$2=16.5,'S3'!B76,IF($C$2=17.5,'S3'!C76,IF($C$2=18.5,'S3'!D76,IF($C$2=19.5,'S3'!E76,IF($C$2=20.5,'S3'!F76,IF($C$2=21.5,'S3'!G76,IF($C$2=22.5,'S3'!H76,IF($C$2=23.5,'S3'!I76,IF($C$2=24.5,'S3'!J76,IF($C$2=25.5,'S3'!K76,IF($C$2=26.5,'S3'!L76,IF($C$2=27.5,'S3'!M76,IF($C$2=28.5,'S3'!N76,IF($C$2=29.5,'S3'!O76,IF($C$2=30.5,'S3'!P76,IF($C$2=31.5,'S3'!Q76,IF($C$2=32.5,'S3'!R76,IF($C$2=33.5,'S3'!S76,IF($C$2=34.5,'S3'!T76,IF($C$2=35.5,'S3'!U76)))))))))))))))))))))</f>
        <v>188.68</v>
      </c>
      <c r="D76" s="641">
        <f t="shared" si="16"/>
        <v>264.14999999999998</v>
      </c>
      <c r="E76" s="641">
        <f>IF($E$2=15.5,'S3'!AF76,IF($E$2=16.5,'S3'!AG76,IF($E$2=17.5,'S3'!AH76,IF($E$2=18.5,'S3'!AI76,IF($E$2=19.5,'S3'!AJ76,IF($E$2=20.5,'S3'!AK76,IF($E$2=21.5,'S3'!AL76,IF($E$2=22.5,'S3'!AM76,IF($E$2=23.5,'S3'!AN76,IF($E$2=24.5,'S3'!AO76,IF($E$2=25.5,'S3'!AP76,IF($E$2=26.5,'S3'!AQ76,IF($E$2=27.5,'S3'!AR76,IF($E$2=28.5,'S3'!AS76,IF($E$2=29.5,'S3'!AT76,IF($E$2=30.5,'S3'!AU76,IF($E$2=31.5,'S3'!AV76,IF($E$2=32.5,'S3'!AW76,IF($E$2=33.5,'S3'!AX76,IF($E$2=34.5,'S3'!AY76,IF($E$2=35.5,'S3'!AZ76)))))))))))))))))))))</f>
        <v>118.16</v>
      </c>
      <c r="F76" s="641">
        <f t="shared" si="15"/>
        <v>165.42</v>
      </c>
    </row>
    <row r="77" spans="2:6" ht="18.75" thickBot="1" x14ac:dyDescent="0.35">
      <c r="B77" s="639">
        <v>73</v>
      </c>
      <c r="C77" s="640">
        <f>IF($C$2=15.5,'S3'!A77,IF($C$2=16.5,'S3'!B77,IF($C$2=17.5,'S3'!C77,IF($C$2=18.5,'S3'!D77,IF($C$2=19.5,'S3'!E77,IF($C$2=20.5,'S3'!F77,IF($C$2=21.5,'S3'!G77,IF($C$2=22.5,'S3'!H77,IF($C$2=23.5,'S3'!I77,IF($C$2=24.5,'S3'!J77,IF($C$2=25.5,'S3'!K77,IF($C$2=26.5,'S3'!L77,IF($C$2=27.5,'S3'!M77,IF($C$2=28.5,'S3'!N77,IF($C$2=29.5,'S3'!O77,IF($C$2=30.5,'S3'!P77,IF($C$2=31.5,'S3'!Q77,IF($C$2=32.5,'S3'!R77,IF($C$2=33.5,'S3'!S77,IF($C$2=34.5,'S3'!T77,IF($C$2=35.5,'S3'!U77)))))))))))))))))))))</f>
        <v>191.3</v>
      </c>
      <c r="D77" s="641">
        <f t="shared" si="16"/>
        <v>267.82</v>
      </c>
      <c r="E77" s="641">
        <f>IF($E$2=15.5,'S3'!AF77,IF($E$2=16.5,'S3'!AG77,IF($E$2=17.5,'S3'!AH77,IF($E$2=18.5,'S3'!AI77,IF($E$2=19.5,'S3'!AJ77,IF($E$2=20.5,'S3'!AK77,IF($E$2=21.5,'S3'!AL77,IF($E$2=22.5,'S3'!AM77,IF($E$2=23.5,'S3'!AN77,IF($E$2=24.5,'S3'!AO77,IF($E$2=25.5,'S3'!AP77,IF($E$2=26.5,'S3'!AQ77,IF($E$2=27.5,'S3'!AR77,IF($E$2=28.5,'S3'!AS77,IF($E$2=29.5,'S3'!AT77,IF($E$2=30.5,'S3'!AU77,IF($E$2=31.5,'S3'!AV77,IF($E$2=32.5,'S3'!AW77,IF($E$2=33.5,'S3'!AX77,IF($E$2=34.5,'S3'!AY77,IF($E$2=35.5,'S3'!AZ77)))))))))))))))))))))</f>
        <v>119.78</v>
      </c>
      <c r="F77" s="641">
        <f t="shared" si="15"/>
        <v>167.69</v>
      </c>
    </row>
    <row r="78" spans="2:6" ht="18.75" thickBot="1" x14ac:dyDescent="0.35">
      <c r="B78" s="639">
        <v>74</v>
      </c>
      <c r="C78" s="640">
        <f>IF($C$2=15.5,'S3'!A78,IF($C$2=16.5,'S3'!B78,IF($C$2=17.5,'S3'!C78,IF($C$2=18.5,'S3'!D78,IF($C$2=19.5,'S3'!E78,IF($C$2=20.5,'S3'!F78,IF($C$2=21.5,'S3'!G78,IF($C$2=22.5,'S3'!H78,IF($C$2=23.5,'S3'!I78,IF($C$2=24.5,'S3'!J78,IF($C$2=25.5,'S3'!K78,IF($C$2=26.5,'S3'!L78,IF($C$2=27.5,'S3'!M78,IF($C$2=28.5,'S3'!N78,IF($C$2=29.5,'S3'!O78,IF($C$2=30.5,'S3'!P78,IF($C$2=31.5,'S3'!Q78,IF($C$2=32.5,'S3'!R78,IF($C$2=33.5,'S3'!S78,IF($C$2=34.5,'S3'!T78,IF($C$2=35.5,'S3'!U78)))))))))))))))))))))</f>
        <v>193.93</v>
      </c>
      <c r="D78" s="641">
        <f t="shared" si="16"/>
        <v>271.5</v>
      </c>
      <c r="E78" s="641">
        <f>IF($E$2=15.5,'S3'!AF78,IF($E$2=16.5,'S3'!AG78,IF($E$2=17.5,'S3'!AH78,IF($E$2=18.5,'S3'!AI78,IF($E$2=19.5,'S3'!AJ78,IF($E$2=20.5,'S3'!AK78,IF($E$2=21.5,'S3'!AL78,IF($E$2=22.5,'S3'!AM78,IF($E$2=23.5,'S3'!AN78,IF($E$2=24.5,'S3'!AO78,IF($E$2=25.5,'S3'!AP78,IF($E$2=26.5,'S3'!AQ78,IF($E$2=27.5,'S3'!AR78,IF($E$2=28.5,'S3'!AS78,IF($E$2=29.5,'S3'!AT78,IF($E$2=30.5,'S3'!AU78,IF($E$2=31.5,'S3'!AV78,IF($E$2=32.5,'S3'!AW78,IF($E$2=33.5,'S3'!AX78,IF($E$2=34.5,'S3'!AY78,IF($E$2=35.5,'S3'!AZ78)))))))))))))))))))))</f>
        <v>121.43</v>
      </c>
      <c r="F78" s="641">
        <f t="shared" si="15"/>
        <v>170</v>
      </c>
    </row>
    <row r="79" spans="2:6" ht="18.75" thickBot="1" x14ac:dyDescent="0.35">
      <c r="B79" s="639">
        <v>75</v>
      </c>
      <c r="C79" s="640">
        <f>IF($C$2=15.5,'S3'!A79,IF($C$2=16.5,'S3'!B79,IF($C$2=17.5,'S3'!C79,IF($C$2=18.5,'S3'!D79,IF($C$2=19.5,'S3'!E79,IF($C$2=20.5,'S3'!F79,IF($C$2=21.5,'S3'!G79,IF($C$2=22.5,'S3'!H79,IF($C$2=23.5,'S3'!I79,IF($C$2=24.5,'S3'!J79,IF($C$2=25.5,'S3'!K79,IF($C$2=26.5,'S3'!L79,IF($C$2=27.5,'S3'!M79,IF($C$2=28.5,'S3'!N79,IF($C$2=29.5,'S3'!O79,IF($C$2=30.5,'S3'!P79,IF($C$2=31.5,'S3'!Q79,IF($C$2=32.5,'S3'!R79,IF($C$2=33.5,'S3'!S79,IF($C$2=34.5,'S3'!T79,IF($C$2=35.5,'S3'!U79)))))))))))))))))))))</f>
        <v>196.48</v>
      </c>
      <c r="D79" s="641">
        <f t="shared" si="16"/>
        <v>275.07</v>
      </c>
      <c r="E79" s="641">
        <f>IF($E$2=15.5,'S3'!AF79,IF($E$2=16.5,'S3'!AG79,IF($E$2=17.5,'S3'!AH79,IF($E$2=18.5,'S3'!AI79,IF($E$2=19.5,'S3'!AJ79,IF($E$2=20.5,'S3'!AK79,IF($E$2=21.5,'S3'!AL79,IF($E$2=22.5,'S3'!AM79,IF($E$2=23.5,'S3'!AN79,IF($E$2=24.5,'S3'!AO79,IF($E$2=25.5,'S3'!AP79,IF($E$2=26.5,'S3'!AQ79,IF($E$2=27.5,'S3'!AR79,IF($E$2=28.5,'S3'!AS79,IF($E$2=29.5,'S3'!AT79,IF($E$2=30.5,'S3'!AU79,IF($E$2=31.5,'S3'!AV79,IF($E$2=32.5,'S3'!AW79,IF($E$2=33.5,'S3'!AX79,IF($E$2=34.5,'S3'!AY79,IF($E$2=35.5,'S3'!AZ79)))))))))))))))))))))</f>
        <v>123.05</v>
      </c>
      <c r="F79" s="641">
        <f t="shared" si="15"/>
        <v>172.27</v>
      </c>
    </row>
    <row r="80" spans="2:6" ht="18.75" thickBot="1" x14ac:dyDescent="0.35">
      <c r="B80" s="639">
        <v>76</v>
      </c>
      <c r="C80" s="640">
        <f>IF($C$2=15.5,'S3'!A80,IF($C$2=16.5,'S3'!B80,IF($C$2=17.5,'S3'!C80,IF($C$2=18.5,'S3'!D80,IF($C$2=19.5,'S3'!E80,IF($C$2=20.5,'S3'!F80,IF($C$2=21.5,'S3'!G80,IF($C$2=22.5,'S3'!H80,IF($C$2=23.5,'S3'!I80,IF($C$2=24.5,'S3'!J80,IF($C$2=25.5,'S3'!K80,IF($C$2=26.5,'S3'!L80,IF($C$2=27.5,'S3'!M80,IF($C$2=28.5,'S3'!N80,IF($C$2=29.5,'S3'!O80,IF($C$2=30.5,'S3'!P80,IF($C$2=31.5,'S3'!Q80,IF($C$2=32.5,'S3'!R80,IF($C$2=33.5,'S3'!S80,IF($C$2=34.5,'S3'!T80,IF($C$2=35.5,'S3'!U80)))))))))))))))))))))</f>
        <v>199.13</v>
      </c>
      <c r="D80" s="641">
        <f t="shared" si="16"/>
        <v>278.77999999999997</v>
      </c>
      <c r="E80" s="641">
        <f>IF($E$2=15.5,'S3'!AF80,IF($E$2=16.5,'S3'!AG80,IF($E$2=17.5,'S3'!AH80,IF($E$2=18.5,'S3'!AI80,IF($E$2=19.5,'S3'!AJ80,IF($E$2=20.5,'S3'!AK80,IF($E$2=21.5,'S3'!AL80,IF($E$2=22.5,'S3'!AM80,IF($E$2=23.5,'S3'!AN80,IF($E$2=24.5,'S3'!AO80,IF($E$2=25.5,'S3'!AP80,IF($E$2=26.5,'S3'!AQ80,IF($E$2=27.5,'S3'!AR80,IF($E$2=28.5,'S3'!AS80,IF($E$2=29.5,'S3'!AT80,IF($E$2=30.5,'S3'!AU80,IF($E$2=31.5,'S3'!AV80,IF($E$2=32.5,'S3'!AW80,IF($E$2=33.5,'S3'!AX80,IF($E$2=34.5,'S3'!AY80,IF($E$2=35.5,'S3'!AZ80)))))))))))))))))))))</f>
        <v>124.68</v>
      </c>
      <c r="F80" s="641">
        <f t="shared" si="15"/>
        <v>174.55</v>
      </c>
    </row>
    <row r="81" spans="2:6" ht="18.75" thickBot="1" x14ac:dyDescent="0.35">
      <c r="B81" s="639">
        <v>77</v>
      </c>
      <c r="C81" s="640">
        <f>IF($C$2=15.5,'S3'!A81,IF($C$2=16.5,'S3'!B81,IF($C$2=17.5,'S3'!C81,IF($C$2=18.5,'S3'!D81,IF($C$2=19.5,'S3'!E81,IF($C$2=20.5,'S3'!F81,IF($C$2=21.5,'S3'!G81,IF($C$2=22.5,'S3'!H81,IF($C$2=23.5,'S3'!I81,IF($C$2=24.5,'S3'!J81,IF($C$2=25.5,'S3'!K81,IF($C$2=26.5,'S3'!L81,IF($C$2=27.5,'S3'!M81,IF($C$2=28.5,'S3'!N81,IF($C$2=29.5,'S3'!O81,IF($C$2=30.5,'S3'!P81,IF($C$2=31.5,'S3'!Q81,IF($C$2=32.5,'S3'!R81,IF($C$2=33.5,'S3'!S81,IF($C$2=34.5,'S3'!T81,IF($C$2=35.5,'S3'!U81)))))))))))))))))))))</f>
        <v>201.7</v>
      </c>
      <c r="D81" s="641">
        <f t="shared" si="16"/>
        <v>282.38</v>
      </c>
      <c r="E81" s="641">
        <f>IF($E$2=15.5,'S3'!AF81,IF($E$2=16.5,'S3'!AG81,IF($E$2=17.5,'S3'!AH81,IF($E$2=18.5,'S3'!AI81,IF($E$2=19.5,'S3'!AJ81,IF($E$2=20.5,'S3'!AK81,IF($E$2=21.5,'S3'!AL81,IF($E$2=22.5,'S3'!AM81,IF($E$2=23.5,'S3'!AN81,IF($E$2=24.5,'S3'!AO81,IF($E$2=25.5,'S3'!AP81,IF($E$2=26.5,'S3'!AQ81,IF($E$2=27.5,'S3'!AR81,IF($E$2=28.5,'S3'!AS81,IF($E$2=29.5,'S3'!AT81,IF($E$2=30.5,'S3'!AU81,IF($E$2=31.5,'S3'!AV81,IF($E$2=32.5,'S3'!AW81,IF($E$2=33.5,'S3'!AX81,IF($E$2=34.5,'S3'!AY81,IF($E$2=35.5,'S3'!AZ81)))))))))))))))))))))</f>
        <v>126.31</v>
      </c>
      <c r="F81" s="641">
        <f t="shared" si="15"/>
        <v>176.83</v>
      </c>
    </row>
    <row r="82" spans="2:6" ht="18.75" thickBot="1" x14ac:dyDescent="0.35">
      <c r="B82" s="639">
        <v>78</v>
      </c>
      <c r="C82" s="640">
        <f>IF($C$2=15.5,'S3'!A82,IF($C$2=16.5,'S3'!B82,IF($C$2=17.5,'S3'!C82,IF($C$2=18.5,'S3'!D82,IF($C$2=19.5,'S3'!E82,IF($C$2=20.5,'S3'!F82,IF($C$2=21.5,'S3'!G82,IF($C$2=22.5,'S3'!H82,IF($C$2=23.5,'S3'!I82,IF($C$2=24.5,'S3'!J82,IF($C$2=25.5,'S3'!K82,IF($C$2=26.5,'S3'!L82,IF($C$2=27.5,'S3'!M82,IF($C$2=28.5,'S3'!N82,IF($C$2=29.5,'S3'!O82,IF($C$2=30.5,'S3'!P82,IF($C$2=31.5,'S3'!Q82,IF($C$2=32.5,'S3'!R82,IF($C$2=33.5,'S3'!S82,IF($C$2=34.5,'S3'!T82,IF($C$2=35.5,'S3'!U82)))))))))))))))))))))</f>
        <v>204.27</v>
      </c>
      <c r="D82" s="641">
        <f t="shared" si="16"/>
        <v>285.98</v>
      </c>
      <c r="E82" s="641">
        <f>IF($E$2=15.5,'S3'!AF82,IF($E$2=16.5,'S3'!AG82,IF($E$2=17.5,'S3'!AH82,IF($E$2=18.5,'S3'!AI82,IF($E$2=19.5,'S3'!AJ82,IF($E$2=20.5,'S3'!AK82,IF($E$2=21.5,'S3'!AL82,IF($E$2=22.5,'S3'!AM82,IF($E$2=23.5,'S3'!AN82,IF($E$2=24.5,'S3'!AO82,IF($E$2=25.5,'S3'!AP82,IF($E$2=26.5,'S3'!AQ82,IF($E$2=27.5,'S3'!AR82,IF($E$2=28.5,'S3'!AS82,IF($E$2=29.5,'S3'!AT82,IF($E$2=30.5,'S3'!AU82,IF($E$2=31.5,'S3'!AV82,IF($E$2=32.5,'S3'!AW82,IF($E$2=33.5,'S3'!AX82,IF($E$2=34.5,'S3'!AY82,IF($E$2=35.5,'S3'!AZ82)))))))))))))))))))))</f>
        <v>127.94</v>
      </c>
      <c r="F82" s="641">
        <f t="shared" si="15"/>
        <v>179.12</v>
      </c>
    </row>
    <row r="83" spans="2:6" ht="18.75" thickBot="1" x14ac:dyDescent="0.35">
      <c r="B83" s="639">
        <v>79</v>
      </c>
      <c r="C83" s="640">
        <f>IF($C$2=15.5,'S3'!A83,IF($C$2=16.5,'S3'!B83,IF($C$2=17.5,'S3'!C83,IF($C$2=18.5,'S3'!D83,IF($C$2=19.5,'S3'!E83,IF($C$2=20.5,'S3'!F83,IF($C$2=21.5,'S3'!G83,IF($C$2=22.5,'S3'!H83,IF($C$2=23.5,'S3'!I83,IF($C$2=24.5,'S3'!J83,IF($C$2=25.5,'S3'!K83,IF($C$2=26.5,'S3'!L83,IF($C$2=27.5,'S3'!M83,IF($C$2=28.5,'S3'!N83,IF($C$2=29.5,'S3'!O83,IF($C$2=30.5,'S3'!P83,IF($C$2=31.5,'S3'!Q83,IF($C$2=32.5,'S3'!R83,IF($C$2=33.5,'S3'!S83,IF($C$2=34.5,'S3'!T83,IF($C$2=35.5,'S3'!U83)))))))))))))))))))))</f>
        <v>206.97</v>
      </c>
      <c r="D83" s="641">
        <f t="shared" si="16"/>
        <v>289.76</v>
      </c>
      <c r="E83" s="641">
        <f>IF($E$2=15.5,'S3'!AF83,IF($E$2=16.5,'S3'!AG83,IF($E$2=17.5,'S3'!AH83,IF($E$2=18.5,'S3'!AI83,IF($E$2=19.5,'S3'!AJ83,IF($E$2=20.5,'S3'!AK83,IF($E$2=21.5,'S3'!AL83,IF($E$2=22.5,'S3'!AM83,IF($E$2=23.5,'S3'!AN83,IF($E$2=24.5,'S3'!AO83,IF($E$2=25.5,'S3'!AP83,IF($E$2=26.5,'S3'!AQ83,IF($E$2=27.5,'S3'!AR83,IF($E$2=28.5,'S3'!AS83,IF($E$2=29.5,'S3'!AT83,IF($E$2=30.5,'S3'!AU83,IF($E$2=31.5,'S3'!AV83,IF($E$2=32.5,'S3'!AW83,IF($E$2=33.5,'S3'!AX83,IF($E$2=34.5,'S3'!AY83,IF($E$2=35.5,'S3'!AZ83)))))))))))))))))))))</f>
        <v>129.58000000000001</v>
      </c>
      <c r="F83" s="641">
        <f t="shared" si="15"/>
        <v>181.41</v>
      </c>
    </row>
    <row r="84" spans="2:6" ht="18.75" thickBot="1" x14ac:dyDescent="0.35">
      <c r="B84" s="639">
        <v>80</v>
      </c>
      <c r="C84" s="640">
        <f>IF($C$2=15.5,'S3'!A84,IF($C$2=16.5,'S3'!B84,IF($C$2=17.5,'S3'!C84,IF($C$2=18.5,'S3'!D84,IF($C$2=19.5,'S3'!E84,IF($C$2=20.5,'S3'!F84,IF($C$2=21.5,'S3'!G84,IF($C$2=22.5,'S3'!H84,IF($C$2=23.5,'S3'!I84,IF($C$2=24.5,'S3'!J84,IF($C$2=25.5,'S3'!K84,IF($C$2=26.5,'S3'!L84,IF($C$2=27.5,'S3'!M84,IF($C$2=28.5,'S3'!N84,IF($C$2=29.5,'S3'!O84,IF($C$2=30.5,'S3'!P84,IF($C$2=31.5,'S3'!Q84,IF($C$2=32.5,'S3'!R84,IF($C$2=33.5,'S3'!S84,IF($C$2=34.5,'S3'!T84,IF($C$2=35.5,'S3'!U84)))))))))))))))))))))</f>
        <v>209.57</v>
      </c>
      <c r="D84" s="641">
        <f t="shared" si="16"/>
        <v>293.39999999999998</v>
      </c>
      <c r="E84" s="641">
        <f>IF($E$2=15.5,'S3'!AF84,IF($E$2=16.5,'S3'!AG84,IF($E$2=17.5,'S3'!AH84,IF($E$2=18.5,'S3'!AI84,IF($E$2=19.5,'S3'!AJ84,IF($E$2=20.5,'S3'!AK84,IF($E$2=21.5,'S3'!AL84,IF($E$2=22.5,'S3'!AM84,IF($E$2=23.5,'S3'!AN84,IF($E$2=24.5,'S3'!AO84,IF($E$2=25.5,'S3'!AP84,IF($E$2=26.5,'S3'!AQ84,IF($E$2=27.5,'S3'!AR84,IF($E$2=28.5,'S3'!AS84,IF($E$2=29.5,'S3'!AT84,IF($E$2=30.5,'S3'!AU84,IF($E$2=31.5,'S3'!AV84,IF($E$2=32.5,'S3'!AW84,IF($E$2=33.5,'S3'!AX84,IF($E$2=34.5,'S3'!AY84,IF($E$2=35.5,'S3'!AZ84)))))))))))))))))))))</f>
        <v>131.21</v>
      </c>
      <c r="F84" s="641">
        <f t="shared" si="15"/>
        <v>183.69</v>
      </c>
    </row>
    <row r="85" spans="2:6" ht="18.75" thickBot="1" x14ac:dyDescent="0.35">
      <c r="B85" s="639">
        <v>81</v>
      </c>
      <c r="C85" s="640">
        <f>IF($C$2=15.5,'S3'!A85,IF($C$2=16.5,'S3'!B85,IF($C$2=17.5,'S3'!C85,IF($C$2=18.5,'S3'!D85,IF($C$2=19.5,'S3'!E85,IF($C$2=20.5,'S3'!F85,IF($C$2=21.5,'S3'!G85,IF($C$2=22.5,'S3'!H85,IF($C$2=23.5,'S3'!I85,IF($C$2=24.5,'S3'!J85,IF($C$2=25.5,'S3'!K85,IF($C$2=26.5,'S3'!L85,IF($C$2=27.5,'S3'!M85,IF($C$2=28.5,'S3'!N85,IF($C$2=29.5,'S3'!O85,IF($C$2=30.5,'S3'!P85,IF($C$2=31.5,'S3'!Q85,IF($C$2=32.5,'S3'!R85,IF($C$2=33.5,'S3'!S85,IF($C$2=34.5,'S3'!T85,IF($C$2=35.5,'S3'!U85)))))))))))))))))))))</f>
        <v>212.18</v>
      </c>
      <c r="D85" s="641">
        <f t="shared" si="16"/>
        <v>297.05</v>
      </c>
      <c r="E85" s="641">
        <f>IF($E$2=15.5,'S3'!AF85,IF($E$2=16.5,'S3'!AG85,IF($E$2=17.5,'S3'!AH85,IF($E$2=18.5,'S3'!AI85,IF($E$2=19.5,'S3'!AJ85,IF($E$2=20.5,'S3'!AK85,IF($E$2=21.5,'S3'!AL85,IF($E$2=22.5,'S3'!AM85,IF($E$2=23.5,'S3'!AN85,IF($E$2=24.5,'S3'!AO85,IF($E$2=25.5,'S3'!AP85,IF($E$2=26.5,'S3'!AQ85,IF($E$2=27.5,'S3'!AR85,IF($E$2=28.5,'S3'!AS85,IF($E$2=29.5,'S3'!AT85,IF($E$2=30.5,'S3'!AU85,IF($E$2=31.5,'S3'!AV85,IF($E$2=32.5,'S3'!AW85,IF($E$2=33.5,'S3'!AX85,IF($E$2=34.5,'S3'!AY85,IF($E$2=35.5,'S3'!AZ85)))))))))))))))))))))</f>
        <v>132.85</v>
      </c>
      <c r="F85" s="641">
        <f t="shared" si="15"/>
        <v>185.99</v>
      </c>
    </row>
    <row r="86" spans="2:6" ht="18.75" thickBot="1" x14ac:dyDescent="0.35">
      <c r="B86" s="639">
        <v>82</v>
      </c>
      <c r="C86" s="640">
        <f>IF($C$2=15.5,'S3'!A86,IF($C$2=16.5,'S3'!B86,IF($C$2=17.5,'S3'!C86,IF($C$2=18.5,'S3'!D86,IF($C$2=19.5,'S3'!E86,IF($C$2=20.5,'S3'!F86,IF($C$2=21.5,'S3'!G86,IF($C$2=22.5,'S3'!H86,IF($C$2=23.5,'S3'!I86,IF($C$2=24.5,'S3'!J86,IF($C$2=25.5,'S3'!K86,IF($C$2=26.5,'S3'!L86,IF($C$2=27.5,'S3'!M86,IF($C$2=28.5,'S3'!N86,IF($C$2=29.5,'S3'!O86,IF($C$2=30.5,'S3'!P86,IF($C$2=31.5,'S3'!Q86,IF($C$2=32.5,'S3'!R86,IF($C$2=33.5,'S3'!S86,IF($C$2=34.5,'S3'!T86,IF($C$2=35.5,'S3'!U86)))))))))))))))))))))</f>
        <v>214.68</v>
      </c>
      <c r="D86" s="641">
        <f t="shared" si="16"/>
        <v>300.55</v>
      </c>
      <c r="E86" s="641">
        <f>IF($E$2=15.5,'S3'!AF86,IF($E$2=16.5,'S3'!AG86,IF($E$2=17.5,'S3'!AH86,IF($E$2=18.5,'S3'!AI86,IF($E$2=19.5,'S3'!AJ86,IF($E$2=20.5,'S3'!AK86,IF($E$2=21.5,'S3'!AL86,IF($E$2=22.5,'S3'!AM86,IF($E$2=23.5,'S3'!AN86,IF($E$2=24.5,'S3'!AO86,IF($E$2=25.5,'S3'!AP86,IF($E$2=26.5,'S3'!AQ86,IF($E$2=27.5,'S3'!AR86,IF($E$2=28.5,'S3'!AS86,IF($E$2=29.5,'S3'!AT86,IF($E$2=30.5,'S3'!AU86,IF($E$2=31.5,'S3'!AV86,IF($E$2=32.5,'S3'!AW86,IF($E$2=33.5,'S3'!AX86,IF($E$2=34.5,'S3'!AY86,IF($E$2=35.5,'S3'!AZ86)))))))))))))))))))))</f>
        <v>134.47</v>
      </c>
      <c r="F86" s="641">
        <f t="shared" si="15"/>
        <v>188.26</v>
      </c>
    </row>
    <row r="87" spans="2:6" ht="18.75" thickBot="1" x14ac:dyDescent="0.35">
      <c r="B87" s="639">
        <v>83</v>
      </c>
      <c r="C87" s="640">
        <f>IF($C$2=15.5,'S3'!A87,IF($C$2=16.5,'S3'!B87,IF($C$2=17.5,'S3'!C87,IF($C$2=18.5,'S3'!D87,IF($C$2=19.5,'S3'!E87,IF($C$2=20.5,'S3'!F87,IF($C$2=21.5,'S3'!G87,IF($C$2=22.5,'S3'!H87,IF($C$2=23.5,'S3'!I87,IF($C$2=24.5,'S3'!J87,IF($C$2=25.5,'S3'!K87,IF($C$2=26.5,'S3'!L87,IF($C$2=27.5,'S3'!M87,IF($C$2=28.5,'S3'!N87,IF($C$2=29.5,'S3'!O87,IF($C$2=30.5,'S3'!P87,IF($C$2=31.5,'S3'!Q87,IF($C$2=32.5,'S3'!R87,IF($C$2=33.5,'S3'!S87,IF($C$2=34.5,'S3'!T87,IF($C$2=35.5,'S3'!U87)))))))))))))))))))))</f>
        <v>217.31</v>
      </c>
      <c r="D87" s="641">
        <f t="shared" si="16"/>
        <v>304.23</v>
      </c>
      <c r="E87" s="641">
        <f>IF($E$2=15.5,'S3'!AF87,IF($E$2=16.5,'S3'!AG87,IF($E$2=17.5,'S3'!AH87,IF($E$2=18.5,'S3'!AI87,IF($E$2=19.5,'S3'!AJ87,IF($E$2=20.5,'S3'!AK87,IF($E$2=21.5,'S3'!AL87,IF($E$2=22.5,'S3'!AM87,IF($E$2=23.5,'S3'!AN87,IF($E$2=24.5,'S3'!AO87,IF($E$2=25.5,'S3'!AP87,IF($E$2=26.5,'S3'!AQ87,IF($E$2=27.5,'S3'!AR87,IF($E$2=28.5,'S3'!AS87,IF($E$2=29.5,'S3'!AT87,IF($E$2=30.5,'S3'!AU87,IF($E$2=31.5,'S3'!AV87,IF($E$2=32.5,'S3'!AW87,IF($E$2=33.5,'S3'!AX87,IF($E$2=34.5,'S3'!AY87,IF($E$2=35.5,'S3'!AZ87)))))))))))))))))))))</f>
        <v>136.11000000000001</v>
      </c>
      <c r="F87" s="641">
        <f t="shared" si="15"/>
        <v>190.55</v>
      </c>
    </row>
    <row r="88" spans="2:6" ht="18.75" thickBot="1" x14ac:dyDescent="0.35">
      <c r="B88" s="639">
        <v>84</v>
      </c>
      <c r="C88" s="640">
        <f>IF($C$2=15.5,'S3'!A88,IF($C$2=16.5,'S3'!B88,IF($C$2=17.5,'S3'!C88,IF($C$2=18.5,'S3'!D88,IF($C$2=19.5,'S3'!E88,IF($C$2=20.5,'S3'!F88,IF($C$2=21.5,'S3'!G88,IF($C$2=22.5,'S3'!H88,IF($C$2=23.5,'S3'!I88,IF($C$2=24.5,'S3'!J88,IF($C$2=25.5,'S3'!K88,IF($C$2=26.5,'S3'!L88,IF($C$2=27.5,'S3'!M88,IF($C$2=28.5,'S3'!N88,IF($C$2=29.5,'S3'!O88,IF($C$2=30.5,'S3'!P88,IF($C$2=31.5,'S3'!Q88,IF($C$2=32.5,'S3'!R88,IF($C$2=33.5,'S3'!S88,IF($C$2=34.5,'S3'!T88,IF($C$2=35.5,'S3'!U88)))))))))))))))))))))</f>
        <v>219.95</v>
      </c>
      <c r="D88" s="641">
        <f t="shared" si="16"/>
        <v>307.93</v>
      </c>
      <c r="E88" s="641">
        <f>IF($E$2=15.5,'S3'!AF88,IF($E$2=16.5,'S3'!AG88,IF($E$2=17.5,'S3'!AH88,IF($E$2=18.5,'S3'!AI88,IF($E$2=19.5,'S3'!AJ88,IF($E$2=20.5,'S3'!AK88,IF($E$2=21.5,'S3'!AL88,IF($E$2=22.5,'S3'!AM88,IF($E$2=23.5,'S3'!AN88,IF($E$2=24.5,'S3'!AO88,IF($E$2=25.5,'S3'!AP88,IF($E$2=26.5,'S3'!AQ88,IF($E$2=27.5,'S3'!AR88,IF($E$2=28.5,'S3'!AS88,IF($E$2=29.5,'S3'!AT88,IF($E$2=30.5,'S3'!AU88,IF($E$2=31.5,'S3'!AV88,IF($E$2=32.5,'S3'!AW88,IF($E$2=33.5,'S3'!AX88,IF($E$2=34.5,'S3'!AY88,IF($E$2=35.5,'S3'!AZ88)))))))))))))))))))))</f>
        <v>137.72999999999999</v>
      </c>
      <c r="F88" s="641">
        <f t="shared" si="15"/>
        <v>192.82</v>
      </c>
    </row>
    <row r="89" spans="2:6" ht="18.75" thickBot="1" x14ac:dyDescent="0.35">
      <c r="B89" s="639">
        <v>85</v>
      </c>
      <c r="C89" s="640">
        <f>IF($C$2=15.5,'S3'!A89,IF($C$2=16.5,'S3'!B89,IF($C$2=17.5,'S3'!C89,IF($C$2=18.5,'S3'!D89,IF($C$2=19.5,'S3'!E89,IF($C$2=20.5,'S3'!F89,IF($C$2=21.5,'S3'!G89,IF($C$2=22.5,'S3'!H89,IF($C$2=23.5,'S3'!I89,IF($C$2=24.5,'S3'!J89,IF($C$2=25.5,'S3'!K89,IF($C$2=26.5,'S3'!L89,IF($C$2=27.5,'S3'!M89,IF($C$2=28.5,'S3'!N89,IF($C$2=29.5,'S3'!O89,IF($C$2=30.5,'S3'!P89,IF($C$2=31.5,'S3'!Q89,IF($C$2=32.5,'S3'!R89,IF($C$2=33.5,'S3'!S89,IF($C$2=34.5,'S3'!T89,IF($C$2=35.5,'S3'!U89)))))))))))))))))))))</f>
        <v>222.61</v>
      </c>
      <c r="D89" s="641">
        <f t="shared" si="16"/>
        <v>311.64999999999998</v>
      </c>
      <c r="E89" s="641">
        <f>IF($E$2=15.5,'S3'!AF89,IF($E$2=16.5,'S3'!AG89,IF($E$2=17.5,'S3'!AH89,IF($E$2=18.5,'S3'!AI89,IF($E$2=19.5,'S3'!AJ89,IF($E$2=20.5,'S3'!AK89,IF($E$2=21.5,'S3'!AL89,IF($E$2=22.5,'S3'!AM89,IF($E$2=23.5,'S3'!AN89,IF($E$2=24.5,'S3'!AO89,IF($E$2=25.5,'S3'!AP89,IF($E$2=26.5,'S3'!AQ89,IF($E$2=27.5,'S3'!AR89,IF($E$2=28.5,'S3'!AS89,IF($E$2=29.5,'S3'!AT89,IF($E$2=30.5,'S3'!AU89,IF($E$2=31.5,'S3'!AV89,IF($E$2=32.5,'S3'!AW89,IF($E$2=33.5,'S3'!AX89,IF($E$2=34.5,'S3'!AY89,IF($E$2=35.5,'S3'!AZ89)))))))))))))))))))))</f>
        <v>139.38</v>
      </c>
      <c r="F89" s="641">
        <f t="shared" si="15"/>
        <v>195.13</v>
      </c>
    </row>
    <row r="90" spans="2:6" ht="18.75" thickBot="1" x14ac:dyDescent="0.35">
      <c r="B90" s="639">
        <v>86</v>
      </c>
      <c r="C90" s="640">
        <f>IF($C$2=15.5,'S3'!A90,IF($C$2=16.5,'S3'!B90,IF($C$2=17.5,'S3'!C90,IF($C$2=18.5,'S3'!D90,IF($C$2=19.5,'S3'!E90,IF($C$2=20.5,'S3'!F90,IF($C$2=21.5,'S3'!G90,IF($C$2=22.5,'S3'!H90,IF($C$2=23.5,'S3'!I90,IF($C$2=24.5,'S3'!J90,IF($C$2=25.5,'S3'!K90,IF($C$2=26.5,'S3'!L90,IF($C$2=27.5,'S3'!M90,IF($C$2=28.5,'S3'!N90,IF($C$2=29.5,'S3'!O90,IF($C$2=30.5,'S3'!P90,IF($C$2=31.5,'S3'!Q90,IF($C$2=32.5,'S3'!R90,IF($C$2=33.5,'S3'!S90,IF($C$2=34.5,'S3'!T90,IF($C$2=35.5,'S3'!U90)))))))))))))))))))))</f>
        <v>225.15</v>
      </c>
      <c r="D90" s="641">
        <f t="shared" si="16"/>
        <v>315.20999999999998</v>
      </c>
      <c r="E90" s="641">
        <f>IF($E$2=15.5,'S3'!AF90,IF($E$2=16.5,'S3'!AG90,IF($E$2=17.5,'S3'!AH90,IF($E$2=18.5,'S3'!AI90,IF($E$2=19.5,'S3'!AJ90,IF($E$2=20.5,'S3'!AK90,IF($E$2=21.5,'S3'!AL90,IF($E$2=22.5,'S3'!AM90,IF($E$2=23.5,'S3'!AN90,IF($E$2=24.5,'S3'!AO90,IF($E$2=25.5,'S3'!AP90,IF($E$2=26.5,'S3'!AQ90,IF($E$2=27.5,'S3'!AR90,IF($E$2=28.5,'S3'!AS90,IF($E$2=29.5,'S3'!AT90,IF($E$2=30.5,'S3'!AU90,IF($E$2=31.5,'S3'!AV90,IF($E$2=32.5,'S3'!AW90,IF($E$2=33.5,'S3'!AX90,IF($E$2=34.5,'S3'!AY90,IF($E$2=35.5,'S3'!AZ90)))))))))))))))))))))</f>
        <v>141.01</v>
      </c>
      <c r="F90" s="641">
        <f t="shared" si="15"/>
        <v>197.41</v>
      </c>
    </row>
    <row r="91" spans="2:6" ht="18.75" thickBot="1" x14ac:dyDescent="0.35">
      <c r="B91" s="639">
        <v>87</v>
      </c>
      <c r="C91" s="640">
        <f>IF($C$2=15.5,'S3'!A91,IF($C$2=16.5,'S3'!B91,IF($C$2=17.5,'S3'!C91,IF($C$2=18.5,'S3'!D91,IF($C$2=19.5,'S3'!E91,IF($C$2=20.5,'S3'!F91,IF($C$2=21.5,'S3'!G91,IF($C$2=22.5,'S3'!H91,IF($C$2=23.5,'S3'!I91,IF($C$2=24.5,'S3'!J91,IF($C$2=25.5,'S3'!K91,IF($C$2=26.5,'S3'!L91,IF($C$2=27.5,'S3'!M91,IF($C$2=28.5,'S3'!N91,IF($C$2=29.5,'S3'!O91,IF($C$2=30.5,'S3'!P91,IF($C$2=31.5,'S3'!Q91,IF($C$2=32.5,'S3'!R91,IF($C$2=33.5,'S3'!S91,IF($C$2=34.5,'S3'!T91,IF($C$2=35.5,'S3'!U91)))))))))))))))))))))</f>
        <v>227.69</v>
      </c>
      <c r="D91" s="641">
        <f t="shared" si="16"/>
        <v>318.77</v>
      </c>
      <c r="E91" s="641">
        <f>IF($E$2=15.5,'S3'!AF91,IF($E$2=16.5,'S3'!AG91,IF($E$2=17.5,'S3'!AH91,IF($E$2=18.5,'S3'!AI91,IF($E$2=19.5,'S3'!AJ91,IF($E$2=20.5,'S3'!AK91,IF($E$2=21.5,'S3'!AL91,IF($E$2=22.5,'S3'!AM91,IF($E$2=23.5,'S3'!AN91,IF($E$2=24.5,'S3'!AO91,IF($E$2=25.5,'S3'!AP91,IF($E$2=26.5,'S3'!AQ91,IF($E$2=27.5,'S3'!AR91,IF($E$2=28.5,'S3'!AS91,IF($E$2=29.5,'S3'!AT91,IF($E$2=30.5,'S3'!AU91,IF($E$2=31.5,'S3'!AV91,IF($E$2=32.5,'S3'!AW91,IF($E$2=33.5,'S3'!AX91,IF($E$2=34.5,'S3'!AY91,IF($E$2=35.5,'S3'!AZ91)))))))))))))))))))))</f>
        <v>142.63</v>
      </c>
      <c r="F91" s="641">
        <f t="shared" si="15"/>
        <v>199.68</v>
      </c>
    </row>
    <row r="92" spans="2:6" ht="18.75" thickBot="1" x14ac:dyDescent="0.35">
      <c r="B92" s="639">
        <v>88</v>
      </c>
      <c r="C92" s="640">
        <f>IF($C$2=15.5,'S3'!A92,IF($C$2=16.5,'S3'!B92,IF($C$2=17.5,'S3'!C92,IF($C$2=18.5,'S3'!D92,IF($C$2=19.5,'S3'!E92,IF($C$2=20.5,'S3'!F92,IF($C$2=21.5,'S3'!G92,IF($C$2=22.5,'S3'!H92,IF($C$2=23.5,'S3'!I92,IF($C$2=24.5,'S3'!J92,IF($C$2=25.5,'S3'!K92,IF($C$2=26.5,'S3'!L92,IF($C$2=27.5,'S3'!M92,IF($C$2=28.5,'S3'!N92,IF($C$2=29.5,'S3'!O92,IF($C$2=30.5,'S3'!P92,IF($C$2=31.5,'S3'!Q92,IF($C$2=32.5,'S3'!R92,IF($C$2=33.5,'S3'!S92,IF($C$2=34.5,'S3'!T92,IF($C$2=35.5,'S3'!U92)))))))))))))))))))))</f>
        <v>230.38</v>
      </c>
      <c r="D92" s="641">
        <f t="shared" si="16"/>
        <v>322.52999999999997</v>
      </c>
      <c r="E92" s="641">
        <f>IF($E$2=15.5,'S3'!AF92,IF($E$2=16.5,'S3'!AG92,IF($E$2=17.5,'S3'!AH92,IF($E$2=18.5,'S3'!AI92,IF($E$2=19.5,'S3'!AJ92,IF($E$2=20.5,'S3'!AK92,IF($E$2=21.5,'S3'!AL92,IF($E$2=22.5,'S3'!AM92,IF($E$2=23.5,'S3'!AN92,IF($E$2=24.5,'S3'!AO92,IF($E$2=25.5,'S3'!AP92,IF($E$2=26.5,'S3'!AQ92,IF($E$2=27.5,'S3'!AR92,IF($E$2=28.5,'S3'!AS92,IF($E$2=29.5,'S3'!AT92,IF($E$2=30.5,'S3'!AU92,IF($E$2=31.5,'S3'!AV92,IF($E$2=32.5,'S3'!AW92,IF($E$2=33.5,'S3'!AX92,IF($E$2=34.5,'S3'!AY92,IF($E$2=35.5,'S3'!AZ92)))))))))))))))))))))</f>
        <v>144.26</v>
      </c>
      <c r="F92" s="641">
        <f t="shared" si="15"/>
        <v>201.96</v>
      </c>
    </row>
    <row r="93" spans="2:6" ht="18.75" thickBot="1" x14ac:dyDescent="0.35">
      <c r="B93" s="639">
        <v>89</v>
      </c>
      <c r="C93" s="640">
        <f>IF($C$2=15.5,'S3'!A93,IF($C$2=16.5,'S3'!B93,IF($C$2=17.5,'S3'!C93,IF($C$2=18.5,'S3'!D93,IF($C$2=19.5,'S3'!E93,IF($C$2=20.5,'S3'!F93,IF($C$2=21.5,'S3'!G93,IF($C$2=22.5,'S3'!H93,IF($C$2=23.5,'S3'!I93,IF($C$2=24.5,'S3'!J93,IF($C$2=25.5,'S3'!K93,IF($C$2=26.5,'S3'!L93,IF($C$2=27.5,'S3'!M93,IF($C$2=28.5,'S3'!N93,IF($C$2=29.5,'S3'!O93,IF($C$2=30.5,'S3'!P93,IF($C$2=31.5,'S3'!Q93,IF($C$2=32.5,'S3'!R93,IF($C$2=33.5,'S3'!S93,IF($C$2=34.5,'S3'!T93,IF($C$2=35.5,'S3'!U93)))))))))))))))))))))</f>
        <v>232.94</v>
      </c>
      <c r="D93" s="641">
        <f t="shared" si="16"/>
        <v>326.12</v>
      </c>
      <c r="E93" s="641">
        <f>IF($E$2=15.5,'S3'!AF93,IF($E$2=16.5,'S3'!AG93,IF($E$2=17.5,'S3'!AH93,IF($E$2=18.5,'S3'!AI93,IF($E$2=19.5,'S3'!AJ93,IF($E$2=20.5,'S3'!AK93,IF($E$2=21.5,'S3'!AL93,IF($E$2=22.5,'S3'!AM93,IF($E$2=23.5,'S3'!AN93,IF($E$2=24.5,'S3'!AO93,IF($E$2=25.5,'S3'!AP93,IF($E$2=26.5,'S3'!AQ93,IF($E$2=27.5,'S3'!AR93,IF($E$2=28.5,'S3'!AS93,IF($E$2=29.5,'S3'!AT93,IF($E$2=30.5,'S3'!AU93,IF($E$2=31.5,'S3'!AV93,IF($E$2=32.5,'S3'!AW93,IF($E$2=33.5,'S3'!AX93,IF($E$2=34.5,'S3'!AY93,IF($E$2=35.5,'S3'!AZ93)))))))))))))))))))))</f>
        <v>145.88</v>
      </c>
      <c r="F93" s="641">
        <f t="shared" si="15"/>
        <v>204.23</v>
      </c>
    </row>
    <row r="94" spans="2:6" ht="18.75" thickBot="1" x14ac:dyDescent="0.35">
      <c r="B94" s="639">
        <v>90</v>
      </c>
      <c r="C94" s="640">
        <f>IF($C$2=15.5,'S3'!A94,IF($C$2=16.5,'S3'!B94,IF($C$2=17.5,'S3'!C94,IF($C$2=18.5,'S3'!D94,IF($C$2=19.5,'S3'!E94,IF($C$2=20.5,'S3'!F94,IF($C$2=21.5,'S3'!G94,IF($C$2=22.5,'S3'!H94,IF($C$2=23.5,'S3'!I94,IF($C$2=24.5,'S3'!J94,IF($C$2=25.5,'S3'!K94,IF($C$2=26.5,'S3'!L94,IF($C$2=27.5,'S3'!M94,IF($C$2=28.5,'S3'!N94,IF($C$2=29.5,'S3'!O94,IF($C$2=30.5,'S3'!P94,IF($C$2=31.5,'S3'!Q94,IF($C$2=32.5,'S3'!R94,IF($C$2=33.5,'S3'!S94,IF($C$2=34.5,'S3'!T94,IF($C$2=35.5,'S3'!U94)))))))))))))))))))))</f>
        <v>235.52</v>
      </c>
      <c r="D94" s="641">
        <f t="shared" si="16"/>
        <v>329.73</v>
      </c>
      <c r="E94" s="641">
        <f>IF($E$2=15.5,'S3'!AF94,IF($E$2=16.5,'S3'!AG94,IF($E$2=17.5,'S3'!AH94,IF($E$2=18.5,'S3'!AI94,IF($E$2=19.5,'S3'!AJ94,IF($E$2=20.5,'S3'!AK94,IF($E$2=21.5,'S3'!AL94,IF($E$2=22.5,'S3'!AM94,IF($E$2=23.5,'S3'!AN94,IF($E$2=24.5,'S3'!AO94,IF($E$2=25.5,'S3'!AP94,IF($E$2=26.5,'S3'!AQ94,IF($E$2=27.5,'S3'!AR94,IF($E$2=28.5,'S3'!AS94,IF($E$2=29.5,'S3'!AT94,IF($E$2=30.5,'S3'!AU94,IF($E$2=31.5,'S3'!AV94,IF($E$2=32.5,'S3'!AW94,IF($E$2=33.5,'S3'!AX94,IF($E$2=34.5,'S3'!AY94,IF($E$2=35.5,'S3'!AZ94)))))))))))))))))))))</f>
        <v>147.55000000000001</v>
      </c>
      <c r="F94" s="641">
        <f t="shared" si="15"/>
        <v>206.57</v>
      </c>
    </row>
    <row r="95" spans="2:6" ht="18.75" thickBot="1" x14ac:dyDescent="0.35">
      <c r="B95" s="639">
        <v>91</v>
      </c>
      <c r="C95" s="640">
        <f>IF($C$2=15.5,'S3'!A95,IF($C$2=16.5,'S3'!B95,IF($C$2=17.5,'S3'!C95,IF($C$2=18.5,'S3'!D95,IF($C$2=19.5,'S3'!E95,IF($C$2=20.5,'S3'!F95,IF($C$2=21.5,'S3'!G95,IF($C$2=22.5,'S3'!H95,IF($C$2=23.5,'S3'!I95,IF($C$2=24.5,'S3'!J95,IF($C$2=25.5,'S3'!K95,IF($C$2=26.5,'S3'!L95,IF($C$2=27.5,'S3'!M95,IF($C$2=28.5,'S3'!N95,IF($C$2=29.5,'S3'!O95,IF($C$2=30.5,'S3'!P95,IF($C$2=31.5,'S3'!Q95,IF($C$2=32.5,'S3'!R95,IF($C$2=33.5,'S3'!S95,IF($C$2=34.5,'S3'!T95,IF($C$2=35.5,'S3'!U95)))))))))))))))))))))</f>
        <v>238.24</v>
      </c>
      <c r="D95" s="641">
        <f t="shared" si="16"/>
        <v>333.54</v>
      </c>
      <c r="E95" s="641">
        <f>IF($E$2=15.5,'S3'!AF95,IF($E$2=16.5,'S3'!AG95,IF($E$2=17.5,'S3'!AH95,IF($E$2=18.5,'S3'!AI95,IF($E$2=19.5,'S3'!AJ95,IF($E$2=20.5,'S3'!AK95,IF($E$2=21.5,'S3'!AL95,IF($E$2=22.5,'S3'!AM95,IF($E$2=23.5,'S3'!AN95,IF($E$2=24.5,'S3'!AO95,IF($E$2=25.5,'S3'!AP95,IF($E$2=26.5,'S3'!AQ95,IF($E$2=27.5,'S3'!AR95,IF($E$2=28.5,'S3'!AS95,IF($E$2=29.5,'S3'!AT95,IF($E$2=30.5,'S3'!AU95,IF($E$2=31.5,'S3'!AV95,IF($E$2=32.5,'S3'!AW95,IF($E$2=33.5,'S3'!AX95,IF($E$2=34.5,'S3'!AY95,IF($E$2=35.5,'S3'!AZ95)))))))))))))))))))))</f>
        <v>149.19</v>
      </c>
      <c r="F95" s="641">
        <f t="shared" si="15"/>
        <v>208.87</v>
      </c>
    </row>
    <row r="96" spans="2:6" ht="18.75" thickBot="1" x14ac:dyDescent="0.35">
      <c r="B96" s="639">
        <v>92</v>
      </c>
      <c r="C96" s="640">
        <f>IF($C$2=15.5,'S3'!A96,IF($C$2=16.5,'S3'!B96,IF($C$2=17.5,'S3'!C96,IF($C$2=18.5,'S3'!D96,IF($C$2=19.5,'S3'!E96,IF($C$2=20.5,'S3'!F96,IF($C$2=21.5,'S3'!G96,IF($C$2=22.5,'S3'!H96,IF($C$2=23.5,'S3'!I96,IF($C$2=24.5,'S3'!J96,IF($C$2=25.5,'S3'!K96,IF($C$2=26.5,'S3'!L96,IF($C$2=27.5,'S3'!M96,IF($C$2=28.5,'S3'!N96,IF($C$2=29.5,'S3'!O96,IF($C$2=30.5,'S3'!P96,IF($C$2=31.5,'S3'!Q96,IF($C$2=32.5,'S3'!R96,IF($C$2=33.5,'S3'!S96,IF($C$2=34.5,'S3'!T96,IF($C$2=35.5,'S3'!U96)))))))))))))))))))))</f>
        <v>240.83</v>
      </c>
      <c r="D96" s="641">
        <f t="shared" si="16"/>
        <v>337.16</v>
      </c>
      <c r="E96" s="641">
        <f>IF($E$2=15.5,'S3'!AF96,IF($E$2=16.5,'S3'!AG96,IF($E$2=17.5,'S3'!AH96,IF($E$2=18.5,'S3'!AI96,IF($E$2=19.5,'S3'!AJ96,IF($E$2=20.5,'S3'!AK96,IF($E$2=21.5,'S3'!AL96,IF($E$2=22.5,'S3'!AM96,IF($E$2=23.5,'S3'!AN96,IF($E$2=24.5,'S3'!AO96,IF($E$2=25.5,'S3'!AP96,IF($E$2=26.5,'S3'!AQ96,IF($E$2=27.5,'S3'!AR96,IF($E$2=28.5,'S3'!AS96,IF($E$2=29.5,'S3'!AT96,IF($E$2=30.5,'S3'!AU96,IF($E$2=31.5,'S3'!AV96,IF($E$2=32.5,'S3'!AW96,IF($E$2=33.5,'S3'!AX96,IF($E$2=34.5,'S3'!AY96,IF($E$2=35.5,'S3'!AZ96)))))))))))))))))))))</f>
        <v>150.78</v>
      </c>
      <c r="F96" s="641">
        <f t="shared" si="15"/>
        <v>211.09</v>
      </c>
    </row>
    <row r="97" spans="2:6" ht="18.75" thickBot="1" x14ac:dyDescent="0.35">
      <c r="B97" s="639">
        <v>93</v>
      </c>
      <c r="C97" s="640">
        <f>IF($C$2=15.5,'S3'!A97,IF($C$2=16.5,'S3'!B97,IF($C$2=17.5,'S3'!C97,IF($C$2=18.5,'S3'!D97,IF($C$2=19.5,'S3'!E97,IF($C$2=20.5,'S3'!F97,IF($C$2=21.5,'S3'!G97,IF($C$2=22.5,'S3'!H97,IF($C$2=23.5,'S3'!I97,IF($C$2=24.5,'S3'!J97,IF($C$2=25.5,'S3'!K97,IF($C$2=26.5,'S3'!L97,IF($C$2=27.5,'S3'!M97,IF($C$2=28.5,'S3'!N97,IF($C$2=29.5,'S3'!O97,IF($C$2=30.5,'S3'!P97,IF($C$2=31.5,'S3'!Q97,IF($C$2=32.5,'S3'!R97,IF($C$2=33.5,'S3'!S97,IF($C$2=34.5,'S3'!T97,IF($C$2=35.5,'S3'!U97)))))))))))))))))))))</f>
        <v>243.43</v>
      </c>
      <c r="D97" s="641">
        <f t="shared" si="16"/>
        <v>340.8</v>
      </c>
      <c r="E97" s="641">
        <f>IF($E$2=15.5,'S3'!AF97,IF($E$2=16.5,'S3'!AG97,IF($E$2=17.5,'S3'!AH97,IF($E$2=18.5,'S3'!AI97,IF($E$2=19.5,'S3'!AJ97,IF($E$2=20.5,'S3'!AK97,IF($E$2=21.5,'S3'!AL97,IF($E$2=22.5,'S3'!AM97,IF($E$2=23.5,'S3'!AN97,IF($E$2=24.5,'S3'!AO97,IF($E$2=25.5,'S3'!AP97,IF($E$2=26.5,'S3'!AQ97,IF($E$2=27.5,'S3'!AR97,IF($E$2=28.5,'S3'!AS97,IF($E$2=29.5,'S3'!AT97,IF($E$2=30.5,'S3'!AU97,IF($E$2=31.5,'S3'!AV97,IF($E$2=32.5,'S3'!AW97,IF($E$2=33.5,'S3'!AX97,IF($E$2=34.5,'S3'!AY97,IF($E$2=35.5,'S3'!AZ97)))))))))))))))))))))</f>
        <v>152.41999999999999</v>
      </c>
      <c r="F97" s="641">
        <f t="shared" si="15"/>
        <v>213.39</v>
      </c>
    </row>
    <row r="98" spans="2:6" ht="18.75" thickBot="1" x14ac:dyDescent="0.35">
      <c r="B98" s="639">
        <v>94</v>
      </c>
      <c r="C98" s="640">
        <f>IF($C$2=15.5,'S3'!A98,IF($C$2=16.5,'S3'!B98,IF($C$2=17.5,'S3'!C98,IF($C$2=18.5,'S3'!D98,IF($C$2=19.5,'S3'!E98,IF($C$2=20.5,'S3'!F98,IF($C$2=21.5,'S3'!G98,IF($C$2=22.5,'S3'!H98,IF($C$2=23.5,'S3'!I98,IF($C$2=24.5,'S3'!J98,IF($C$2=25.5,'S3'!K98,IF($C$2=26.5,'S3'!L98,IF($C$2=27.5,'S3'!M98,IF($C$2=28.5,'S3'!N98,IF($C$2=29.5,'S3'!O98,IF($C$2=30.5,'S3'!P98,IF($C$2=31.5,'S3'!Q98,IF($C$2=32.5,'S3'!R98,IF($C$2=33.5,'S3'!S98,IF($C$2=34.5,'S3'!T98,IF($C$2=35.5,'S3'!U98)))))))))))))))))))))</f>
        <v>246.04</v>
      </c>
      <c r="D98" s="641">
        <f t="shared" si="16"/>
        <v>344.46</v>
      </c>
      <c r="E98" s="641">
        <f>IF($E$2=15.5,'S3'!AF98,IF($E$2=16.5,'S3'!AG98,IF($E$2=17.5,'S3'!AH98,IF($E$2=18.5,'S3'!AI98,IF($E$2=19.5,'S3'!AJ98,IF($E$2=20.5,'S3'!AK98,IF($E$2=21.5,'S3'!AL98,IF($E$2=22.5,'S3'!AM98,IF($E$2=23.5,'S3'!AN98,IF($E$2=24.5,'S3'!AO98,IF($E$2=25.5,'S3'!AP98,IF($E$2=26.5,'S3'!AQ98,IF($E$2=27.5,'S3'!AR98,IF($E$2=28.5,'S3'!AS98,IF($E$2=29.5,'S3'!AT98,IF($E$2=30.5,'S3'!AU98,IF($E$2=31.5,'S3'!AV98,IF($E$2=32.5,'S3'!AW98,IF($E$2=33.5,'S3'!AX98,IF($E$2=34.5,'S3'!AY98,IF($E$2=35.5,'S3'!AZ98)))))))))))))))))))))</f>
        <v>154.06</v>
      </c>
      <c r="F98" s="641">
        <f t="shared" si="15"/>
        <v>215.68</v>
      </c>
    </row>
    <row r="99" spans="2:6" ht="18.75" thickBot="1" x14ac:dyDescent="0.35">
      <c r="B99" s="639">
        <v>95</v>
      </c>
      <c r="C99" s="640">
        <f>IF($C$2=15.5,'S3'!A99,IF($C$2=16.5,'S3'!B99,IF($C$2=17.5,'S3'!C99,IF($C$2=18.5,'S3'!D99,IF($C$2=19.5,'S3'!E99,IF($C$2=20.5,'S3'!F99,IF($C$2=21.5,'S3'!G99,IF($C$2=22.5,'S3'!H99,IF($C$2=23.5,'S3'!I99,IF($C$2=24.5,'S3'!J99,IF($C$2=25.5,'S3'!K99,IF($C$2=26.5,'S3'!L99,IF($C$2=27.5,'S3'!M99,IF($C$2=28.5,'S3'!N99,IF($C$2=29.5,'S3'!O99,IF($C$2=30.5,'S3'!P99,IF($C$2=31.5,'S3'!Q99,IF($C$2=32.5,'S3'!R99,IF($C$2=33.5,'S3'!S99,IF($C$2=34.5,'S3'!T99,IF($C$2=35.5,'S3'!U99)))))))))))))))))))))</f>
        <v>248.51</v>
      </c>
      <c r="D99" s="641">
        <f t="shared" si="16"/>
        <v>347.91</v>
      </c>
      <c r="E99" s="641">
        <f>IF($E$2=15.5,'S3'!AF99,IF($E$2=16.5,'S3'!AG99,IF($E$2=17.5,'S3'!AH99,IF($E$2=18.5,'S3'!AI99,IF($E$2=19.5,'S3'!AJ99,IF($E$2=20.5,'S3'!AK99,IF($E$2=21.5,'S3'!AL99,IF($E$2=22.5,'S3'!AM99,IF($E$2=23.5,'S3'!AN99,IF($E$2=24.5,'S3'!AO99,IF($E$2=25.5,'S3'!AP99,IF($E$2=26.5,'S3'!AQ99,IF($E$2=27.5,'S3'!AR99,IF($E$2=28.5,'S3'!AS99,IF($E$2=29.5,'S3'!AT99,IF($E$2=30.5,'S3'!AU99,IF($E$2=31.5,'S3'!AV99,IF($E$2=32.5,'S3'!AW99,IF($E$2=33.5,'S3'!AX99,IF($E$2=34.5,'S3'!AY99,IF($E$2=35.5,'S3'!AZ99)))))))))))))))))))))</f>
        <v>155.69999999999999</v>
      </c>
      <c r="F99" s="641">
        <f t="shared" si="15"/>
        <v>217.98</v>
      </c>
    </row>
    <row r="100" spans="2:6" ht="18.75" thickBot="1" x14ac:dyDescent="0.35">
      <c r="B100" s="639">
        <v>96</v>
      </c>
      <c r="C100" s="640">
        <f>IF($C$2=15.5,'S3'!A100,IF($C$2=16.5,'S3'!B100,IF($C$2=17.5,'S3'!C100,IF($C$2=18.5,'S3'!D100,IF($C$2=19.5,'S3'!E100,IF($C$2=20.5,'S3'!F100,IF($C$2=21.5,'S3'!G100,IF($C$2=22.5,'S3'!H100,IF($C$2=23.5,'S3'!I100,IF($C$2=24.5,'S3'!J100,IF($C$2=25.5,'S3'!K100,IF($C$2=26.5,'S3'!L100,IF($C$2=27.5,'S3'!M100,IF($C$2=28.5,'S3'!N100,IF($C$2=29.5,'S3'!O100,IF($C$2=30.5,'S3'!P100,IF($C$2=31.5,'S3'!Q100,IF($C$2=32.5,'S3'!R100,IF($C$2=33.5,'S3'!S100,IF($C$2=34.5,'S3'!T100,IF($C$2=35.5,'S3'!U100)))))))))))))))))))))</f>
        <v>251.14</v>
      </c>
      <c r="D100" s="641">
        <f t="shared" si="16"/>
        <v>351.6</v>
      </c>
      <c r="E100" s="641">
        <f>IF($E$2=15.5,'S3'!AF100,IF($E$2=16.5,'S3'!AG100,IF($E$2=17.5,'S3'!AH100,IF($E$2=18.5,'S3'!AI100,IF($E$2=19.5,'S3'!AJ100,IF($E$2=20.5,'S3'!AK100,IF($E$2=21.5,'S3'!AL100,IF($E$2=22.5,'S3'!AM100,IF($E$2=23.5,'S3'!AN100,IF($E$2=24.5,'S3'!AO100,IF($E$2=25.5,'S3'!AP100,IF($E$2=26.5,'S3'!AQ100,IF($E$2=27.5,'S3'!AR100,IF($E$2=28.5,'S3'!AS100,IF($E$2=29.5,'S3'!AT100,IF($E$2=30.5,'S3'!AU100,IF($E$2=31.5,'S3'!AV100,IF($E$2=32.5,'S3'!AW100,IF($E$2=33.5,'S3'!AX100,IF($E$2=34.5,'S3'!AY100,IF($E$2=35.5,'S3'!AZ100)))))))))))))))))))))</f>
        <v>157.35</v>
      </c>
      <c r="F100" s="641">
        <f t="shared" si="15"/>
        <v>220.29</v>
      </c>
    </row>
    <row r="101" spans="2:6" ht="18.75" thickBot="1" x14ac:dyDescent="0.35">
      <c r="B101" s="639">
        <v>97</v>
      </c>
      <c r="C101" s="640">
        <f>IF($C$2=15.5,'S3'!A101,IF($C$2=16.5,'S3'!B101,IF($C$2=17.5,'S3'!C101,IF($C$2=18.5,'S3'!D101,IF($C$2=19.5,'S3'!E101,IF($C$2=20.5,'S3'!F101,IF($C$2=21.5,'S3'!G101,IF($C$2=22.5,'S3'!H101,IF($C$2=23.5,'S3'!I101,IF($C$2=24.5,'S3'!J101,IF($C$2=25.5,'S3'!K101,IF($C$2=26.5,'S3'!L101,IF($C$2=27.5,'S3'!M101,IF($C$2=28.5,'S3'!N101,IF($C$2=29.5,'S3'!O101,IF($C$2=30.5,'S3'!P101,IF($C$2=31.5,'S3'!Q101,IF($C$2=32.5,'S3'!R101,IF($C$2=33.5,'S3'!S101,IF($C$2=34.5,'S3'!T101,IF($C$2=35.5,'S3'!U101)))))))))))))))))))))</f>
        <v>253.78</v>
      </c>
      <c r="D101" s="641">
        <f t="shared" si="16"/>
        <v>355.29</v>
      </c>
      <c r="E101" s="641">
        <f>IF($E$2=15.5,'S3'!AF101,IF($E$2=16.5,'S3'!AG101,IF($E$2=17.5,'S3'!AH101,IF($E$2=18.5,'S3'!AI101,IF($E$2=19.5,'S3'!AJ101,IF($E$2=20.5,'S3'!AK101,IF($E$2=21.5,'S3'!AL101,IF($E$2=22.5,'S3'!AM101,IF($E$2=23.5,'S3'!AN101,IF($E$2=24.5,'S3'!AO101,IF($E$2=25.5,'S3'!AP101,IF($E$2=26.5,'S3'!AQ101,IF($E$2=27.5,'S3'!AR101,IF($E$2=28.5,'S3'!AS101,IF($E$2=29.5,'S3'!AT101,IF($E$2=30.5,'S3'!AU101,IF($E$2=31.5,'S3'!AV101,IF($E$2=32.5,'S3'!AW101,IF($E$2=33.5,'S3'!AX101,IF($E$2=34.5,'S3'!AY101,IF($E$2=35.5,'S3'!AZ101)))))))))))))))))))))</f>
        <v>158.94999999999999</v>
      </c>
      <c r="F101" s="641">
        <f t="shared" si="15"/>
        <v>222.53</v>
      </c>
    </row>
    <row r="102" spans="2:6" ht="18.75" thickBot="1" x14ac:dyDescent="0.35">
      <c r="B102" s="639">
        <v>98</v>
      </c>
      <c r="C102" s="640">
        <f>IF($C$2=15.5,'S3'!A102,IF($C$2=16.5,'S3'!B102,IF($C$2=17.5,'S3'!C102,IF($C$2=18.5,'S3'!D102,IF($C$2=19.5,'S3'!E102,IF($C$2=20.5,'S3'!F102,IF($C$2=21.5,'S3'!G102,IF($C$2=22.5,'S3'!H102,IF($C$2=23.5,'S3'!I102,IF($C$2=24.5,'S3'!J102,IF($C$2=25.5,'S3'!K102,IF($C$2=26.5,'S3'!L102,IF($C$2=27.5,'S3'!M102,IF($C$2=28.5,'S3'!N102,IF($C$2=29.5,'S3'!O102,IF($C$2=30.5,'S3'!P102,IF($C$2=31.5,'S3'!Q102,IF($C$2=32.5,'S3'!R102,IF($C$2=33.5,'S3'!S102,IF($C$2=34.5,'S3'!T102,IF($C$2=35.5,'S3'!U102)))))))))))))))))))))</f>
        <v>256.77999999999997</v>
      </c>
      <c r="D102" s="641">
        <f t="shared" si="16"/>
        <v>359.49</v>
      </c>
      <c r="E102" s="641">
        <f>IF($E$2=15.5,'S3'!AF102,IF($E$2=16.5,'S3'!AG102,IF($E$2=17.5,'S3'!AH102,IF($E$2=18.5,'S3'!AI102,IF($E$2=19.5,'S3'!AJ102,IF($E$2=20.5,'S3'!AK102,IF($E$2=21.5,'S3'!AL102,IF($E$2=22.5,'S3'!AM102,IF($E$2=23.5,'S3'!AN102,IF($E$2=24.5,'S3'!AO102,IF($E$2=25.5,'S3'!AP102,IF($E$2=26.5,'S3'!AQ102,IF($E$2=27.5,'S3'!AR102,IF($E$2=28.5,'S3'!AS102,IF($E$2=29.5,'S3'!AT102,IF($E$2=30.5,'S3'!AU102,IF($E$2=31.5,'S3'!AV102,IF($E$2=32.5,'S3'!AW102,IF($E$2=33.5,'S3'!AX102,IF($E$2=34.5,'S3'!AY102,IF($E$2=35.5,'S3'!AZ102)))))))))))))))))))))</f>
        <v>160.6</v>
      </c>
      <c r="F102" s="641">
        <f t="shared" si="15"/>
        <v>224.84</v>
      </c>
    </row>
    <row r="103" spans="2:6" ht="18.75" thickBot="1" x14ac:dyDescent="0.35">
      <c r="B103" s="639">
        <v>99</v>
      </c>
      <c r="C103" s="640">
        <f>IF($C$2=15.5,'S3'!A103,IF($C$2=16.5,'S3'!B103,IF($C$2=17.5,'S3'!C103,IF($C$2=18.5,'S3'!D103,IF($C$2=19.5,'S3'!E103,IF($C$2=20.5,'S3'!F103,IF($C$2=21.5,'S3'!G103,IF($C$2=22.5,'S3'!H103,IF($C$2=23.5,'S3'!I103,IF($C$2=24.5,'S3'!J103,IF($C$2=25.5,'S3'!K103,IF($C$2=26.5,'S3'!L103,IF($C$2=27.5,'S3'!M103,IF($C$2=28.5,'S3'!N103,IF($C$2=29.5,'S3'!O103,IF($C$2=30.5,'S3'!P103,IF($C$2=31.5,'S3'!Q103,IF($C$2=32.5,'S3'!R103,IF($C$2=33.5,'S3'!S103,IF($C$2=34.5,'S3'!T103,IF($C$2=35.5,'S3'!U103)))))))))))))))))))))</f>
        <v>259.08</v>
      </c>
      <c r="D103" s="641">
        <f t="shared" si="16"/>
        <v>362.71</v>
      </c>
      <c r="E103" s="641">
        <f>IF($E$2=15.5,'S3'!AF103,IF($E$2=16.5,'S3'!AG103,IF($E$2=17.5,'S3'!AH103,IF($E$2=18.5,'S3'!AI103,IF($E$2=19.5,'S3'!AJ103,IF($E$2=20.5,'S3'!AK103,IF($E$2=21.5,'S3'!AL103,IF($E$2=22.5,'S3'!AM103,IF($E$2=23.5,'S3'!AN103,IF($E$2=24.5,'S3'!AO103,IF($E$2=25.5,'S3'!AP103,IF($E$2=26.5,'S3'!AQ103,IF($E$2=27.5,'S3'!AR103,IF($E$2=28.5,'S3'!AS103,IF($E$2=29.5,'S3'!AT103,IF($E$2=30.5,'S3'!AU103,IF($E$2=31.5,'S3'!AV103,IF($E$2=32.5,'S3'!AW103,IF($E$2=33.5,'S3'!AX103,IF($E$2=34.5,'S3'!AY103,IF($E$2=35.5,'S3'!AZ103)))))))))))))))))))))</f>
        <v>162.21</v>
      </c>
      <c r="F103" s="641">
        <f t="shared" si="15"/>
        <v>227.09</v>
      </c>
    </row>
    <row r="104" spans="2:6" ht="18.75" thickBot="1" x14ac:dyDescent="0.35">
      <c r="B104" s="639">
        <v>100</v>
      </c>
      <c r="C104" s="640">
        <f>IF($C$2=15.5,'S3'!A104,IF($C$2=16.5,'S3'!B104,IF($C$2=17.5,'S3'!C104,IF($C$2=18.5,'S3'!D104,IF($C$2=19.5,'S3'!E104,IF($C$2=20.5,'S3'!F104,IF($C$2=21.5,'S3'!G104,IF($C$2=22.5,'S3'!H104,IF($C$2=23.5,'S3'!I104,IF($C$2=24.5,'S3'!J104,IF($C$2=25.5,'S3'!K104,IF($C$2=26.5,'S3'!L104,IF($C$2=27.5,'S3'!M104,IF($C$2=28.5,'S3'!N104,IF($C$2=29.5,'S3'!O104,IF($C$2=30.5,'S3'!P104,IF($C$2=31.5,'S3'!Q104,IF($C$2=32.5,'S3'!R104,IF($C$2=33.5,'S3'!S104,IF($C$2=34.5,'S3'!T104,IF($C$2=35.5,'S3'!U104)))))))))))))))))))))</f>
        <v>261.58</v>
      </c>
      <c r="D104" s="641">
        <f t="shared" si="16"/>
        <v>366.21</v>
      </c>
      <c r="E104" s="641">
        <f>IF($E$2=15.5,'S3'!AF104,IF($E$2=16.5,'S3'!AG104,IF($E$2=17.5,'S3'!AH104,IF($E$2=18.5,'S3'!AI104,IF($E$2=19.5,'S3'!AJ104,IF($E$2=20.5,'S3'!AK104,IF($E$2=21.5,'S3'!AL104,IF($E$2=22.5,'S3'!AM104,IF($E$2=23.5,'S3'!AN104,IF($E$2=24.5,'S3'!AO104,IF($E$2=25.5,'S3'!AP104,IF($E$2=26.5,'S3'!AQ104,IF($E$2=27.5,'S3'!AR104,IF($E$2=28.5,'S3'!AS104,IF($E$2=29.5,'S3'!AT104,IF($E$2=30.5,'S3'!AU104,IF($E$2=31.5,'S3'!AV104,IF($E$2=32.5,'S3'!AW104,IF($E$2=33.5,'S3'!AX104,IF($E$2=34.5,'S3'!AY104,IF($E$2=35.5,'S3'!AZ104)))))))))))))))))))))</f>
        <v>163.87</v>
      </c>
      <c r="F104" s="641">
        <f t="shared" si="15"/>
        <v>229.42</v>
      </c>
    </row>
    <row r="105" spans="2:6" ht="18.75" thickBot="1" x14ac:dyDescent="0.35">
      <c r="B105" s="639">
        <v>101</v>
      </c>
      <c r="C105" s="640">
        <f>IF($C$2=15.5,'S3'!A105,IF($C$2=16.5,'S3'!B105,IF($C$2=17.5,'S3'!C105,IF($C$2=18.5,'S3'!D105,IF($C$2=19.5,'S3'!E105,IF($C$2=20.5,'S3'!F105,IF($C$2=21.5,'S3'!G105,IF($C$2=22.5,'S3'!H105,IF($C$2=23.5,'S3'!I105,IF($C$2=24.5,'S3'!J105,IF($C$2=25.5,'S3'!K105,IF($C$2=26.5,'S3'!L105,IF($C$2=27.5,'S3'!M105,IF($C$2=28.5,'S3'!N105,IF($C$2=29.5,'S3'!O105,IF($C$2=30.5,'S3'!P105,IF($C$2=31.5,'S3'!Q105,IF($C$2=32.5,'S3'!R105,IF($C$2=33.5,'S3'!S105,IF($C$2=34.5,'S3'!T105,IF($C$2=35.5,'S3'!U105)))))))))))))))))))))</f>
        <v>264.26</v>
      </c>
      <c r="D105" s="641">
        <f t="shared" si="16"/>
        <v>369.96</v>
      </c>
      <c r="E105" s="641">
        <f>IF($E$2=15.5,'S3'!AF105,IF($E$2=16.5,'S3'!AG105,IF($E$2=17.5,'S3'!AH105,IF($E$2=18.5,'S3'!AI105,IF($E$2=19.5,'S3'!AJ105,IF($E$2=20.5,'S3'!AK105,IF($E$2=21.5,'S3'!AL105,IF($E$2=22.5,'S3'!AM105,IF($E$2=23.5,'S3'!AN105,IF($E$2=24.5,'S3'!AO105,IF($E$2=25.5,'S3'!AP105,IF($E$2=26.5,'S3'!AQ105,IF($E$2=27.5,'S3'!AR105,IF($E$2=28.5,'S3'!AS105,IF($E$2=29.5,'S3'!AT105,IF($E$2=30.5,'S3'!AU105,IF($E$2=31.5,'S3'!AV105,IF($E$2=32.5,'S3'!AW105,IF($E$2=33.5,'S3'!AX105,IF($E$2=34.5,'S3'!AY105,IF($E$2=35.5,'S3'!AZ105)))))))))))))))))))))</f>
        <v>165.48</v>
      </c>
      <c r="F105" s="641">
        <f t="shared" si="15"/>
        <v>231.67</v>
      </c>
    </row>
    <row r="106" spans="2:6" ht="18.75" thickBot="1" x14ac:dyDescent="0.35">
      <c r="B106" s="639">
        <v>102</v>
      </c>
      <c r="C106" s="640">
        <f>IF($C$2=15.5,'S3'!A106,IF($C$2=16.5,'S3'!B106,IF($C$2=17.5,'S3'!C106,IF($C$2=18.5,'S3'!D106,IF($C$2=19.5,'S3'!E106,IF($C$2=20.5,'S3'!F106,IF($C$2=21.5,'S3'!G106,IF($C$2=22.5,'S3'!H106,IF($C$2=23.5,'S3'!I106,IF($C$2=24.5,'S3'!J106,IF($C$2=25.5,'S3'!K106,IF($C$2=26.5,'S3'!L106,IF($C$2=27.5,'S3'!M106,IF($C$2=28.5,'S3'!N106,IF($C$2=29.5,'S3'!O106,IF($C$2=30.5,'S3'!P106,IF($C$2=31.5,'S3'!Q106,IF($C$2=32.5,'S3'!R106,IF($C$2=33.5,'S3'!S106,IF($C$2=34.5,'S3'!T106,IF($C$2=35.5,'S3'!U106)))))))))))))))))))))</f>
        <v>266.77</v>
      </c>
      <c r="D106" s="641">
        <f t="shared" si="16"/>
        <v>373.48</v>
      </c>
      <c r="E106" s="641">
        <f>IF($E$2=15.5,'S3'!AF106,IF($E$2=16.5,'S3'!AG106,IF($E$2=17.5,'S3'!AH106,IF($E$2=18.5,'S3'!AI106,IF($E$2=19.5,'S3'!AJ106,IF($E$2=20.5,'S3'!AK106,IF($E$2=21.5,'S3'!AL106,IF($E$2=22.5,'S3'!AM106,IF($E$2=23.5,'S3'!AN106,IF($E$2=24.5,'S3'!AO106,IF($E$2=25.5,'S3'!AP106,IF($E$2=26.5,'S3'!AQ106,IF($E$2=27.5,'S3'!AR106,IF($E$2=28.5,'S3'!AS106,IF($E$2=29.5,'S3'!AT106,IF($E$2=30.5,'S3'!AU106,IF($E$2=31.5,'S3'!AV106,IF($E$2=32.5,'S3'!AW106,IF($E$2=33.5,'S3'!AX106,IF($E$2=34.5,'S3'!AY106,IF($E$2=35.5,'S3'!AZ106)))))))))))))))))))))</f>
        <v>167.14</v>
      </c>
      <c r="F106" s="641">
        <f t="shared" si="15"/>
        <v>234</v>
      </c>
    </row>
    <row r="107" spans="2:6" ht="18.75" thickBot="1" x14ac:dyDescent="0.35">
      <c r="B107" s="639">
        <v>103</v>
      </c>
      <c r="C107" s="640">
        <f>IF($C$2=15.5,'S3'!A107,IF($C$2=16.5,'S3'!B107,IF($C$2=17.5,'S3'!C107,IF($C$2=18.5,'S3'!D107,IF($C$2=19.5,'S3'!E107,IF($C$2=20.5,'S3'!F107,IF($C$2=21.5,'S3'!G107,IF($C$2=22.5,'S3'!H107,IF($C$2=23.5,'S3'!I107,IF($C$2=24.5,'S3'!J107,IF($C$2=25.5,'S3'!K107,IF($C$2=26.5,'S3'!L107,IF($C$2=27.5,'S3'!M107,IF($C$2=28.5,'S3'!N107,IF($C$2=29.5,'S3'!O107,IF($C$2=30.5,'S3'!P107,IF($C$2=31.5,'S3'!Q107,IF($C$2=32.5,'S3'!R107,IF($C$2=33.5,'S3'!S107,IF($C$2=34.5,'S3'!T107,IF($C$2=35.5,'S3'!U107)))))))))))))))))))))</f>
        <v>269.47000000000003</v>
      </c>
      <c r="D107" s="641">
        <f t="shared" si="16"/>
        <v>377.26</v>
      </c>
      <c r="E107" s="641">
        <f>IF($E$2=15.5,'S3'!AF107,IF($E$2=16.5,'S3'!AG107,IF($E$2=17.5,'S3'!AH107,IF($E$2=18.5,'S3'!AI107,IF($E$2=19.5,'S3'!AJ107,IF($E$2=20.5,'S3'!AK107,IF($E$2=21.5,'S3'!AL107,IF($E$2=22.5,'S3'!AM107,IF($E$2=23.5,'S3'!AN107,IF($E$2=24.5,'S3'!AO107,IF($E$2=25.5,'S3'!AP107,IF($E$2=26.5,'S3'!AQ107,IF($E$2=27.5,'S3'!AR107,IF($E$2=28.5,'S3'!AS107,IF($E$2=29.5,'S3'!AT107,IF($E$2=30.5,'S3'!AU107,IF($E$2=31.5,'S3'!AV107,IF($E$2=32.5,'S3'!AW107,IF($E$2=33.5,'S3'!AX107,IF($E$2=34.5,'S3'!AY107,IF($E$2=35.5,'S3'!AZ107)))))))))))))))))))))</f>
        <v>168.76</v>
      </c>
      <c r="F107" s="641">
        <f t="shared" si="15"/>
        <v>236.26</v>
      </c>
    </row>
    <row r="108" spans="2:6" ht="18.75" thickBot="1" x14ac:dyDescent="0.35">
      <c r="B108" s="639">
        <v>104</v>
      </c>
      <c r="C108" s="640">
        <f>IF($C$2=15.5,'S3'!A108,IF($C$2=16.5,'S3'!B108,IF($C$2=17.5,'S3'!C108,IF($C$2=18.5,'S3'!D108,IF($C$2=19.5,'S3'!E108,IF($C$2=20.5,'S3'!F108,IF($C$2=21.5,'S3'!G108,IF($C$2=22.5,'S3'!H108,IF($C$2=23.5,'S3'!I108,IF($C$2=24.5,'S3'!J108,IF($C$2=25.5,'S3'!K108,IF($C$2=26.5,'S3'!L108,IF($C$2=27.5,'S3'!M108,IF($C$2=28.5,'S3'!N108,IF($C$2=29.5,'S3'!O108,IF($C$2=30.5,'S3'!P108,IF($C$2=31.5,'S3'!Q108,IF($C$2=32.5,'S3'!R108,IF($C$2=33.5,'S3'!S108,IF($C$2=34.5,'S3'!T108,IF($C$2=35.5,'S3'!U108)))))))))))))))))))))</f>
        <v>272</v>
      </c>
      <c r="D108" s="641">
        <f t="shared" si="16"/>
        <v>380.8</v>
      </c>
      <c r="E108" s="641">
        <f>IF($E$2=15.5,'S3'!AF108,IF($E$2=16.5,'S3'!AG108,IF($E$2=17.5,'S3'!AH108,IF($E$2=18.5,'S3'!AI108,IF($E$2=19.5,'S3'!AJ108,IF($E$2=20.5,'S3'!AK108,IF($E$2=21.5,'S3'!AL108,IF($E$2=22.5,'S3'!AM108,IF($E$2=23.5,'S3'!AN108,IF($E$2=24.5,'S3'!AO108,IF($E$2=25.5,'S3'!AP108,IF($E$2=26.5,'S3'!AQ108,IF($E$2=27.5,'S3'!AR108,IF($E$2=28.5,'S3'!AS108,IF($E$2=29.5,'S3'!AT108,IF($E$2=30.5,'S3'!AU108,IF($E$2=31.5,'S3'!AV108,IF($E$2=32.5,'S3'!AW108,IF($E$2=33.5,'S3'!AX108,IF($E$2=34.5,'S3'!AY108,IF($E$2=35.5,'S3'!AZ108)))))))))))))))))))))</f>
        <v>170.37</v>
      </c>
      <c r="F108" s="641">
        <f t="shared" si="15"/>
        <v>238.52</v>
      </c>
    </row>
    <row r="109" spans="2:6" ht="18.75" thickBot="1" x14ac:dyDescent="0.35">
      <c r="B109" s="639">
        <v>105</v>
      </c>
      <c r="C109" s="640">
        <f>IF($C$2=15.5,'S3'!A109,IF($C$2=16.5,'S3'!B109,IF($C$2=17.5,'S3'!C109,IF($C$2=18.5,'S3'!D109,IF($C$2=19.5,'S3'!E109,IF($C$2=20.5,'S3'!F109,IF($C$2=21.5,'S3'!G109,IF($C$2=22.5,'S3'!H109,IF($C$2=23.5,'S3'!I109,IF($C$2=24.5,'S3'!J109,IF($C$2=25.5,'S3'!K109,IF($C$2=26.5,'S3'!L109,IF($C$2=27.5,'S3'!M109,IF($C$2=28.5,'S3'!N109,IF($C$2=29.5,'S3'!O109,IF($C$2=30.5,'S3'!P109,IF($C$2=31.5,'S3'!Q109,IF($C$2=32.5,'S3'!R109,IF($C$2=33.5,'S3'!S109,IF($C$2=34.5,'S3'!T109,IF($C$2=35.5,'S3'!U109)))))))))))))))))))))</f>
        <v>274.72000000000003</v>
      </c>
      <c r="D109" s="641">
        <f t="shared" si="16"/>
        <v>384.61</v>
      </c>
      <c r="E109" s="641">
        <f>IF($E$2=15.5,'S3'!AF109,IF($E$2=16.5,'S3'!AG109,IF($E$2=17.5,'S3'!AH109,IF($E$2=18.5,'S3'!AI109,IF($E$2=19.5,'S3'!AJ109,IF($E$2=20.5,'S3'!AK109,IF($E$2=21.5,'S3'!AL109,IF($E$2=22.5,'S3'!AM109,IF($E$2=23.5,'S3'!AN109,IF($E$2=24.5,'S3'!AO109,IF($E$2=25.5,'S3'!AP109,IF($E$2=26.5,'S3'!AQ109,IF($E$2=27.5,'S3'!AR109,IF($E$2=28.5,'S3'!AS109,IF($E$2=29.5,'S3'!AT109,IF($E$2=30.5,'S3'!AU109,IF($E$2=31.5,'S3'!AV109,IF($E$2=32.5,'S3'!AW109,IF($E$2=33.5,'S3'!AX109,IF($E$2=34.5,'S3'!AY109,IF($E$2=35.5,'S3'!AZ109)))))))))))))))))))))</f>
        <v>172.04</v>
      </c>
      <c r="F109" s="641">
        <f t="shared" si="15"/>
        <v>240.86</v>
      </c>
    </row>
    <row r="110" spans="2:6" ht="18.75" thickBot="1" x14ac:dyDescent="0.35">
      <c r="B110" s="639">
        <v>106</v>
      </c>
      <c r="C110" s="640">
        <f>IF($C$2=15.5,'S3'!A110,IF($C$2=16.5,'S3'!B110,IF($C$2=17.5,'S3'!C110,IF($C$2=18.5,'S3'!D110,IF($C$2=19.5,'S3'!E110,IF($C$2=20.5,'S3'!F110,IF($C$2=21.5,'S3'!G110,IF($C$2=22.5,'S3'!H110,IF($C$2=23.5,'S3'!I110,IF($C$2=24.5,'S3'!J110,IF($C$2=25.5,'S3'!K110,IF($C$2=26.5,'S3'!L110,IF($C$2=27.5,'S3'!M110,IF($C$2=28.5,'S3'!N110,IF($C$2=29.5,'S3'!O110,IF($C$2=30.5,'S3'!P110,IF($C$2=31.5,'S3'!Q110,IF($C$2=32.5,'S3'!R110,IF($C$2=33.5,'S3'!S110,IF($C$2=34.5,'S3'!T110,IF($C$2=35.5,'S3'!U110)))))))))))))))))))))</f>
        <v>277.26</v>
      </c>
      <c r="D110" s="641">
        <f t="shared" si="16"/>
        <v>388.16</v>
      </c>
      <c r="E110" s="641">
        <f>IF($E$2=15.5,'S3'!AF110,IF($E$2=16.5,'S3'!AG110,IF($E$2=17.5,'S3'!AH110,IF($E$2=18.5,'S3'!AI110,IF($E$2=19.5,'S3'!AJ110,IF($E$2=20.5,'S3'!AK110,IF($E$2=21.5,'S3'!AL110,IF($E$2=22.5,'S3'!AM110,IF($E$2=23.5,'S3'!AN110,IF($E$2=24.5,'S3'!AO110,IF($E$2=25.5,'S3'!AP110,IF($E$2=26.5,'S3'!AQ110,IF($E$2=27.5,'S3'!AR110,IF($E$2=28.5,'S3'!AS110,IF($E$2=29.5,'S3'!AT110,IF($E$2=30.5,'S3'!AU110,IF($E$2=31.5,'S3'!AV110,IF($E$2=32.5,'S3'!AW110,IF($E$2=33.5,'S3'!AX110,IF($E$2=34.5,'S3'!AY110,IF($E$2=35.5,'S3'!AZ110)))))))))))))))))))))</f>
        <v>173.66</v>
      </c>
      <c r="F110" s="641">
        <f t="shared" si="15"/>
        <v>243.12</v>
      </c>
    </row>
    <row r="111" spans="2:6" ht="18.75" thickBot="1" x14ac:dyDescent="0.35">
      <c r="B111" s="639">
        <v>107</v>
      </c>
      <c r="C111" s="640">
        <f>IF($C$2=15.5,'S3'!A111,IF($C$2=16.5,'S3'!B111,IF($C$2=17.5,'S3'!C111,IF($C$2=18.5,'S3'!D111,IF($C$2=19.5,'S3'!E111,IF($C$2=20.5,'S3'!F111,IF($C$2=21.5,'S3'!G111,IF($C$2=22.5,'S3'!H111,IF($C$2=23.5,'S3'!I111,IF($C$2=24.5,'S3'!J111,IF($C$2=25.5,'S3'!K111,IF($C$2=26.5,'S3'!L111,IF($C$2=27.5,'S3'!M111,IF($C$2=28.5,'S3'!N111,IF($C$2=29.5,'S3'!O111,IF($C$2=30.5,'S3'!P111,IF($C$2=31.5,'S3'!Q111,IF($C$2=32.5,'S3'!R111,IF($C$2=33.5,'S3'!S111,IF($C$2=34.5,'S3'!T111,IF($C$2=35.5,'S3'!U111)))))))))))))))))))))</f>
        <v>279.8</v>
      </c>
      <c r="D111" s="641">
        <f t="shared" si="16"/>
        <v>391.72</v>
      </c>
      <c r="E111" s="641">
        <f>IF($E$2=15.5,'S3'!AF111,IF($E$2=16.5,'S3'!AG111,IF($E$2=17.5,'S3'!AH111,IF($E$2=18.5,'S3'!AI111,IF($E$2=19.5,'S3'!AJ111,IF($E$2=20.5,'S3'!AK111,IF($E$2=21.5,'S3'!AL111,IF($E$2=22.5,'S3'!AM111,IF($E$2=23.5,'S3'!AN111,IF($E$2=24.5,'S3'!AO111,IF($E$2=25.5,'S3'!AP111,IF($E$2=26.5,'S3'!AQ111,IF($E$2=27.5,'S3'!AR111,IF($E$2=28.5,'S3'!AS111,IF($E$2=29.5,'S3'!AT111,IF($E$2=30.5,'S3'!AU111,IF($E$2=31.5,'S3'!AV111,IF($E$2=32.5,'S3'!AW111,IF($E$2=33.5,'S3'!AX111,IF($E$2=34.5,'S3'!AY111,IF($E$2=35.5,'S3'!AZ111)))))))))))))))))))))</f>
        <v>175.29</v>
      </c>
      <c r="F111" s="641">
        <f t="shared" si="15"/>
        <v>245.41</v>
      </c>
    </row>
    <row r="112" spans="2:6" ht="18.75" thickBot="1" x14ac:dyDescent="0.35">
      <c r="B112" s="639">
        <v>108</v>
      </c>
      <c r="C112" s="640">
        <f>IF($C$2=15.5,'S3'!A112,IF($C$2=16.5,'S3'!B112,IF($C$2=17.5,'S3'!C112,IF($C$2=18.5,'S3'!D112,IF($C$2=19.5,'S3'!E112,IF($C$2=20.5,'S3'!F112,IF($C$2=21.5,'S3'!G112,IF($C$2=22.5,'S3'!H112,IF($C$2=23.5,'S3'!I112,IF($C$2=24.5,'S3'!J112,IF($C$2=25.5,'S3'!K112,IF($C$2=26.5,'S3'!L112,IF($C$2=27.5,'S3'!M112,IF($C$2=28.5,'S3'!N112,IF($C$2=29.5,'S3'!O112,IF($C$2=30.5,'S3'!P112,IF($C$2=31.5,'S3'!Q112,IF($C$2=32.5,'S3'!R112,IF($C$2=33.5,'S3'!S112,IF($C$2=34.5,'S3'!T112,IF($C$2=35.5,'S3'!U112)))))))))))))))))))))</f>
        <v>282.36</v>
      </c>
      <c r="D112" s="641">
        <f t="shared" si="16"/>
        <v>395.3</v>
      </c>
      <c r="E112" s="641">
        <f>IF($E$2=15.5,'S3'!AF112,IF($E$2=16.5,'S3'!AG112,IF($E$2=17.5,'S3'!AH112,IF($E$2=18.5,'S3'!AI112,IF($E$2=19.5,'S3'!AJ112,IF($E$2=20.5,'S3'!AK112,IF($E$2=21.5,'S3'!AL112,IF($E$2=22.5,'S3'!AM112,IF($E$2=23.5,'S3'!AN112,IF($E$2=24.5,'S3'!AO112,IF($E$2=25.5,'S3'!AP112,IF($E$2=26.5,'S3'!AQ112,IF($E$2=27.5,'S3'!AR112,IF($E$2=28.5,'S3'!AS112,IF($E$2=29.5,'S3'!AT112,IF($E$2=30.5,'S3'!AU112,IF($E$2=31.5,'S3'!AV112,IF($E$2=32.5,'S3'!AW112,IF($E$2=33.5,'S3'!AX112,IF($E$2=34.5,'S3'!AY112,IF($E$2=35.5,'S3'!AZ112)))))))))))))))))))))</f>
        <v>176.91</v>
      </c>
      <c r="F112" s="641">
        <f t="shared" si="15"/>
        <v>247.67</v>
      </c>
    </row>
    <row r="113" spans="2:6" ht="18.75" thickBot="1" x14ac:dyDescent="0.35">
      <c r="B113" s="639">
        <v>109</v>
      </c>
      <c r="C113" s="640">
        <f>IF($C$2=15.5,'S3'!A113,IF($C$2=16.5,'S3'!B113,IF($C$2=17.5,'S3'!C113,IF($C$2=18.5,'S3'!D113,IF($C$2=19.5,'S3'!E113,IF($C$2=20.5,'S3'!F113,IF($C$2=21.5,'S3'!G113,IF($C$2=22.5,'S3'!H113,IF($C$2=23.5,'S3'!I113,IF($C$2=24.5,'S3'!J113,IF($C$2=25.5,'S3'!K113,IF($C$2=26.5,'S3'!L113,IF($C$2=27.5,'S3'!M113,IF($C$2=28.5,'S3'!N113,IF($C$2=29.5,'S3'!O113,IF($C$2=30.5,'S3'!P113,IF($C$2=31.5,'S3'!Q113,IF($C$2=32.5,'S3'!R113,IF($C$2=33.5,'S3'!S113,IF($C$2=34.5,'S3'!T113,IF($C$2=35.5,'S3'!U113)))))))))))))))))))))</f>
        <v>285.12</v>
      </c>
      <c r="D113" s="641">
        <f t="shared" si="16"/>
        <v>399.17</v>
      </c>
      <c r="E113" s="641">
        <f>IF($E$2=15.5,'S3'!AF113,IF($E$2=16.5,'S3'!AG113,IF($E$2=17.5,'S3'!AH113,IF($E$2=18.5,'S3'!AI113,IF($E$2=19.5,'S3'!AJ113,IF($E$2=20.5,'S3'!AK113,IF($E$2=21.5,'S3'!AL113,IF($E$2=22.5,'S3'!AM113,IF($E$2=23.5,'S3'!AN113,IF($E$2=24.5,'S3'!AO113,IF($E$2=25.5,'S3'!AP113,IF($E$2=26.5,'S3'!AQ113,IF($E$2=27.5,'S3'!AR113,IF($E$2=28.5,'S3'!AS113,IF($E$2=29.5,'S3'!AT113,IF($E$2=30.5,'S3'!AU113,IF($E$2=31.5,'S3'!AV113,IF($E$2=32.5,'S3'!AW113,IF($E$2=33.5,'S3'!AX113,IF($E$2=34.5,'S3'!AY113,IF($E$2=35.5,'S3'!AZ113)))))))))))))))))))))</f>
        <v>178.54</v>
      </c>
      <c r="F113" s="641">
        <f t="shared" si="15"/>
        <v>249.96</v>
      </c>
    </row>
    <row r="114" spans="2:6" ht="18.75" thickBot="1" x14ac:dyDescent="0.35">
      <c r="B114" s="639">
        <v>110</v>
      </c>
      <c r="C114" s="640">
        <f>IF($C$2=15.5,'S3'!A114,IF($C$2=16.5,'S3'!B114,IF($C$2=17.5,'S3'!C114,IF($C$2=18.5,'S3'!D114,IF($C$2=19.5,'S3'!E114,IF($C$2=20.5,'S3'!F114,IF($C$2=21.5,'S3'!G114,IF($C$2=22.5,'S3'!H114,IF($C$2=23.5,'S3'!I114,IF($C$2=24.5,'S3'!J114,IF($C$2=25.5,'S3'!K114,IF($C$2=26.5,'S3'!L114,IF($C$2=27.5,'S3'!M114,IF($C$2=28.5,'S3'!N114,IF($C$2=29.5,'S3'!O114,IF($C$2=30.5,'S3'!P114,IF($C$2=31.5,'S3'!Q114,IF($C$2=32.5,'S3'!R114,IF($C$2=33.5,'S3'!S114,IF($C$2=34.5,'S3'!T114,IF($C$2=35.5,'S3'!U114)))))))))))))))))))))</f>
        <v>287.68</v>
      </c>
      <c r="D114" s="641">
        <f t="shared" si="16"/>
        <v>402.75</v>
      </c>
      <c r="E114" s="641">
        <f>IF($E$2=15.5,'S3'!AF114,IF($E$2=16.5,'S3'!AG114,IF($E$2=17.5,'S3'!AH114,IF($E$2=18.5,'S3'!AI114,IF($E$2=19.5,'S3'!AJ114,IF($E$2=20.5,'S3'!AK114,IF($E$2=21.5,'S3'!AL114,IF($E$2=22.5,'S3'!AM114,IF($E$2=23.5,'S3'!AN114,IF($E$2=24.5,'S3'!AO114,IF($E$2=25.5,'S3'!AP114,IF($E$2=26.5,'S3'!AQ114,IF($E$2=27.5,'S3'!AR114,IF($E$2=28.5,'S3'!AS114,IF($E$2=29.5,'S3'!AT114,IF($E$2=30.5,'S3'!AU114,IF($E$2=31.5,'S3'!AV114,IF($E$2=32.5,'S3'!AW114,IF($E$2=33.5,'S3'!AX114,IF($E$2=34.5,'S3'!AY114,IF($E$2=35.5,'S3'!AZ114)))))))))))))))))))))</f>
        <v>180.16</v>
      </c>
      <c r="F114" s="641">
        <f t="shared" si="15"/>
        <v>252.22</v>
      </c>
    </row>
    <row r="115" spans="2:6" ht="18.75" thickBot="1" x14ac:dyDescent="0.35">
      <c r="B115" s="639">
        <v>111</v>
      </c>
      <c r="C115" s="640">
        <f>IF($C$2=15.5,'S3'!A115,IF($C$2=16.5,'S3'!B115,IF($C$2=17.5,'S3'!C115,IF($C$2=18.5,'S3'!D115,IF($C$2=19.5,'S3'!E115,IF($C$2=20.5,'S3'!F115,IF($C$2=21.5,'S3'!G115,IF($C$2=22.5,'S3'!H115,IF($C$2=23.5,'S3'!I115,IF($C$2=24.5,'S3'!J115,IF($C$2=25.5,'S3'!K115,IF($C$2=26.5,'S3'!L115,IF($C$2=27.5,'S3'!M115,IF($C$2=28.5,'S3'!N115,IF($C$2=29.5,'S3'!O115,IF($C$2=30.5,'S3'!P115,IF($C$2=31.5,'S3'!Q115,IF($C$2=32.5,'S3'!R115,IF($C$2=33.5,'S3'!S115,IF($C$2=34.5,'S3'!T115,IF($C$2=35.5,'S3'!U115)))))))))))))))))))))</f>
        <v>290.26</v>
      </c>
      <c r="D115" s="641">
        <f t="shared" si="16"/>
        <v>406.36</v>
      </c>
      <c r="E115" s="641">
        <f>IF($E$2=15.5,'S3'!AF115,IF($E$2=16.5,'S3'!AG115,IF($E$2=17.5,'S3'!AH115,IF($E$2=18.5,'S3'!AI115,IF($E$2=19.5,'S3'!AJ115,IF($E$2=20.5,'S3'!AK115,IF($E$2=21.5,'S3'!AL115,IF($E$2=22.5,'S3'!AM115,IF($E$2=23.5,'S3'!AN115,IF($E$2=24.5,'S3'!AO115,IF($E$2=25.5,'S3'!AP115,IF($E$2=26.5,'S3'!AQ115,IF($E$2=27.5,'S3'!AR115,IF($E$2=28.5,'S3'!AS115,IF($E$2=29.5,'S3'!AT115,IF($E$2=30.5,'S3'!AU115,IF($E$2=31.5,'S3'!AV115,IF($E$2=32.5,'S3'!AW115,IF($E$2=33.5,'S3'!AX115,IF($E$2=34.5,'S3'!AY115,IF($E$2=35.5,'S3'!AZ115)))))))))))))))))))))</f>
        <v>181.79</v>
      </c>
      <c r="F115" s="641">
        <f t="shared" si="15"/>
        <v>254.51</v>
      </c>
    </row>
    <row r="116" spans="2:6" ht="18.75" thickBot="1" x14ac:dyDescent="0.35">
      <c r="B116" s="639">
        <v>112</v>
      </c>
      <c r="C116" s="640">
        <f>IF($C$2=15.5,'S3'!A116,IF($C$2=16.5,'S3'!B116,IF($C$2=17.5,'S3'!C116,IF($C$2=18.5,'S3'!D116,IF($C$2=19.5,'S3'!E116,IF($C$2=20.5,'S3'!F116,IF($C$2=21.5,'S3'!G116,IF($C$2=22.5,'S3'!H116,IF($C$2=23.5,'S3'!I116,IF($C$2=24.5,'S3'!J116,IF($C$2=25.5,'S3'!K116,IF($C$2=26.5,'S3'!L116,IF($C$2=27.5,'S3'!M116,IF($C$2=28.5,'S3'!N116,IF($C$2=29.5,'S3'!O116,IF($C$2=30.5,'S3'!P116,IF($C$2=31.5,'S3'!Q116,IF($C$2=32.5,'S3'!R116,IF($C$2=33.5,'S3'!S116,IF($C$2=34.5,'S3'!T116,IF($C$2=35.5,'S3'!U116)))))))))))))))))))))</f>
        <v>292.83999999999997</v>
      </c>
      <c r="D116" s="641">
        <f t="shared" si="16"/>
        <v>409.98</v>
      </c>
      <c r="E116" s="641">
        <f>IF($E$2=15.5,'S3'!AF116,IF($E$2=16.5,'S3'!AG116,IF($E$2=17.5,'S3'!AH116,IF($E$2=18.5,'S3'!AI116,IF($E$2=19.5,'S3'!AJ116,IF($E$2=20.5,'S3'!AK116,IF($E$2=21.5,'S3'!AL116,IF($E$2=22.5,'S3'!AM116,IF($E$2=23.5,'S3'!AN116,IF($E$2=24.5,'S3'!AO116,IF($E$2=25.5,'S3'!AP116,IF($E$2=26.5,'S3'!AQ116,IF($E$2=27.5,'S3'!AR116,IF($E$2=28.5,'S3'!AS116,IF($E$2=29.5,'S3'!AT116,IF($E$2=30.5,'S3'!AU116,IF($E$2=31.5,'S3'!AV116,IF($E$2=32.5,'S3'!AW116,IF($E$2=33.5,'S3'!AX116,IF($E$2=34.5,'S3'!AY116,IF($E$2=35.5,'S3'!AZ116)))))))))))))))))))))</f>
        <v>183.43</v>
      </c>
      <c r="F116" s="641">
        <f t="shared" si="15"/>
        <v>256.8</v>
      </c>
    </row>
    <row r="117" spans="2:6" ht="18.75" thickBot="1" x14ac:dyDescent="0.35">
      <c r="B117" s="639">
        <v>113</v>
      </c>
      <c r="C117" s="640">
        <f>IF($C$2=15.5,'S3'!A117,IF($C$2=16.5,'S3'!B117,IF($C$2=17.5,'S3'!C117,IF($C$2=18.5,'S3'!D117,IF($C$2=19.5,'S3'!E117,IF($C$2=20.5,'S3'!F117,IF($C$2=21.5,'S3'!G117,IF($C$2=22.5,'S3'!H117,IF($C$2=23.5,'S3'!I117,IF($C$2=24.5,'S3'!J117,IF($C$2=25.5,'S3'!K117,IF($C$2=26.5,'S3'!L117,IF($C$2=27.5,'S3'!M117,IF($C$2=28.5,'S3'!N117,IF($C$2=29.5,'S3'!O117,IF($C$2=30.5,'S3'!P117,IF($C$2=31.5,'S3'!Q117,IF($C$2=32.5,'S3'!R117,IF($C$2=33.5,'S3'!S117,IF($C$2=34.5,'S3'!T117,IF($C$2=35.5,'S3'!U117)))))))))))))))))))))</f>
        <v>295.43</v>
      </c>
      <c r="D117" s="641">
        <f t="shared" si="16"/>
        <v>413.6</v>
      </c>
      <c r="E117" s="641">
        <f>IF($E$2=15.5,'S3'!AF117,IF($E$2=16.5,'S3'!AG117,IF($E$2=17.5,'S3'!AH117,IF($E$2=18.5,'S3'!AI117,IF($E$2=19.5,'S3'!AJ117,IF($E$2=20.5,'S3'!AK117,IF($E$2=21.5,'S3'!AL117,IF($E$2=22.5,'S3'!AM117,IF($E$2=23.5,'S3'!AN117,IF($E$2=24.5,'S3'!AO117,IF($E$2=25.5,'S3'!AP117,IF($E$2=26.5,'S3'!AQ117,IF($E$2=27.5,'S3'!AR117,IF($E$2=28.5,'S3'!AS117,IF($E$2=29.5,'S3'!AT117,IF($E$2=30.5,'S3'!AU117,IF($E$2=31.5,'S3'!AV117,IF($E$2=32.5,'S3'!AW117,IF($E$2=33.5,'S3'!AX117,IF($E$2=34.5,'S3'!AY117,IF($E$2=35.5,'S3'!AZ117)))))))))))))))))))))</f>
        <v>185.06</v>
      </c>
      <c r="F117" s="641">
        <f t="shared" si="15"/>
        <v>259.08</v>
      </c>
    </row>
    <row r="118" spans="2:6" ht="18.75" thickBot="1" x14ac:dyDescent="0.35">
      <c r="B118" s="639">
        <v>114</v>
      </c>
      <c r="C118" s="640">
        <f>IF($C$2=15.5,'S3'!A118,IF($C$2=16.5,'S3'!B118,IF($C$2=17.5,'S3'!C118,IF($C$2=18.5,'S3'!D118,IF($C$2=19.5,'S3'!E118,IF($C$2=20.5,'S3'!F118,IF($C$2=21.5,'S3'!G118,IF($C$2=22.5,'S3'!H118,IF($C$2=23.5,'S3'!I118,IF($C$2=24.5,'S3'!J118,IF($C$2=25.5,'S3'!K118,IF($C$2=26.5,'S3'!L118,IF($C$2=27.5,'S3'!M118,IF($C$2=28.5,'S3'!N118,IF($C$2=29.5,'S3'!O118,IF($C$2=30.5,'S3'!P118,IF($C$2=31.5,'S3'!Q118,IF($C$2=32.5,'S3'!R118,IF($C$2=33.5,'S3'!S118,IF($C$2=34.5,'S3'!T118,IF($C$2=35.5,'S3'!U118)))))))))))))))))))))</f>
        <v>298.02999999999997</v>
      </c>
      <c r="D118" s="641">
        <f t="shared" si="16"/>
        <v>417.24</v>
      </c>
      <c r="E118" s="641">
        <f>IF($E$2=15.5,'S3'!AF118,IF($E$2=16.5,'S3'!AG118,IF($E$2=17.5,'S3'!AH118,IF($E$2=18.5,'S3'!AI118,IF($E$2=19.5,'S3'!AJ118,IF($E$2=20.5,'S3'!AK118,IF($E$2=21.5,'S3'!AL118,IF($E$2=22.5,'S3'!AM118,IF($E$2=23.5,'S3'!AN118,IF($E$2=24.5,'S3'!AO118,IF($E$2=25.5,'S3'!AP118,IF($E$2=26.5,'S3'!AQ118,IF($E$2=27.5,'S3'!AR118,IF($E$2=28.5,'S3'!AS118,IF($E$2=29.5,'S3'!AT118,IF($E$2=30.5,'S3'!AU118,IF($E$2=31.5,'S3'!AV118,IF($E$2=32.5,'S3'!AW118,IF($E$2=33.5,'S3'!AX118,IF($E$2=34.5,'S3'!AY118,IF($E$2=35.5,'S3'!AZ118)))))))))))))))))))))</f>
        <v>186.69</v>
      </c>
      <c r="F118" s="641">
        <f t="shared" si="15"/>
        <v>261.37</v>
      </c>
    </row>
    <row r="119" spans="2:6" ht="18.75" thickBot="1" x14ac:dyDescent="0.35">
      <c r="B119" s="639">
        <v>115</v>
      </c>
      <c r="C119" s="640">
        <f>IF($C$2=15.5,'S3'!A119,IF($C$2=16.5,'S3'!B119,IF($C$2=17.5,'S3'!C119,IF($C$2=18.5,'S3'!D119,IF($C$2=19.5,'S3'!E119,IF($C$2=20.5,'S3'!F119,IF($C$2=21.5,'S3'!G119,IF($C$2=22.5,'S3'!H119,IF($C$2=23.5,'S3'!I119,IF($C$2=24.5,'S3'!J119,IF($C$2=25.5,'S3'!K119,IF($C$2=26.5,'S3'!L119,IF($C$2=27.5,'S3'!M119,IF($C$2=28.5,'S3'!N119,IF($C$2=29.5,'S3'!O119,IF($C$2=30.5,'S3'!P119,IF($C$2=31.5,'S3'!Q119,IF($C$2=32.5,'S3'!R119,IF($C$2=33.5,'S3'!S119,IF($C$2=34.5,'S3'!T119,IF($C$2=35.5,'S3'!U119)))))))))))))))))))))</f>
        <v>300.63</v>
      </c>
      <c r="D119" s="641">
        <f t="shared" si="16"/>
        <v>420.88</v>
      </c>
      <c r="E119" s="641">
        <f>IF($E$2=15.5,'S3'!AF119,IF($E$2=16.5,'S3'!AG119,IF($E$2=17.5,'S3'!AH119,IF($E$2=18.5,'S3'!AI119,IF($E$2=19.5,'S3'!AJ119,IF($E$2=20.5,'S3'!AK119,IF($E$2=21.5,'S3'!AL119,IF($E$2=22.5,'S3'!AM119,IF($E$2=23.5,'S3'!AN119,IF($E$2=24.5,'S3'!AO119,IF($E$2=25.5,'S3'!AP119,IF($E$2=26.5,'S3'!AQ119,IF($E$2=27.5,'S3'!AR119,IF($E$2=28.5,'S3'!AS119,IF($E$2=29.5,'S3'!AT119,IF($E$2=30.5,'S3'!AU119,IF($E$2=31.5,'S3'!AV119,IF($E$2=32.5,'S3'!AW119,IF($E$2=33.5,'S3'!AX119,IF($E$2=34.5,'S3'!AY119,IF($E$2=35.5,'S3'!AZ119)))))))))))))))))))))</f>
        <v>188.33</v>
      </c>
      <c r="F119" s="641">
        <f t="shared" si="15"/>
        <v>263.66000000000003</v>
      </c>
    </row>
    <row r="120" spans="2:6" ht="18.75" thickBot="1" x14ac:dyDescent="0.35">
      <c r="B120" s="639">
        <v>116</v>
      </c>
      <c r="C120" s="640">
        <f>IF($C$2=15.5,'S3'!A120,IF($C$2=16.5,'S3'!B120,IF($C$2=17.5,'S3'!C120,IF($C$2=18.5,'S3'!D120,IF($C$2=19.5,'S3'!E120,IF($C$2=20.5,'S3'!F120,IF($C$2=21.5,'S3'!G120,IF($C$2=22.5,'S3'!H120,IF($C$2=23.5,'S3'!I120,IF($C$2=24.5,'S3'!J120,IF($C$2=25.5,'S3'!K120,IF($C$2=26.5,'S3'!L120,IF($C$2=27.5,'S3'!M120,IF($C$2=28.5,'S3'!N120,IF($C$2=29.5,'S3'!O120,IF($C$2=30.5,'S3'!P120,IF($C$2=31.5,'S3'!Q120,IF($C$2=32.5,'S3'!R120,IF($C$2=33.5,'S3'!S120,IF($C$2=34.5,'S3'!T120,IF($C$2=35.5,'S3'!U120)))))))))))))))))))))</f>
        <v>303.25</v>
      </c>
      <c r="D120" s="641">
        <f t="shared" si="16"/>
        <v>424.55</v>
      </c>
      <c r="E120" s="641">
        <f>IF($E$2=15.5,'S3'!AF120,IF($E$2=16.5,'S3'!AG120,IF($E$2=17.5,'S3'!AH120,IF($E$2=18.5,'S3'!AI120,IF($E$2=19.5,'S3'!AJ120,IF($E$2=20.5,'S3'!AK120,IF($E$2=21.5,'S3'!AL120,IF($E$2=22.5,'S3'!AM120,IF($E$2=23.5,'S3'!AN120,IF($E$2=24.5,'S3'!AO120,IF($E$2=25.5,'S3'!AP120,IF($E$2=26.5,'S3'!AQ120,IF($E$2=27.5,'S3'!AR120,IF($E$2=28.5,'S3'!AS120,IF($E$2=29.5,'S3'!AT120,IF($E$2=30.5,'S3'!AU120,IF($E$2=31.5,'S3'!AV120,IF($E$2=32.5,'S3'!AW120,IF($E$2=33.5,'S3'!AX120,IF($E$2=34.5,'S3'!AY120,IF($E$2=35.5,'S3'!AZ120)))))))))))))))))))))</f>
        <v>189.97</v>
      </c>
      <c r="F120" s="641">
        <f t="shared" si="15"/>
        <v>265.95999999999998</v>
      </c>
    </row>
    <row r="121" spans="2:6" ht="18.75" thickBot="1" x14ac:dyDescent="0.35">
      <c r="B121" s="639">
        <v>117</v>
      </c>
      <c r="C121" s="640">
        <f>IF($C$2=15.5,'S3'!A121,IF($C$2=16.5,'S3'!B121,IF($C$2=17.5,'S3'!C121,IF($C$2=18.5,'S3'!D121,IF($C$2=19.5,'S3'!E121,IF($C$2=20.5,'S3'!F121,IF($C$2=21.5,'S3'!G121,IF($C$2=22.5,'S3'!H121,IF($C$2=23.5,'S3'!I121,IF($C$2=24.5,'S3'!J121,IF($C$2=25.5,'S3'!K121,IF($C$2=26.5,'S3'!L121,IF($C$2=27.5,'S3'!M121,IF($C$2=28.5,'S3'!N121,IF($C$2=29.5,'S3'!O121,IF($C$2=30.5,'S3'!P121,IF($C$2=31.5,'S3'!Q121,IF($C$2=32.5,'S3'!R121,IF($C$2=33.5,'S3'!S121,IF($C$2=34.5,'S3'!T121,IF($C$2=35.5,'S3'!U121)))))))))))))))))))))</f>
        <v>305.87</v>
      </c>
      <c r="D121" s="641">
        <f t="shared" si="16"/>
        <v>428.22</v>
      </c>
      <c r="E121" s="641">
        <f>IF($E$2=15.5,'S3'!AF121,IF($E$2=16.5,'S3'!AG121,IF($E$2=17.5,'S3'!AH121,IF($E$2=18.5,'S3'!AI121,IF($E$2=19.5,'S3'!AJ121,IF($E$2=20.5,'S3'!AK121,IF($E$2=21.5,'S3'!AL121,IF($E$2=22.5,'S3'!AM121,IF($E$2=23.5,'S3'!AN121,IF($E$2=24.5,'S3'!AO121,IF($E$2=25.5,'S3'!AP121,IF($E$2=26.5,'S3'!AQ121,IF($E$2=27.5,'S3'!AR121,IF($E$2=28.5,'S3'!AS121,IF($E$2=29.5,'S3'!AT121,IF($E$2=30.5,'S3'!AU121,IF($E$2=31.5,'S3'!AV121,IF($E$2=32.5,'S3'!AW121,IF($E$2=33.5,'S3'!AX121,IF($E$2=34.5,'S3'!AY121,IF($E$2=35.5,'S3'!AZ121)))))))))))))))))))))</f>
        <v>191.61</v>
      </c>
      <c r="F121" s="641">
        <f t="shared" si="15"/>
        <v>268.25</v>
      </c>
    </row>
    <row r="122" spans="2:6" ht="18.75" thickBot="1" x14ac:dyDescent="0.35">
      <c r="B122" s="639">
        <v>118</v>
      </c>
      <c r="C122" s="640">
        <f>IF($C$2=15.5,'S3'!A122,IF($C$2=16.5,'S3'!B122,IF($C$2=17.5,'S3'!C122,IF($C$2=18.5,'S3'!D122,IF($C$2=19.5,'S3'!E122,IF($C$2=20.5,'S3'!F122,IF($C$2=21.5,'S3'!G122,IF($C$2=22.5,'S3'!H122,IF($C$2=23.5,'S3'!I122,IF($C$2=24.5,'S3'!J122,IF($C$2=25.5,'S3'!K122,IF($C$2=26.5,'S3'!L122,IF($C$2=27.5,'S3'!M122,IF($C$2=28.5,'S3'!N122,IF($C$2=29.5,'S3'!O122,IF($C$2=30.5,'S3'!P122,IF($C$2=31.5,'S3'!Q122,IF($C$2=32.5,'S3'!R122,IF($C$2=33.5,'S3'!S122,IF($C$2=34.5,'S3'!T122,IF($C$2=35.5,'S3'!U122)))))))))))))))))))))</f>
        <v>308.5</v>
      </c>
      <c r="D122" s="641">
        <f t="shared" si="16"/>
        <v>431.9</v>
      </c>
      <c r="E122" s="641">
        <f>IF($E$2=15.5,'S3'!AF122,IF($E$2=16.5,'S3'!AG122,IF($E$2=17.5,'S3'!AH122,IF($E$2=18.5,'S3'!AI122,IF($E$2=19.5,'S3'!AJ122,IF($E$2=20.5,'S3'!AK122,IF($E$2=21.5,'S3'!AL122,IF($E$2=22.5,'S3'!AM122,IF($E$2=23.5,'S3'!AN122,IF($E$2=24.5,'S3'!AO122,IF($E$2=25.5,'S3'!AP122,IF($E$2=26.5,'S3'!AQ122,IF($E$2=27.5,'S3'!AR122,IF($E$2=28.5,'S3'!AS122,IF($E$2=29.5,'S3'!AT122,IF($E$2=30.5,'S3'!AU122,IF($E$2=31.5,'S3'!AV122,IF($E$2=32.5,'S3'!AW122,IF($E$2=33.5,'S3'!AX122,IF($E$2=34.5,'S3'!AY122,IF($E$2=35.5,'S3'!AZ122)))))))))))))))))))))</f>
        <v>193.26</v>
      </c>
      <c r="F122" s="641">
        <f t="shared" si="15"/>
        <v>270.56</v>
      </c>
    </row>
    <row r="123" spans="2:6" ht="18.75" thickBot="1" x14ac:dyDescent="0.35">
      <c r="B123" s="639">
        <v>119</v>
      </c>
      <c r="C123" s="640">
        <f>IF($C$2=15.5,'S3'!A123,IF($C$2=16.5,'S3'!B123,IF($C$2=17.5,'S3'!C123,IF($C$2=18.5,'S3'!D123,IF($C$2=19.5,'S3'!E123,IF($C$2=20.5,'S3'!F123,IF($C$2=21.5,'S3'!G123,IF($C$2=22.5,'S3'!H123,IF($C$2=23.5,'S3'!I123,IF($C$2=24.5,'S3'!J123,IF($C$2=25.5,'S3'!K123,IF($C$2=26.5,'S3'!L123,IF($C$2=27.5,'S3'!M123,IF($C$2=28.5,'S3'!N123,IF($C$2=29.5,'S3'!O123,IF($C$2=30.5,'S3'!P123,IF($C$2=31.5,'S3'!Q123,IF($C$2=32.5,'S3'!R123,IF($C$2=33.5,'S3'!S123,IF($C$2=34.5,'S3'!T123,IF($C$2=35.5,'S3'!U123)))))))))))))))))))))</f>
        <v>311.13</v>
      </c>
      <c r="D123" s="641">
        <f t="shared" si="16"/>
        <v>435.58</v>
      </c>
      <c r="E123" s="641">
        <f>IF($E$2=15.5,'S3'!AF123,IF($E$2=16.5,'S3'!AG123,IF($E$2=17.5,'S3'!AH123,IF($E$2=18.5,'S3'!AI123,IF($E$2=19.5,'S3'!AJ123,IF($E$2=20.5,'S3'!AK123,IF($E$2=21.5,'S3'!AL123,IF($E$2=22.5,'S3'!AM123,IF($E$2=23.5,'S3'!AN123,IF($E$2=24.5,'S3'!AO123,IF($E$2=25.5,'S3'!AP123,IF($E$2=26.5,'S3'!AQ123,IF($E$2=27.5,'S3'!AR123,IF($E$2=28.5,'S3'!AS123,IF($E$2=29.5,'S3'!AT123,IF($E$2=30.5,'S3'!AU123,IF($E$2=31.5,'S3'!AV123,IF($E$2=32.5,'S3'!AW123,IF($E$2=33.5,'S3'!AX123,IF($E$2=34.5,'S3'!AY123,IF($E$2=35.5,'S3'!AZ123)))))))))))))))))))))</f>
        <v>194.4</v>
      </c>
      <c r="F123" s="641">
        <f t="shared" si="15"/>
        <v>272.16000000000003</v>
      </c>
    </row>
    <row r="124" spans="2:6" ht="18.75" thickBot="1" x14ac:dyDescent="0.35">
      <c r="B124" s="639">
        <v>120</v>
      </c>
      <c r="C124" s="640">
        <f>IF($C$2=15.5,'S3'!A124,IF($C$2=16.5,'S3'!B124,IF($C$2=17.5,'S3'!C124,IF($C$2=18.5,'S3'!D124,IF($C$2=19.5,'S3'!E124,IF($C$2=20.5,'S3'!F124,IF($C$2=21.5,'S3'!G124,IF($C$2=22.5,'S3'!H124,IF($C$2=23.5,'S3'!I124,IF($C$2=24.5,'S3'!J124,IF($C$2=25.5,'S3'!K124,IF($C$2=26.5,'S3'!L124,IF($C$2=27.5,'S3'!M124,IF($C$2=28.5,'S3'!N124,IF($C$2=29.5,'S3'!O124,IF($C$2=30.5,'S3'!P124,IF($C$2=31.5,'S3'!Q124,IF($C$2=32.5,'S3'!R124,IF($C$2=33.5,'S3'!S124,IF($C$2=34.5,'S3'!T124,IF($C$2=35.5,'S3'!U124)))))))))))))))))))))</f>
        <v>313.77999999999997</v>
      </c>
      <c r="D124" s="641">
        <f t="shared" si="16"/>
        <v>439.29</v>
      </c>
      <c r="E124" s="641">
        <f>IF($E$2=15.5,'S3'!AF124,IF($E$2=16.5,'S3'!AG124,IF($E$2=17.5,'S3'!AH124,IF($E$2=18.5,'S3'!AI124,IF($E$2=19.5,'S3'!AJ124,IF($E$2=20.5,'S3'!AK124,IF($E$2=21.5,'S3'!AL124,IF($E$2=22.5,'S3'!AM124,IF($E$2=23.5,'S3'!AN124,IF($E$2=24.5,'S3'!AO124,IF($E$2=25.5,'S3'!AP124,IF($E$2=26.5,'S3'!AQ124,IF($E$2=27.5,'S3'!AR124,IF($E$2=28.5,'S3'!AS124,IF($E$2=29.5,'S3'!AT124,IF($E$2=30.5,'S3'!AU124,IF($E$2=31.5,'S3'!AV124,IF($E$2=32.5,'S3'!AW124,IF($E$2=33.5,'S3'!AX124,IF($E$2=34.5,'S3'!AY124,IF($E$2=35.5,'S3'!AZ124)))))))))))))))))))))</f>
        <v>196.4</v>
      </c>
      <c r="F124" s="641">
        <f t="shared" si="15"/>
        <v>274.95999999999998</v>
      </c>
    </row>
    <row r="125" spans="2:6" ht="18.75" thickBot="1" x14ac:dyDescent="0.35">
      <c r="B125" s="639">
        <v>121</v>
      </c>
      <c r="C125" s="640">
        <f>IF($C$2=15.5,'S3'!A125,IF($C$2=16.5,'S3'!B125,IF($C$2=17.5,'S3'!C125,IF($C$2=18.5,'S3'!D125,IF($C$2=19.5,'S3'!E125,IF($C$2=20.5,'S3'!F125,IF($C$2=21.5,'S3'!G125,IF($C$2=22.5,'S3'!H125,IF($C$2=23.5,'S3'!I125,IF($C$2=24.5,'S3'!J125,IF($C$2=25.5,'S3'!K125,IF($C$2=26.5,'S3'!L125,IF($C$2=27.5,'S3'!M125,IF($C$2=28.5,'S3'!N125,IF($C$2=29.5,'S3'!O125,IF($C$2=30.5,'S3'!P125,IF($C$2=31.5,'S3'!Q125,IF($C$2=32.5,'S3'!R125,IF($C$2=33.5,'S3'!S125,IF($C$2=34.5,'S3'!T125,IF($C$2=35.5,'S3'!U125)))))))))))))))))))))</f>
        <v>316.18</v>
      </c>
      <c r="D125" s="641">
        <f t="shared" si="16"/>
        <v>442.65</v>
      </c>
      <c r="E125" s="641">
        <f>IF($E$2=15.5,'S3'!AF125,IF($E$2=16.5,'S3'!AG125,IF($E$2=17.5,'S3'!AH125,IF($E$2=18.5,'S3'!AI125,IF($E$2=19.5,'S3'!AJ125,IF($E$2=20.5,'S3'!AK125,IF($E$2=21.5,'S3'!AL125,IF($E$2=22.5,'S3'!AM125,IF($E$2=23.5,'S3'!AN125,IF($E$2=24.5,'S3'!AO125,IF($E$2=25.5,'S3'!AP125,IF($E$2=26.5,'S3'!AQ125,IF($E$2=27.5,'S3'!AR125,IF($E$2=28.5,'S3'!AS125,IF($E$2=29.5,'S3'!AT125,IF($E$2=30.5,'S3'!AU125,IF($E$2=31.5,'S3'!AV125,IF($E$2=32.5,'S3'!AW125,IF($E$2=33.5,'S3'!AX125,IF($E$2=34.5,'S3'!AY125,IF($E$2=35.5,'S3'!AZ125)))))))))))))))))))))</f>
        <v>198.14</v>
      </c>
      <c r="F125" s="641">
        <f t="shared" si="15"/>
        <v>277.39999999999998</v>
      </c>
    </row>
    <row r="126" spans="2:6" ht="18.75" thickBot="1" x14ac:dyDescent="0.35">
      <c r="B126" s="639">
        <v>122</v>
      </c>
      <c r="C126" s="640">
        <f>IF($C$2=15.5,'S3'!A126,IF($C$2=16.5,'S3'!B126,IF($C$2=17.5,'S3'!C126,IF($C$2=18.5,'S3'!D126,IF($C$2=19.5,'S3'!E126,IF($C$2=20.5,'S3'!F126,IF($C$2=21.5,'S3'!G126,IF($C$2=22.5,'S3'!H126,IF($C$2=23.5,'S3'!I126,IF($C$2=24.5,'S3'!J126,IF($C$2=25.5,'S3'!K126,IF($C$2=26.5,'S3'!L126,IF($C$2=27.5,'S3'!M126,IF($C$2=28.5,'S3'!N126,IF($C$2=29.5,'S3'!O126,IF($C$2=30.5,'S3'!P126,IF($C$2=31.5,'S3'!Q126,IF($C$2=32.5,'S3'!R126,IF($C$2=33.5,'S3'!S126,IF($C$2=34.5,'S3'!T126,IF($C$2=35.5,'S3'!U126)))))))))))))))))))))</f>
        <v>318.83999999999997</v>
      </c>
      <c r="D126" s="641">
        <f t="shared" si="16"/>
        <v>446.38</v>
      </c>
      <c r="E126" s="641">
        <f>IF($E$2=15.5,'S3'!AF126,IF($E$2=16.5,'S3'!AG126,IF($E$2=17.5,'S3'!AH126,IF($E$2=18.5,'S3'!AI126,IF($E$2=19.5,'S3'!AJ126,IF($E$2=20.5,'S3'!AK126,IF($E$2=21.5,'S3'!AL126,IF($E$2=22.5,'S3'!AM126,IF($E$2=23.5,'S3'!AN126,IF($E$2=24.5,'S3'!AO126,IF($E$2=25.5,'S3'!AP126,IF($E$2=26.5,'S3'!AQ126,IF($E$2=27.5,'S3'!AR126,IF($E$2=28.5,'S3'!AS126,IF($E$2=29.5,'S3'!AT126,IF($E$2=30.5,'S3'!AU126,IF($E$2=31.5,'S3'!AV126,IF($E$2=32.5,'S3'!AW126,IF($E$2=33.5,'S3'!AX126,IF($E$2=34.5,'S3'!AY126,IF($E$2=35.5,'S3'!AZ126)))))))))))))))))))))</f>
        <v>199.79</v>
      </c>
      <c r="F126" s="641">
        <f t="shared" si="15"/>
        <v>279.70999999999998</v>
      </c>
    </row>
    <row r="127" spans="2:6" ht="18.75" thickBot="1" x14ac:dyDescent="0.35">
      <c r="B127" s="639">
        <v>123</v>
      </c>
      <c r="C127" s="640">
        <f>IF($C$2=15.5,'S3'!A127,IF($C$2=16.5,'S3'!B127,IF($C$2=17.5,'S3'!C127,IF($C$2=18.5,'S3'!D127,IF($C$2=19.5,'S3'!E127,IF($C$2=20.5,'S3'!F127,IF($C$2=21.5,'S3'!G127,IF($C$2=22.5,'S3'!H127,IF($C$2=23.5,'S3'!I127,IF($C$2=24.5,'S3'!J127,IF($C$2=25.5,'S3'!K127,IF($C$2=26.5,'S3'!L127,IF($C$2=27.5,'S3'!M127,IF($C$2=28.5,'S3'!N127,IF($C$2=29.5,'S3'!O127,IF($C$2=30.5,'S3'!P127,IF($C$2=31.5,'S3'!Q127,IF($C$2=32.5,'S3'!R127,IF($C$2=33.5,'S3'!S127,IF($C$2=34.5,'S3'!T127,IF($C$2=35.5,'S3'!U127)))))))))))))))))))))</f>
        <v>321.51</v>
      </c>
      <c r="D127" s="641">
        <f t="shared" si="16"/>
        <v>450.11</v>
      </c>
      <c r="E127" s="641">
        <f>IF($E$2=15.5,'S3'!AF127,IF($E$2=16.5,'S3'!AG127,IF($E$2=17.5,'S3'!AH127,IF($E$2=18.5,'S3'!AI127,IF($E$2=19.5,'S3'!AJ127,IF($E$2=20.5,'S3'!AK127,IF($E$2=21.5,'S3'!AL127,IF($E$2=22.5,'S3'!AM127,IF($E$2=23.5,'S3'!AN127,IF($E$2=24.5,'S3'!AO127,IF($E$2=25.5,'S3'!AP127,IF($E$2=26.5,'S3'!AQ127,IF($E$2=27.5,'S3'!AR127,IF($E$2=28.5,'S3'!AS127,IF($E$2=29.5,'S3'!AT127,IF($E$2=30.5,'S3'!AU127,IF($E$2=31.5,'S3'!AV127,IF($E$2=32.5,'S3'!AW127,IF($E$2=33.5,'S3'!AX127,IF($E$2=34.5,'S3'!AY127,IF($E$2=35.5,'S3'!AZ127)))))))))))))))))))))</f>
        <v>201.38</v>
      </c>
      <c r="F127" s="641">
        <f t="shared" si="15"/>
        <v>281.93</v>
      </c>
    </row>
    <row r="128" spans="2:6" ht="18.75" thickBot="1" x14ac:dyDescent="0.35">
      <c r="B128" s="639">
        <v>124</v>
      </c>
      <c r="C128" s="640">
        <f>IF($C$2=15.5,'S3'!A128,IF($C$2=16.5,'S3'!B128,IF($C$2=17.5,'S3'!C128,IF($C$2=18.5,'S3'!D128,IF($C$2=19.5,'S3'!E128,IF($C$2=20.5,'S3'!F128,IF($C$2=21.5,'S3'!G128,IF($C$2=22.5,'S3'!H128,IF($C$2=23.5,'S3'!I128,IF($C$2=24.5,'S3'!J128,IF($C$2=25.5,'S3'!K128,IF($C$2=26.5,'S3'!L128,IF($C$2=27.5,'S3'!M128,IF($C$2=28.5,'S3'!N128,IF($C$2=29.5,'S3'!O128,IF($C$2=30.5,'S3'!P128,IF($C$2=31.5,'S3'!Q128,IF($C$2=32.5,'S3'!R128,IF($C$2=33.5,'S3'!S128,IF($C$2=34.5,'S3'!T128,IF($C$2=35.5,'S3'!U128)))))))))))))))))))))</f>
        <v>324.19</v>
      </c>
      <c r="D128" s="641">
        <f t="shared" si="16"/>
        <v>453.87</v>
      </c>
      <c r="E128" s="641">
        <f>IF($E$2=15.5,'S3'!AF128,IF($E$2=16.5,'S3'!AG128,IF($E$2=17.5,'S3'!AH128,IF($E$2=18.5,'S3'!AI128,IF($E$2=19.5,'S3'!AJ128,IF($E$2=20.5,'S3'!AK128,IF($E$2=21.5,'S3'!AL128,IF($E$2=22.5,'S3'!AM128,IF($E$2=23.5,'S3'!AN128,IF($E$2=24.5,'S3'!AO128,IF($E$2=25.5,'S3'!AP128,IF($E$2=26.5,'S3'!AQ128,IF($E$2=27.5,'S3'!AR128,IF($E$2=28.5,'S3'!AS128,IF($E$2=29.5,'S3'!AT128,IF($E$2=30.5,'S3'!AU128,IF($E$2=31.5,'S3'!AV128,IF($E$2=32.5,'S3'!AW128,IF($E$2=33.5,'S3'!AX128,IF($E$2=34.5,'S3'!AY128,IF($E$2=35.5,'S3'!AZ128)))))))))))))))))))))</f>
        <v>203.03</v>
      </c>
      <c r="F128" s="641">
        <f t="shared" si="15"/>
        <v>284.24</v>
      </c>
    </row>
    <row r="129" spans="2:6" ht="18.75" thickBot="1" x14ac:dyDescent="0.35">
      <c r="B129" s="639">
        <v>125</v>
      </c>
      <c r="C129" s="640">
        <f>IF($C$2=15.5,'S3'!A129,IF($C$2=16.5,'S3'!B129,IF($C$2=17.5,'S3'!C129,IF($C$2=18.5,'S3'!D129,IF($C$2=19.5,'S3'!E129,IF($C$2=20.5,'S3'!F129,IF($C$2=21.5,'S3'!G129,IF($C$2=22.5,'S3'!H129,IF($C$2=23.5,'S3'!I129,IF($C$2=24.5,'S3'!J129,IF($C$2=25.5,'S3'!K129,IF($C$2=26.5,'S3'!L129,IF($C$2=27.5,'S3'!M129,IF($C$2=28.5,'S3'!N129,IF($C$2=29.5,'S3'!O129,IF($C$2=30.5,'S3'!P129,IF($C$2=31.5,'S3'!Q129,IF($C$2=32.5,'S3'!R129,IF($C$2=33.5,'S3'!S129,IF($C$2=34.5,'S3'!T129,IF($C$2=35.5,'S3'!U129)))))))))))))))))))))</f>
        <v>326.61</v>
      </c>
      <c r="D129" s="641">
        <f t="shared" si="16"/>
        <v>457.25</v>
      </c>
      <c r="E129" s="641">
        <f>IF($E$2=15.5,'S3'!AF129,IF($E$2=16.5,'S3'!AG129,IF($E$2=17.5,'S3'!AH129,IF($E$2=18.5,'S3'!AI129,IF($E$2=19.5,'S3'!AJ129,IF($E$2=20.5,'S3'!AK129,IF($E$2=21.5,'S3'!AL129,IF($E$2=22.5,'S3'!AM129,IF($E$2=23.5,'S3'!AN129,IF($E$2=24.5,'S3'!AO129,IF($E$2=25.5,'S3'!AP129,IF($E$2=26.5,'S3'!AQ129,IF($E$2=27.5,'S3'!AR129,IF($E$2=28.5,'S3'!AS129,IF($E$2=29.5,'S3'!AT129,IF($E$2=30.5,'S3'!AU129,IF($E$2=31.5,'S3'!AV129,IF($E$2=32.5,'S3'!AW129,IF($E$2=33.5,'S3'!AX129,IF($E$2=34.5,'S3'!AY129,IF($E$2=35.5,'S3'!AZ129)))))))))))))))))))))</f>
        <v>204.69</v>
      </c>
      <c r="F129" s="641">
        <f t="shared" si="15"/>
        <v>286.57</v>
      </c>
    </row>
    <row r="130" spans="2:6" ht="18.75" thickBot="1" x14ac:dyDescent="0.35">
      <c r="B130" s="639">
        <v>126</v>
      </c>
      <c r="C130" s="640">
        <f>IF($C$2=15.5,'S3'!A130,IF($C$2=16.5,'S3'!B130,IF($C$2=17.5,'S3'!C130,IF($C$2=18.5,'S3'!D130,IF($C$2=19.5,'S3'!E130,IF($C$2=20.5,'S3'!F130,IF($C$2=21.5,'S3'!G130,IF($C$2=22.5,'S3'!H130,IF($C$2=23.5,'S3'!I130,IF($C$2=24.5,'S3'!J130,IF($C$2=25.5,'S3'!K130,IF($C$2=26.5,'S3'!L130,IF($C$2=27.5,'S3'!M130,IF($C$2=28.5,'S3'!N130,IF($C$2=29.5,'S3'!O130,IF($C$2=30.5,'S3'!P130,IF($C$2=31.5,'S3'!Q130,IF($C$2=32.5,'S3'!R130,IF($C$2=33.5,'S3'!S130,IF($C$2=34.5,'S3'!T130,IF($C$2=35.5,'S3'!U130)))))))))))))))))))))</f>
        <v>329.3</v>
      </c>
      <c r="D130" s="641">
        <f t="shared" si="16"/>
        <v>461.02</v>
      </c>
      <c r="E130" s="641">
        <f>IF($E$2=15.5,'S3'!AF130,IF($E$2=16.5,'S3'!AG130,IF($E$2=17.5,'S3'!AH130,IF($E$2=18.5,'S3'!AI130,IF($E$2=19.5,'S3'!AJ130,IF($E$2=20.5,'S3'!AK130,IF($E$2=21.5,'S3'!AL130,IF($E$2=22.5,'S3'!AM130,IF($E$2=23.5,'S3'!AN130,IF($E$2=24.5,'S3'!AO130,IF($E$2=25.5,'S3'!AP130,IF($E$2=26.5,'S3'!AQ130,IF($E$2=27.5,'S3'!AR130,IF($E$2=28.5,'S3'!AS130,IF($E$2=29.5,'S3'!AT130,IF($E$2=30.5,'S3'!AU130,IF($E$2=31.5,'S3'!AV130,IF($E$2=32.5,'S3'!AW130,IF($E$2=33.5,'S3'!AX130,IF($E$2=34.5,'S3'!AY130,IF($E$2=35.5,'S3'!AZ130)))))))))))))))))))))</f>
        <v>206.28</v>
      </c>
      <c r="F130" s="641">
        <f t="shared" si="15"/>
        <v>288.79000000000002</v>
      </c>
    </row>
    <row r="131" spans="2:6" ht="18.75" thickBot="1" x14ac:dyDescent="0.35">
      <c r="B131" s="639">
        <v>127</v>
      </c>
      <c r="C131" s="640">
        <f>IF($C$2=15.5,'S3'!A131,IF($C$2=16.5,'S3'!B131,IF($C$2=17.5,'S3'!C131,IF($C$2=18.5,'S3'!D131,IF($C$2=19.5,'S3'!E131,IF($C$2=20.5,'S3'!F131,IF($C$2=21.5,'S3'!G131,IF($C$2=22.5,'S3'!H131,IF($C$2=23.5,'S3'!I131,IF($C$2=24.5,'S3'!J131,IF($C$2=25.5,'S3'!K131,IF($C$2=26.5,'S3'!L131,IF($C$2=27.5,'S3'!M131,IF($C$2=28.5,'S3'!N131,IF($C$2=29.5,'S3'!O131,IF($C$2=30.5,'S3'!P131,IF($C$2=31.5,'S3'!Q131,IF($C$2=32.5,'S3'!R131,IF($C$2=33.5,'S3'!S131,IF($C$2=34.5,'S3'!T131,IF($C$2=35.5,'S3'!U131)))))))))))))))))))))</f>
        <v>332</v>
      </c>
      <c r="D131" s="641">
        <f t="shared" si="16"/>
        <v>464.8</v>
      </c>
      <c r="E131" s="641">
        <f>IF($E$2=15.5,'S3'!AF131,IF($E$2=16.5,'S3'!AG131,IF($E$2=17.5,'S3'!AH131,IF($E$2=18.5,'S3'!AI131,IF($E$2=19.5,'S3'!AJ131,IF($E$2=20.5,'S3'!AK131,IF($E$2=21.5,'S3'!AL131,IF($E$2=22.5,'S3'!AM131,IF($E$2=23.5,'S3'!AN131,IF($E$2=24.5,'S3'!AO131,IF($E$2=25.5,'S3'!AP131,IF($E$2=26.5,'S3'!AQ131,IF($E$2=27.5,'S3'!AR131,IF($E$2=28.5,'S3'!AS131,IF($E$2=29.5,'S3'!AT131,IF($E$2=30.5,'S3'!AU131,IF($E$2=31.5,'S3'!AV131,IF($E$2=32.5,'S3'!AW131,IF($E$2=33.5,'S3'!AX131,IF($E$2=34.5,'S3'!AY131,IF($E$2=35.5,'S3'!AZ131)))))))))))))))))))))</f>
        <v>207.94</v>
      </c>
      <c r="F131" s="641">
        <f t="shared" si="15"/>
        <v>291.12</v>
      </c>
    </row>
    <row r="132" spans="2:6" ht="18.75" thickBot="1" x14ac:dyDescent="0.35">
      <c r="B132" s="639">
        <v>128</v>
      </c>
      <c r="C132" s="640">
        <f>IF($C$2=15.5,'S3'!A132,IF($C$2=16.5,'S3'!B132,IF($C$2=17.5,'S3'!C132,IF($C$2=18.5,'S3'!D132,IF($C$2=19.5,'S3'!E132,IF($C$2=20.5,'S3'!F132,IF($C$2=21.5,'S3'!G132,IF($C$2=22.5,'S3'!H132,IF($C$2=23.5,'S3'!I132,IF($C$2=24.5,'S3'!J132,IF($C$2=25.5,'S3'!K132,IF($C$2=26.5,'S3'!L132,IF($C$2=27.5,'S3'!M132,IF($C$2=28.5,'S3'!N132,IF($C$2=29.5,'S3'!O132,IF($C$2=30.5,'S3'!P132,IF($C$2=31.5,'S3'!Q132,IF($C$2=32.5,'S3'!R132,IF($C$2=33.5,'S3'!S132,IF($C$2=34.5,'S3'!T132,IF($C$2=35.5,'S3'!U132)))))))))))))))))))))</f>
        <v>334.44</v>
      </c>
      <c r="D132" s="641">
        <f t="shared" si="16"/>
        <v>468.22</v>
      </c>
      <c r="E132" s="641">
        <f>IF($E$2=15.5,'S3'!AF132,IF($E$2=16.5,'S3'!AG132,IF($E$2=17.5,'S3'!AH132,IF($E$2=18.5,'S3'!AI132,IF($E$2=19.5,'S3'!AJ132,IF($E$2=20.5,'S3'!AK132,IF($E$2=21.5,'S3'!AL132,IF($E$2=22.5,'S3'!AM132,IF($E$2=23.5,'S3'!AN132,IF($E$2=24.5,'S3'!AO132,IF($E$2=25.5,'S3'!AP132,IF($E$2=26.5,'S3'!AQ132,IF($E$2=27.5,'S3'!AR132,IF($E$2=28.5,'S3'!AS132,IF($E$2=29.5,'S3'!AT132,IF($E$2=30.5,'S3'!AU132,IF($E$2=31.5,'S3'!AV132,IF($E$2=32.5,'S3'!AW132,IF($E$2=33.5,'S3'!AX132,IF($E$2=34.5,'S3'!AY132,IF($E$2=35.5,'S3'!AZ132)))))))))))))))))))))</f>
        <v>209.61</v>
      </c>
      <c r="F132" s="641">
        <f t="shared" si="15"/>
        <v>293.45</v>
      </c>
    </row>
    <row r="133" spans="2:6" ht="18.75" thickBot="1" x14ac:dyDescent="0.35">
      <c r="B133" s="639">
        <v>129</v>
      </c>
      <c r="C133" s="640">
        <f>IF($C$2=15.5,'S3'!A133,IF($C$2=16.5,'S3'!B133,IF($C$2=17.5,'S3'!C133,IF($C$2=18.5,'S3'!D133,IF($C$2=19.5,'S3'!E133,IF($C$2=20.5,'S3'!F133,IF($C$2=21.5,'S3'!G133,IF($C$2=22.5,'S3'!H133,IF($C$2=23.5,'S3'!I133,IF($C$2=24.5,'S3'!J133,IF($C$2=25.5,'S3'!K133,IF($C$2=26.5,'S3'!L133,IF($C$2=27.5,'S3'!M133,IF($C$2=28.5,'S3'!N133,IF($C$2=29.5,'S3'!O133,IF($C$2=30.5,'S3'!P133,IF($C$2=31.5,'S3'!Q133,IF($C$2=32.5,'S3'!R133,IF($C$2=33.5,'S3'!S133,IF($C$2=34.5,'S3'!T133,IF($C$2=35.5,'S3'!U133)))))))))))))))))))))</f>
        <v>337.15</v>
      </c>
      <c r="D133" s="641">
        <f t="shared" si="16"/>
        <v>472.01</v>
      </c>
      <c r="E133" s="641">
        <f>IF($E$2=15.5,'S3'!AF133,IF($E$2=16.5,'S3'!AG133,IF($E$2=17.5,'S3'!AH133,IF($E$2=18.5,'S3'!AI133,IF($E$2=19.5,'S3'!AJ133,IF($E$2=20.5,'S3'!AK133,IF($E$2=21.5,'S3'!AL133,IF($E$2=22.5,'S3'!AM133,IF($E$2=23.5,'S3'!AN133,IF($E$2=24.5,'S3'!AO133,IF($E$2=25.5,'S3'!AP133,IF($E$2=26.5,'S3'!AQ133,IF($E$2=27.5,'S3'!AR133,IF($E$2=28.5,'S3'!AS133,IF($E$2=29.5,'S3'!AT133,IF($E$2=30.5,'S3'!AU133,IF($E$2=31.5,'S3'!AV133,IF($E$2=32.5,'S3'!AW133,IF($E$2=33.5,'S3'!AX133,IF($E$2=34.5,'S3'!AY133,IF($E$2=35.5,'S3'!AZ133)))))))))))))))))))))</f>
        <v>211.2</v>
      </c>
      <c r="F133" s="641">
        <f t="shared" si="15"/>
        <v>295.68</v>
      </c>
    </row>
    <row r="134" spans="2:6" ht="18.75" thickBot="1" x14ac:dyDescent="0.35">
      <c r="B134" s="639">
        <v>130</v>
      </c>
      <c r="C134" s="640">
        <f>IF($C$2=15.5,'S3'!A134,IF($C$2=16.5,'S3'!B134,IF($C$2=17.5,'S3'!C134,IF($C$2=18.5,'S3'!D134,IF($C$2=19.5,'S3'!E134,IF($C$2=20.5,'S3'!F134,IF($C$2=21.5,'S3'!G134,IF($C$2=22.5,'S3'!H134,IF($C$2=23.5,'S3'!I134,IF($C$2=24.5,'S3'!J134,IF($C$2=25.5,'S3'!K134,IF($C$2=26.5,'S3'!L134,IF($C$2=27.5,'S3'!M134,IF($C$2=28.5,'S3'!N134,IF($C$2=29.5,'S3'!O134,IF($C$2=30.5,'S3'!P134,IF($C$2=31.5,'S3'!Q134,IF($C$2=32.5,'S3'!R134,IF($C$2=33.5,'S3'!S134,IF($C$2=34.5,'S3'!T134,IF($C$2=35.5,'S3'!U134)))))))))))))))))))))</f>
        <v>339.88</v>
      </c>
      <c r="D134" s="641">
        <f t="shared" si="16"/>
        <v>475.83</v>
      </c>
      <c r="E134" s="641">
        <f>IF($E$2=15.5,'S3'!AF134,IF($E$2=16.5,'S3'!AG134,IF($E$2=17.5,'S3'!AH134,IF($E$2=18.5,'S3'!AI134,IF($E$2=19.5,'S3'!AJ134,IF($E$2=20.5,'S3'!AK134,IF($E$2=21.5,'S3'!AL134,IF($E$2=22.5,'S3'!AM134,IF($E$2=23.5,'S3'!AN134,IF($E$2=24.5,'S3'!AO134,IF($E$2=25.5,'S3'!AP134,IF($E$2=26.5,'S3'!AQ134,IF($E$2=27.5,'S3'!AR134,IF($E$2=28.5,'S3'!AS134,IF($E$2=29.5,'S3'!AT134,IF($E$2=30.5,'S3'!AU134,IF($E$2=31.5,'S3'!AV134,IF($E$2=32.5,'S3'!AW134,IF($E$2=33.5,'S3'!AX134,IF($E$2=34.5,'S3'!AY134,IF($E$2=35.5,'S3'!AZ134)))))))))))))))))))))</f>
        <v>212.87</v>
      </c>
      <c r="F134" s="641">
        <f t="shared" ref="F134:F197" si="17">ROUND(E134*1.4,2)</f>
        <v>298.02</v>
      </c>
    </row>
    <row r="135" spans="2:6" ht="18.75" thickBot="1" x14ac:dyDescent="0.35">
      <c r="B135" s="639">
        <v>131</v>
      </c>
      <c r="C135" s="640">
        <f>IF($C$2=15.5,'S3'!A135,IF($C$2=16.5,'S3'!B135,IF($C$2=17.5,'S3'!C135,IF($C$2=18.5,'S3'!D135,IF($C$2=19.5,'S3'!E135,IF($C$2=20.5,'S3'!F135,IF($C$2=21.5,'S3'!G135,IF($C$2=22.5,'S3'!H135,IF($C$2=23.5,'S3'!I135,IF($C$2=24.5,'S3'!J135,IF($C$2=25.5,'S3'!K135,IF($C$2=26.5,'S3'!L135,IF($C$2=27.5,'S3'!M135,IF($C$2=28.5,'S3'!N135,IF($C$2=29.5,'S3'!O135,IF($C$2=30.5,'S3'!P135,IF($C$2=31.5,'S3'!Q135,IF($C$2=32.5,'S3'!R135,IF($C$2=33.5,'S3'!S135,IF($C$2=34.5,'S3'!T135,IF($C$2=35.5,'S3'!U135)))))))))))))))))))))</f>
        <v>342.23</v>
      </c>
      <c r="D135" s="641">
        <f t="shared" ref="D135:D198" si="18">ROUND(C135*1.4,2)</f>
        <v>479.12</v>
      </c>
      <c r="E135" s="641">
        <f>IF($E$2=15.5,'S3'!AF135,IF($E$2=16.5,'S3'!AG135,IF($E$2=17.5,'S3'!AH135,IF($E$2=18.5,'S3'!AI135,IF($E$2=19.5,'S3'!AJ135,IF($E$2=20.5,'S3'!AK135,IF($E$2=21.5,'S3'!AL135,IF($E$2=22.5,'S3'!AM135,IF($E$2=23.5,'S3'!AN135,IF($E$2=24.5,'S3'!AO135,IF($E$2=25.5,'S3'!AP135,IF($E$2=26.5,'S3'!AQ135,IF($E$2=27.5,'S3'!AR135,IF($E$2=28.5,'S3'!AS135,IF($E$2=29.5,'S3'!AT135,IF($E$2=30.5,'S3'!AU135,IF($E$2=31.5,'S3'!AV135,IF($E$2=32.5,'S3'!AW135,IF($E$2=33.5,'S3'!AX135,IF($E$2=34.5,'S3'!AY135,IF($E$2=35.5,'S3'!AZ135)))))))))))))))))))))</f>
        <v>214.47</v>
      </c>
      <c r="F135" s="641">
        <f t="shared" si="17"/>
        <v>300.26</v>
      </c>
    </row>
    <row r="136" spans="2:6" ht="18.75" thickBot="1" x14ac:dyDescent="0.35">
      <c r="B136" s="639">
        <v>132</v>
      </c>
      <c r="C136" s="640">
        <f>IF($C$2=15.5,'S3'!A136,IF($C$2=16.5,'S3'!B136,IF($C$2=17.5,'S3'!C136,IF($C$2=18.5,'S3'!D136,IF($C$2=19.5,'S3'!E136,IF($C$2=20.5,'S3'!F136,IF($C$2=21.5,'S3'!G136,IF($C$2=22.5,'S3'!H136,IF($C$2=23.5,'S3'!I136,IF($C$2=24.5,'S3'!J136,IF($C$2=25.5,'S3'!K136,IF($C$2=26.5,'S3'!L136,IF($C$2=27.5,'S3'!M136,IF($C$2=28.5,'S3'!N136,IF($C$2=29.5,'S3'!O136,IF($C$2=30.5,'S3'!P136,IF($C$2=31.5,'S3'!Q136,IF($C$2=32.5,'S3'!R136,IF($C$2=33.5,'S3'!S136,IF($C$2=34.5,'S3'!T136,IF($C$2=35.5,'S3'!U136)))))))))))))))))))))</f>
        <v>345.07</v>
      </c>
      <c r="D136" s="641">
        <f t="shared" si="18"/>
        <v>483.1</v>
      </c>
      <c r="E136" s="641">
        <f>IF($E$2=15.5,'S3'!AF136,IF($E$2=16.5,'S3'!AG136,IF($E$2=17.5,'S3'!AH136,IF($E$2=18.5,'S3'!AI136,IF($E$2=19.5,'S3'!AJ136,IF($E$2=20.5,'S3'!AK136,IF($E$2=21.5,'S3'!AL136,IF($E$2=22.5,'S3'!AM136,IF($E$2=23.5,'S3'!AN136,IF($E$2=24.5,'S3'!AO136,IF($E$2=25.5,'S3'!AP136,IF($E$2=26.5,'S3'!AQ136,IF($E$2=27.5,'S3'!AR136,IF($E$2=28.5,'S3'!AS136,IF($E$2=29.5,'S3'!AT136,IF($E$2=30.5,'S3'!AU136,IF($E$2=31.5,'S3'!AV136,IF($E$2=32.5,'S3'!AW136,IF($E$2=33.5,'S3'!AX136,IF($E$2=34.5,'S3'!AY136,IF($E$2=35.5,'S3'!AZ136)))))))))))))))))))))</f>
        <v>216.07</v>
      </c>
      <c r="F136" s="641">
        <f t="shared" si="17"/>
        <v>302.5</v>
      </c>
    </row>
    <row r="137" spans="2:6" ht="18.75" thickBot="1" x14ac:dyDescent="0.35">
      <c r="B137" s="639">
        <v>133</v>
      </c>
      <c r="C137" s="640">
        <f>IF($C$2=15.5,'S3'!A137,IF($C$2=16.5,'S3'!B137,IF($C$2=17.5,'S3'!C137,IF($C$2=18.5,'S3'!D137,IF($C$2=19.5,'S3'!E137,IF($C$2=20.5,'S3'!F137,IF($C$2=21.5,'S3'!G137,IF($C$2=22.5,'S3'!H137,IF($C$2=23.5,'S3'!I137,IF($C$2=24.5,'S3'!J137,IF($C$2=25.5,'S3'!K137,IF($C$2=26.5,'S3'!L137,IF($C$2=27.5,'S3'!M137,IF($C$2=28.5,'S3'!N137,IF($C$2=29.5,'S3'!O137,IF($C$2=30.5,'S3'!P137,IF($C$2=31.5,'S3'!Q137,IF($C$2=32.5,'S3'!R137,IF($C$2=33.5,'S3'!S137,IF($C$2=34.5,'S3'!T137,IF($C$2=35.5,'S3'!U137)))))))))))))))))))))</f>
        <v>347.53</v>
      </c>
      <c r="D137" s="641">
        <f t="shared" si="18"/>
        <v>486.54</v>
      </c>
      <c r="E137" s="641">
        <f>IF($E$2=15.5,'S3'!AF137,IF($E$2=16.5,'S3'!AG137,IF($E$2=17.5,'S3'!AH137,IF($E$2=18.5,'S3'!AI137,IF($E$2=19.5,'S3'!AJ137,IF($E$2=20.5,'S3'!AK137,IF($E$2=21.5,'S3'!AL137,IF($E$2=22.5,'S3'!AM137,IF($E$2=23.5,'S3'!AN137,IF($E$2=24.5,'S3'!AO137,IF($E$2=25.5,'S3'!AP137,IF($E$2=26.5,'S3'!AQ137,IF($E$2=27.5,'S3'!AR137,IF($E$2=28.5,'S3'!AS137,IF($E$2=29.5,'S3'!AT137,IF($E$2=30.5,'S3'!AU137,IF($E$2=31.5,'S3'!AV137,IF($E$2=32.5,'S3'!AW137,IF($E$2=33.5,'S3'!AX137,IF($E$2=34.5,'S3'!AY137,IF($E$2=35.5,'S3'!AZ137)))))))))))))))))))))</f>
        <v>217.74</v>
      </c>
      <c r="F137" s="641">
        <f t="shared" si="17"/>
        <v>304.83999999999997</v>
      </c>
    </row>
    <row r="138" spans="2:6" ht="18.75" thickBot="1" x14ac:dyDescent="0.35">
      <c r="B138" s="639">
        <v>134</v>
      </c>
      <c r="C138" s="640">
        <f>IF($C$2=15.5,'S3'!A138,IF($C$2=16.5,'S3'!B138,IF($C$2=17.5,'S3'!C138,IF($C$2=18.5,'S3'!D138,IF($C$2=19.5,'S3'!E138,IF($C$2=20.5,'S3'!F138,IF($C$2=21.5,'S3'!G138,IF($C$2=22.5,'S3'!H138,IF($C$2=23.5,'S3'!I138,IF($C$2=24.5,'S3'!J138,IF($C$2=25.5,'S3'!K138,IF($C$2=26.5,'S3'!L138,IF($C$2=27.5,'S3'!M138,IF($C$2=28.5,'S3'!N138,IF($C$2=29.5,'S3'!O138,IF($C$2=30.5,'S3'!P138,IF($C$2=31.5,'S3'!Q138,IF($C$2=32.5,'S3'!R138,IF($C$2=33.5,'S3'!S138,IF($C$2=34.5,'S3'!T138,IF($C$2=35.5,'S3'!U138)))))))))))))))))))))</f>
        <v>350.29</v>
      </c>
      <c r="D138" s="641">
        <f t="shared" si="18"/>
        <v>490.41</v>
      </c>
      <c r="E138" s="641">
        <f>IF($E$2=15.5,'S3'!AF138,IF($E$2=16.5,'S3'!AG138,IF($E$2=17.5,'S3'!AH138,IF($E$2=18.5,'S3'!AI138,IF($E$2=19.5,'S3'!AJ138,IF($E$2=20.5,'S3'!AK138,IF($E$2=21.5,'S3'!AL138,IF($E$2=22.5,'S3'!AM138,IF($E$2=23.5,'S3'!AN138,IF($E$2=24.5,'S3'!AO138,IF($E$2=25.5,'S3'!AP138,IF($E$2=26.5,'S3'!AQ138,IF($E$2=27.5,'S3'!AR138,IF($E$2=28.5,'S3'!AS138,IF($E$2=29.5,'S3'!AT138,IF($E$2=30.5,'S3'!AU138,IF($E$2=31.5,'S3'!AV138,IF($E$2=32.5,'S3'!AW138,IF($E$2=33.5,'S3'!AX138,IF($E$2=34.5,'S3'!AY138,IF($E$2=35.5,'S3'!AZ138)))))))))))))))))))))</f>
        <v>219.34</v>
      </c>
      <c r="F138" s="641">
        <f t="shared" si="17"/>
        <v>307.08</v>
      </c>
    </row>
    <row r="139" spans="2:6" ht="18.75" thickBot="1" x14ac:dyDescent="0.35">
      <c r="B139" s="639">
        <v>135</v>
      </c>
      <c r="C139" s="640">
        <f>IF($C$2=15.5,'S3'!A139,IF($C$2=16.5,'S3'!B139,IF($C$2=17.5,'S3'!C139,IF($C$2=18.5,'S3'!D139,IF($C$2=19.5,'S3'!E139,IF($C$2=20.5,'S3'!F139,IF($C$2=21.5,'S3'!G139,IF($C$2=22.5,'S3'!H139,IF($C$2=23.5,'S3'!I139,IF($C$2=24.5,'S3'!J139,IF($C$2=25.5,'S3'!K139,IF($C$2=26.5,'S3'!L139,IF($C$2=27.5,'S3'!M139,IF($C$2=28.5,'S3'!N139,IF($C$2=29.5,'S3'!O139,IF($C$2=30.5,'S3'!P139,IF($C$2=31.5,'S3'!Q139,IF($C$2=32.5,'S3'!R139,IF($C$2=33.5,'S3'!S139,IF($C$2=34.5,'S3'!T139,IF($C$2=35.5,'S3'!U139)))))))))))))))))))))</f>
        <v>352.76</v>
      </c>
      <c r="D139" s="641">
        <f t="shared" si="18"/>
        <v>493.86</v>
      </c>
      <c r="E139" s="641">
        <f>IF($E$2=15.5,'S3'!AF139,IF($E$2=16.5,'S3'!AG139,IF($E$2=17.5,'S3'!AH139,IF($E$2=18.5,'S3'!AI139,IF($E$2=19.5,'S3'!AJ139,IF($E$2=20.5,'S3'!AK139,IF($E$2=21.5,'S3'!AL139,IF($E$2=22.5,'S3'!AM139,IF($E$2=23.5,'S3'!AN139,IF($E$2=24.5,'S3'!AO139,IF($E$2=25.5,'S3'!AP139,IF($E$2=26.5,'S3'!AQ139,IF($E$2=27.5,'S3'!AR139,IF($E$2=28.5,'S3'!AS139,IF($E$2=29.5,'S3'!AT139,IF($E$2=30.5,'S3'!AU139,IF($E$2=31.5,'S3'!AV139,IF($E$2=32.5,'S3'!AW139,IF($E$2=33.5,'S3'!AX139,IF($E$2=34.5,'S3'!AY139,IF($E$2=35.5,'S3'!AZ139)))))))))))))))))))))</f>
        <v>221.02</v>
      </c>
      <c r="F139" s="641">
        <f t="shared" si="17"/>
        <v>309.43</v>
      </c>
    </row>
    <row r="140" spans="2:6" ht="18.75" thickBot="1" x14ac:dyDescent="0.35">
      <c r="B140" s="639">
        <v>136</v>
      </c>
      <c r="C140" s="640">
        <f>IF($C$2=15.5,'S3'!A140,IF($C$2=16.5,'S3'!B140,IF($C$2=17.5,'S3'!C140,IF($C$2=18.5,'S3'!D140,IF($C$2=19.5,'S3'!E140,IF($C$2=20.5,'S3'!F140,IF($C$2=21.5,'S3'!G140,IF($C$2=22.5,'S3'!H140,IF($C$2=23.5,'S3'!I140,IF($C$2=24.5,'S3'!J140,IF($C$2=25.5,'S3'!K140,IF($C$2=26.5,'S3'!L140,IF($C$2=27.5,'S3'!M140,IF($C$2=28.5,'S3'!N140,IF($C$2=29.5,'S3'!O140,IF($C$2=30.5,'S3'!P140,IF($C$2=31.5,'S3'!Q140,IF($C$2=32.5,'S3'!R140,IF($C$2=33.5,'S3'!S140,IF($C$2=34.5,'S3'!T140,IF($C$2=35.5,'S3'!U140)))))))))))))))))))))</f>
        <v>355.23</v>
      </c>
      <c r="D140" s="641">
        <f t="shared" si="18"/>
        <v>497.32</v>
      </c>
      <c r="E140" s="641">
        <f>IF($E$2=15.5,'S3'!AF140,IF($E$2=16.5,'S3'!AG140,IF($E$2=17.5,'S3'!AH140,IF($E$2=18.5,'S3'!AI140,IF($E$2=19.5,'S3'!AJ140,IF($E$2=20.5,'S3'!AK140,IF($E$2=21.5,'S3'!AL140,IF($E$2=22.5,'S3'!AM140,IF($E$2=23.5,'S3'!AN140,IF($E$2=24.5,'S3'!AO140,IF($E$2=25.5,'S3'!AP140,IF($E$2=26.5,'S3'!AQ140,IF($E$2=27.5,'S3'!AR140,IF($E$2=28.5,'S3'!AS140,IF($E$2=29.5,'S3'!AT140,IF($E$2=30.5,'S3'!AU140,IF($E$2=31.5,'S3'!AV140,IF($E$2=32.5,'S3'!AW140,IF($E$2=33.5,'S3'!AX140,IF($E$2=34.5,'S3'!AY140,IF($E$2=35.5,'S3'!AZ140)))))))))))))))))))))</f>
        <v>222.62</v>
      </c>
      <c r="F140" s="641">
        <f t="shared" si="17"/>
        <v>311.67</v>
      </c>
    </row>
    <row r="141" spans="2:6" ht="18.75" thickBot="1" x14ac:dyDescent="0.35">
      <c r="B141" s="639">
        <v>137</v>
      </c>
      <c r="C141" s="640">
        <f>IF($C$2=15.5,'S3'!A141,IF($C$2=16.5,'S3'!B141,IF($C$2=17.5,'S3'!C141,IF($C$2=18.5,'S3'!D141,IF($C$2=19.5,'S3'!E141,IF($C$2=20.5,'S3'!F141,IF($C$2=21.5,'S3'!G141,IF($C$2=22.5,'S3'!H141,IF($C$2=23.5,'S3'!I141,IF($C$2=24.5,'S3'!J141,IF($C$2=25.5,'S3'!K141,IF($C$2=26.5,'S3'!L141,IF($C$2=27.5,'S3'!M141,IF($C$2=28.5,'S3'!N141,IF($C$2=29.5,'S3'!O141,IF($C$2=30.5,'S3'!P141,IF($C$2=31.5,'S3'!Q141,IF($C$2=32.5,'S3'!R141,IF($C$2=33.5,'S3'!S141,IF($C$2=34.5,'S3'!T141,IF($C$2=35.5,'S3'!U141)))))))))))))))))))))</f>
        <v>358.02</v>
      </c>
      <c r="D141" s="641">
        <f t="shared" si="18"/>
        <v>501.23</v>
      </c>
      <c r="E141" s="641">
        <f>IF($E$2=15.5,'S3'!AF141,IF($E$2=16.5,'S3'!AG141,IF($E$2=17.5,'S3'!AH141,IF($E$2=18.5,'S3'!AI141,IF($E$2=19.5,'S3'!AJ141,IF($E$2=20.5,'S3'!AK141,IF($E$2=21.5,'S3'!AL141,IF($E$2=22.5,'S3'!AM141,IF($E$2=23.5,'S3'!AN141,IF($E$2=24.5,'S3'!AO141,IF($E$2=25.5,'S3'!AP141,IF($E$2=26.5,'S3'!AQ141,IF($E$2=27.5,'S3'!AR141,IF($E$2=28.5,'S3'!AS141,IF($E$2=29.5,'S3'!AT141,IF($E$2=30.5,'S3'!AU141,IF($E$2=31.5,'S3'!AV141,IF($E$2=32.5,'S3'!AW141,IF($E$2=33.5,'S3'!AX141,IF($E$2=34.5,'S3'!AY141,IF($E$2=35.5,'S3'!AZ141)))))))))))))))))))))</f>
        <v>224.31</v>
      </c>
      <c r="F141" s="641">
        <f t="shared" si="17"/>
        <v>314.02999999999997</v>
      </c>
    </row>
    <row r="142" spans="2:6" ht="18.75" thickBot="1" x14ac:dyDescent="0.35">
      <c r="B142" s="639">
        <v>138</v>
      </c>
      <c r="C142" s="640">
        <f>IF($C$2=15.5,'S3'!A142,IF($C$2=16.5,'S3'!B142,IF($C$2=17.5,'S3'!C142,IF($C$2=18.5,'S3'!D142,IF($C$2=19.5,'S3'!E142,IF($C$2=20.5,'S3'!F142,IF($C$2=21.5,'S3'!G142,IF($C$2=22.5,'S3'!H142,IF($C$2=23.5,'S3'!I142,IF($C$2=24.5,'S3'!J142,IF($C$2=25.5,'S3'!K142,IF($C$2=26.5,'S3'!L142,IF($C$2=27.5,'S3'!M142,IF($C$2=28.5,'S3'!N142,IF($C$2=29.5,'S3'!O142,IF($C$2=30.5,'S3'!P142,IF($C$2=31.5,'S3'!Q142,IF($C$2=32.5,'S3'!R142,IF($C$2=33.5,'S3'!S142,IF($C$2=34.5,'S3'!T142,IF($C$2=35.5,'S3'!U142)))))))))))))))))))))</f>
        <v>360.5</v>
      </c>
      <c r="D142" s="641">
        <f t="shared" si="18"/>
        <v>504.7</v>
      </c>
      <c r="E142" s="641">
        <f>IF($E$2=15.5,'S3'!AF142,IF($E$2=16.5,'S3'!AG142,IF($E$2=17.5,'S3'!AH142,IF($E$2=18.5,'S3'!AI142,IF($E$2=19.5,'S3'!AJ142,IF($E$2=20.5,'S3'!AK142,IF($E$2=21.5,'S3'!AL142,IF($E$2=22.5,'S3'!AM142,IF($E$2=23.5,'S3'!AN142,IF($E$2=24.5,'S3'!AO142,IF($E$2=25.5,'S3'!AP142,IF($E$2=26.5,'S3'!AQ142,IF($E$2=27.5,'S3'!AR142,IF($E$2=28.5,'S3'!AS142,IF($E$2=29.5,'S3'!AT142,IF($E$2=30.5,'S3'!AU142,IF($E$2=31.5,'S3'!AV142,IF($E$2=32.5,'S3'!AW142,IF($E$2=33.5,'S3'!AX142,IF($E$2=34.5,'S3'!AY142,IF($E$2=35.5,'S3'!AZ142)))))))))))))))))))))</f>
        <v>225.91</v>
      </c>
      <c r="F142" s="641">
        <f t="shared" si="17"/>
        <v>316.27</v>
      </c>
    </row>
    <row r="143" spans="2:6" ht="18.75" thickBot="1" x14ac:dyDescent="0.35">
      <c r="B143" s="639">
        <v>139</v>
      </c>
      <c r="C143" s="640">
        <f>IF($C$2=15.5,'S3'!A143,IF($C$2=16.5,'S3'!B143,IF($C$2=17.5,'S3'!C143,IF($C$2=18.5,'S3'!D143,IF($C$2=19.5,'S3'!E143,IF($C$2=20.5,'S3'!F143,IF($C$2=21.5,'S3'!G143,IF($C$2=22.5,'S3'!H143,IF($C$2=23.5,'S3'!I143,IF($C$2=24.5,'S3'!J143,IF($C$2=25.5,'S3'!K143,IF($C$2=26.5,'S3'!L143,IF($C$2=27.5,'S3'!M143,IF($C$2=28.5,'S3'!N143,IF($C$2=29.5,'S3'!O143,IF($C$2=30.5,'S3'!P143,IF($C$2=31.5,'S3'!Q143,IF($C$2=32.5,'S3'!R143,IF($C$2=33.5,'S3'!S143,IF($C$2=34.5,'S3'!T143,IF($C$2=35.5,'S3'!U143)))))))))))))))))))))</f>
        <v>363.3</v>
      </c>
      <c r="D143" s="641">
        <f t="shared" si="18"/>
        <v>508.62</v>
      </c>
      <c r="E143" s="641">
        <f>IF($E$2=15.5,'S3'!AF143,IF($E$2=16.5,'S3'!AG143,IF($E$2=17.5,'S3'!AH143,IF($E$2=18.5,'S3'!AI143,IF($E$2=19.5,'S3'!AJ143,IF($E$2=20.5,'S3'!AK143,IF($E$2=21.5,'S3'!AL143,IF($E$2=22.5,'S3'!AM143,IF($E$2=23.5,'S3'!AN143,IF($E$2=24.5,'S3'!AO143,IF($E$2=25.5,'S3'!AP143,IF($E$2=26.5,'S3'!AQ143,IF($E$2=27.5,'S3'!AR143,IF($E$2=28.5,'S3'!AS143,IF($E$2=29.5,'S3'!AT143,IF($E$2=30.5,'S3'!AU143,IF($E$2=31.5,'S3'!AV143,IF($E$2=32.5,'S3'!AW143,IF($E$2=33.5,'S3'!AX143,IF($E$2=34.5,'S3'!AY143,IF($E$2=35.5,'S3'!AZ143)))))))))))))))))))))</f>
        <v>227.52</v>
      </c>
      <c r="F143" s="641">
        <f t="shared" si="17"/>
        <v>318.52999999999997</v>
      </c>
    </row>
    <row r="144" spans="2:6" ht="18.75" thickBot="1" x14ac:dyDescent="0.35">
      <c r="B144" s="639">
        <v>140</v>
      </c>
      <c r="C144" s="640">
        <f>IF($C$2=15.5,'S3'!A144,IF($C$2=16.5,'S3'!B144,IF($C$2=17.5,'S3'!C144,IF($C$2=18.5,'S3'!D144,IF($C$2=19.5,'S3'!E144,IF($C$2=20.5,'S3'!F144,IF($C$2=21.5,'S3'!G144,IF($C$2=22.5,'S3'!H144,IF($C$2=23.5,'S3'!I144,IF($C$2=24.5,'S3'!J144,IF($C$2=25.5,'S3'!K144,IF($C$2=26.5,'S3'!L144,IF($C$2=27.5,'S3'!M144,IF($C$2=28.5,'S3'!N144,IF($C$2=29.5,'S3'!O144,IF($C$2=30.5,'S3'!P144,IF($C$2=31.5,'S3'!Q144,IF($C$2=32.5,'S3'!R144,IF($C$2=33.5,'S3'!S144,IF($C$2=34.5,'S3'!T144,IF($C$2=35.5,'S3'!U144)))))))))))))))))))))</f>
        <v>365.79</v>
      </c>
      <c r="D144" s="641">
        <f t="shared" si="18"/>
        <v>512.11</v>
      </c>
      <c r="E144" s="641">
        <f>IF($E$2=15.5,'S3'!AF144,IF($E$2=16.5,'S3'!AG144,IF($E$2=17.5,'S3'!AH144,IF($E$2=18.5,'S3'!AI144,IF($E$2=19.5,'S3'!AJ144,IF($E$2=20.5,'S3'!AK144,IF($E$2=21.5,'S3'!AL144,IF($E$2=22.5,'S3'!AM144,IF($E$2=23.5,'S3'!AN144,IF($E$2=24.5,'S3'!AO144,IF($E$2=25.5,'S3'!AP144,IF($E$2=26.5,'S3'!AQ144,IF($E$2=27.5,'S3'!AR144,IF($E$2=28.5,'S3'!AS144,IF($E$2=29.5,'S3'!AT144,IF($E$2=30.5,'S3'!AU144,IF($E$2=31.5,'S3'!AV144,IF($E$2=32.5,'S3'!AW144,IF($E$2=33.5,'S3'!AX144,IF($E$2=34.5,'S3'!AY144,IF($E$2=35.5,'S3'!AZ144)))))))))))))))))))))</f>
        <v>229.12</v>
      </c>
      <c r="F144" s="641">
        <f t="shared" si="17"/>
        <v>320.77</v>
      </c>
    </row>
    <row r="145" spans="2:6" ht="18.75" thickBot="1" x14ac:dyDescent="0.35">
      <c r="B145" s="639">
        <v>141</v>
      </c>
      <c r="C145" s="640">
        <f>IF($C$2=15.5,'S3'!A145,IF($C$2=16.5,'S3'!B145,IF($C$2=17.5,'S3'!C145,IF($C$2=18.5,'S3'!D145,IF($C$2=19.5,'S3'!E145,IF($C$2=20.5,'S3'!F145,IF($C$2=21.5,'S3'!G145,IF($C$2=22.5,'S3'!H145,IF($C$2=23.5,'S3'!I145,IF($C$2=24.5,'S3'!J145,IF($C$2=25.5,'S3'!K145,IF($C$2=26.5,'S3'!L145,IF($C$2=27.5,'S3'!M145,IF($C$2=28.5,'S3'!N145,IF($C$2=29.5,'S3'!O145,IF($C$2=30.5,'S3'!P145,IF($C$2=31.5,'S3'!Q145,IF($C$2=32.5,'S3'!R145,IF($C$2=33.5,'S3'!S145,IF($C$2=34.5,'S3'!T145,IF($C$2=35.5,'S3'!U145)))))))))))))))))))))</f>
        <v>368.28</v>
      </c>
      <c r="D145" s="641">
        <f t="shared" si="18"/>
        <v>515.59</v>
      </c>
      <c r="E145" s="641">
        <f>IF($E$2=15.5,'S3'!AF145,IF($E$2=16.5,'S3'!AG145,IF($E$2=17.5,'S3'!AH145,IF($E$2=18.5,'S3'!AI145,IF($E$2=19.5,'S3'!AJ145,IF($E$2=20.5,'S3'!AK145,IF($E$2=21.5,'S3'!AL145,IF($E$2=22.5,'S3'!AM145,IF($E$2=23.5,'S3'!AN145,IF($E$2=24.5,'S3'!AO145,IF($E$2=25.5,'S3'!AP145,IF($E$2=26.5,'S3'!AQ145,IF($E$2=27.5,'S3'!AR145,IF($E$2=28.5,'S3'!AS145,IF($E$2=29.5,'S3'!AT145,IF($E$2=30.5,'S3'!AU145,IF($E$2=31.5,'S3'!AV145,IF($E$2=32.5,'S3'!AW145,IF($E$2=33.5,'S3'!AX145,IF($E$2=34.5,'S3'!AY145,IF($E$2=35.5,'S3'!AZ145)))))))))))))))))))))</f>
        <v>230.82</v>
      </c>
      <c r="F145" s="641">
        <f t="shared" si="17"/>
        <v>323.14999999999998</v>
      </c>
    </row>
    <row r="146" spans="2:6" ht="18.75" thickBot="1" x14ac:dyDescent="0.35">
      <c r="B146" s="639">
        <v>142</v>
      </c>
      <c r="C146" s="640">
        <f>IF($C$2=15.5,'S3'!A146,IF($C$2=16.5,'S3'!B146,IF($C$2=17.5,'S3'!C146,IF($C$2=18.5,'S3'!D146,IF($C$2=19.5,'S3'!E146,IF($C$2=20.5,'S3'!F146,IF($C$2=21.5,'S3'!G146,IF($C$2=22.5,'S3'!H146,IF($C$2=23.5,'S3'!I146,IF($C$2=24.5,'S3'!J146,IF($C$2=25.5,'S3'!K146,IF($C$2=26.5,'S3'!L146,IF($C$2=27.5,'S3'!M146,IF($C$2=28.5,'S3'!N146,IF($C$2=29.5,'S3'!O146,IF($C$2=30.5,'S3'!P146,IF($C$2=31.5,'S3'!Q146,IF($C$2=32.5,'S3'!R146,IF($C$2=33.5,'S3'!S146,IF($C$2=34.5,'S3'!T146,IF($C$2=35.5,'S3'!U146)))))))))))))))))))))</f>
        <v>371.12</v>
      </c>
      <c r="D146" s="641">
        <f t="shared" si="18"/>
        <v>519.57000000000005</v>
      </c>
      <c r="E146" s="641">
        <f>IF($E$2=15.5,'S3'!AF146,IF($E$2=16.5,'S3'!AG146,IF($E$2=17.5,'S3'!AH146,IF($E$2=18.5,'S3'!AI146,IF($E$2=19.5,'S3'!AJ146,IF($E$2=20.5,'S3'!AK146,IF($E$2=21.5,'S3'!AL146,IF($E$2=22.5,'S3'!AM146,IF($E$2=23.5,'S3'!AN146,IF($E$2=24.5,'S3'!AO146,IF($E$2=25.5,'S3'!AP146,IF($E$2=26.5,'S3'!AQ146,IF($E$2=27.5,'S3'!AR146,IF($E$2=28.5,'S3'!AS146,IF($E$2=29.5,'S3'!AT146,IF($E$2=30.5,'S3'!AU146,IF($E$2=31.5,'S3'!AV146,IF($E$2=32.5,'S3'!AW146,IF($E$2=33.5,'S3'!AX146,IF($E$2=34.5,'S3'!AY146,IF($E$2=35.5,'S3'!AZ146)))))))))))))))))))))</f>
        <v>232.43</v>
      </c>
      <c r="F146" s="641">
        <f t="shared" si="17"/>
        <v>325.39999999999998</v>
      </c>
    </row>
    <row r="147" spans="2:6" ht="18.75" thickBot="1" x14ac:dyDescent="0.35">
      <c r="B147" s="639">
        <v>143</v>
      </c>
      <c r="C147" s="640">
        <f>IF($C$2=15.5,'S3'!A147,IF($C$2=16.5,'S3'!B147,IF($C$2=17.5,'S3'!C147,IF($C$2=18.5,'S3'!D147,IF($C$2=19.5,'S3'!E147,IF($C$2=20.5,'S3'!F147,IF($C$2=21.5,'S3'!G147,IF($C$2=22.5,'S3'!H147,IF($C$2=23.5,'S3'!I147,IF($C$2=24.5,'S3'!J147,IF($C$2=25.5,'S3'!K147,IF($C$2=26.5,'S3'!L147,IF($C$2=27.5,'S3'!M147,IF($C$2=28.5,'S3'!N147,IF($C$2=29.5,'S3'!O147,IF($C$2=30.5,'S3'!P147,IF($C$2=31.5,'S3'!Q147,IF($C$2=32.5,'S3'!R147,IF($C$2=33.5,'S3'!S147,IF($C$2=34.5,'S3'!T147,IF($C$2=35.5,'S3'!U147)))))))))))))))))))))</f>
        <v>373.62</v>
      </c>
      <c r="D147" s="641">
        <f t="shared" si="18"/>
        <v>523.07000000000005</v>
      </c>
      <c r="E147" s="641">
        <f>IF($E$2=15.5,'S3'!AF147,IF($E$2=16.5,'S3'!AG147,IF($E$2=17.5,'S3'!AH147,IF($E$2=18.5,'S3'!AI147,IF($E$2=19.5,'S3'!AJ147,IF($E$2=20.5,'S3'!AK147,IF($E$2=21.5,'S3'!AL147,IF($E$2=22.5,'S3'!AM147,IF($E$2=23.5,'S3'!AN147,IF($E$2=24.5,'S3'!AO147,IF($E$2=25.5,'S3'!AP147,IF($E$2=26.5,'S3'!AQ147,IF($E$2=27.5,'S3'!AR147,IF($E$2=28.5,'S3'!AS147,IF($E$2=29.5,'S3'!AT147,IF($E$2=30.5,'S3'!AU147,IF($E$2=31.5,'S3'!AV147,IF($E$2=32.5,'S3'!AW147,IF($E$2=33.5,'S3'!AX147,IF($E$2=34.5,'S3'!AY147,IF($E$2=35.5,'S3'!AZ147)))))))))))))))))))))</f>
        <v>234.04</v>
      </c>
      <c r="F147" s="641">
        <f t="shared" si="17"/>
        <v>327.66000000000003</v>
      </c>
    </row>
    <row r="148" spans="2:6" ht="18.75" thickBot="1" x14ac:dyDescent="0.35">
      <c r="B148" s="639">
        <v>144</v>
      </c>
      <c r="C148" s="640">
        <f>IF($C$2=15.5,'S3'!A148,IF($C$2=16.5,'S3'!B148,IF($C$2=17.5,'S3'!C148,IF($C$2=18.5,'S3'!D148,IF($C$2=19.5,'S3'!E148,IF($C$2=20.5,'S3'!F148,IF($C$2=21.5,'S3'!G148,IF($C$2=22.5,'S3'!H148,IF($C$2=23.5,'S3'!I148,IF($C$2=24.5,'S3'!J148,IF($C$2=25.5,'S3'!K148,IF($C$2=26.5,'S3'!L148,IF($C$2=27.5,'S3'!M148,IF($C$2=28.5,'S3'!N148,IF($C$2=29.5,'S3'!O148,IF($C$2=30.5,'S3'!P148,IF($C$2=31.5,'S3'!Q148,IF($C$2=32.5,'S3'!R148,IF($C$2=33.5,'S3'!S148,IF($C$2=34.5,'S3'!T148,IF($C$2=35.5,'S3'!U148)))))))))))))))))))))</f>
        <v>376.13</v>
      </c>
      <c r="D148" s="641">
        <f t="shared" si="18"/>
        <v>526.58000000000004</v>
      </c>
      <c r="E148" s="641">
        <f>IF($E$2=15.5,'S3'!AF148,IF($E$2=16.5,'S3'!AG148,IF($E$2=17.5,'S3'!AH148,IF($E$2=18.5,'S3'!AI148,IF($E$2=19.5,'S3'!AJ148,IF($E$2=20.5,'S3'!AK148,IF($E$2=21.5,'S3'!AL148,IF($E$2=22.5,'S3'!AM148,IF($E$2=23.5,'S3'!AN148,IF($E$2=24.5,'S3'!AO148,IF($E$2=25.5,'S3'!AP148,IF($E$2=26.5,'S3'!AQ148,IF($E$2=27.5,'S3'!AR148,IF($E$2=28.5,'S3'!AS148,IF($E$2=29.5,'S3'!AT148,IF($E$2=30.5,'S3'!AU148,IF($E$2=31.5,'S3'!AV148,IF($E$2=32.5,'S3'!AW148,IF($E$2=33.5,'S3'!AX148,IF($E$2=34.5,'S3'!AY148,IF($E$2=35.5,'S3'!AZ148)))))))))))))))))))))</f>
        <v>235.74</v>
      </c>
      <c r="F148" s="641">
        <f t="shared" si="17"/>
        <v>330.04</v>
      </c>
    </row>
    <row r="149" spans="2:6" ht="18.75" thickBot="1" x14ac:dyDescent="0.35">
      <c r="B149" s="639">
        <v>145</v>
      </c>
      <c r="C149" s="640">
        <f>IF($C$2=15.5,'S3'!A149,IF($C$2=16.5,'S3'!B149,IF($C$2=17.5,'S3'!C149,IF($C$2=18.5,'S3'!D149,IF($C$2=19.5,'S3'!E149,IF($C$2=20.5,'S3'!F149,IF($C$2=21.5,'S3'!G149,IF($C$2=22.5,'S3'!H149,IF($C$2=23.5,'S3'!I149,IF($C$2=24.5,'S3'!J149,IF($C$2=25.5,'S3'!K149,IF($C$2=26.5,'S3'!L149,IF($C$2=27.5,'S3'!M149,IF($C$2=28.5,'S3'!N149,IF($C$2=29.5,'S3'!O149,IF($C$2=30.5,'S3'!P149,IF($C$2=31.5,'S3'!Q149,IF($C$2=32.5,'S3'!R149,IF($C$2=33.5,'S3'!S149,IF($C$2=34.5,'S3'!T149,IF($C$2=35.5,'S3'!U149)))))))))))))))))))))</f>
        <v>378.99</v>
      </c>
      <c r="D149" s="641">
        <f t="shared" si="18"/>
        <v>530.59</v>
      </c>
      <c r="E149" s="641">
        <f>IF($E$2=15.5,'S3'!AF149,IF($E$2=16.5,'S3'!AG149,IF($E$2=17.5,'S3'!AH149,IF($E$2=18.5,'S3'!AI149,IF($E$2=19.5,'S3'!AJ149,IF($E$2=20.5,'S3'!AK149,IF($E$2=21.5,'S3'!AL149,IF($E$2=22.5,'S3'!AM149,IF($E$2=23.5,'S3'!AN149,IF($E$2=24.5,'S3'!AO149,IF($E$2=25.5,'S3'!AP149,IF($E$2=26.5,'S3'!AQ149,IF($E$2=27.5,'S3'!AR149,IF($E$2=28.5,'S3'!AS149,IF($E$2=29.5,'S3'!AT149,IF($E$2=30.5,'S3'!AU149,IF($E$2=31.5,'S3'!AV149,IF($E$2=32.5,'S3'!AW149,IF($E$2=33.5,'S3'!AX149,IF($E$2=34.5,'S3'!AY149,IF($E$2=35.5,'S3'!AZ149)))))))))))))))))))))</f>
        <v>237.35</v>
      </c>
      <c r="F149" s="641">
        <f t="shared" si="17"/>
        <v>332.29</v>
      </c>
    </row>
    <row r="150" spans="2:6" ht="18.75" thickBot="1" x14ac:dyDescent="0.35">
      <c r="B150" s="639">
        <v>146</v>
      </c>
      <c r="C150" s="640">
        <f>IF($C$2=15.5,'S3'!A150,IF($C$2=16.5,'S3'!B150,IF($C$2=17.5,'S3'!C150,IF($C$2=18.5,'S3'!D150,IF($C$2=19.5,'S3'!E150,IF($C$2=20.5,'S3'!F150,IF($C$2=21.5,'S3'!G150,IF($C$2=22.5,'S3'!H150,IF($C$2=23.5,'S3'!I150,IF($C$2=24.5,'S3'!J150,IF($C$2=25.5,'S3'!K150,IF($C$2=26.5,'S3'!L150,IF($C$2=27.5,'S3'!M150,IF($C$2=28.5,'S3'!N150,IF($C$2=29.5,'S3'!O150,IF($C$2=30.5,'S3'!P150,IF($C$2=31.5,'S3'!Q150,IF($C$2=32.5,'S3'!R150,IF($C$2=33.5,'S3'!S150,IF($C$2=34.5,'S3'!T150,IF($C$2=35.5,'S3'!U150)))))))))))))))))))))</f>
        <v>381.51</v>
      </c>
      <c r="D150" s="641">
        <f t="shared" si="18"/>
        <v>534.11</v>
      </c>
      <c r="E150" s="641">
        <f>IF($E$2=15.5,'S3'!AF150,IF($E$2=16.5,'S3'!AG150,IF($E$2=17.5,'S3'!AH150,IF($E$2=18.5,'S3'!AI150,IF($E$2=19.5,'S3'!AJ150,IF($E$2=20.5,'S3'!AK150,IF($E$2=21.5,'S3'!AL150,IF($E$2=22.5,'S3'!AM150,IF($E$2=23.5,'S3'!AN150,IF($E$2=24.5,'S3'!AO150,IF($E$2=25.5,'S3'!AP150,IF($E$2=26.5,'S3'!AQ150,IF($E$2=27.5,'S3'!AR150,IF($E$2=28.5,'S3'!AS150,IF($E$2=29.5,'S3'!AT150,IF($E$2=30.5,'S3'!AU150,IF($E$2=31.5,'S3'!AV150,IF($E$2=32.5,'S3'!AW150,IF($E$2=33.5,'S3'!AX150,IF($E$2=34.5,'S3'!AY150,IF($E$2=35.5,'S3'!AZ150)))))))))))))))))))))</f>
        <v>238.96</v>
      </c>
      <c r="F150" s="641">
        <f t="shared" si="17"/>
        <v>334.54</v>
      </c>
    </row>
    <row r="151" spans="2:6" ht="18.75" thickBot="1" x14ac:dyDescent="0.35">
      <c r="B151" s="639">
        <v>147</v>
      </c>
      <c r="C151" s="640">
        <f>IF($C$2=15.5,'S3'!A151,IF($C$2=16.5,'S3'!B151,IF($C$2=17.5,'S3'!C151,IF($C$2=18.5,'S3'!D151,IF($C$2=19.5,'S3'!E151,IF($C$2=20.5,'S3'!F151,IF($C$2=21.5,'S3'!G151,IF($C$2=22.5,'S3'!H151,IF($C$2=23.5,'S3'!I151,IF($C$2=24.5,'S3'!J151,IF($C$2=25.5,'S3'!K151,IF($C$2=26.5,'S3'!L151,IF($C$2=27.5,'S3'!M151,IF($C$2=28.5,'S3'!N151,IF($C$2=29.5,'S3'!O151,IF($C$2=30.5,'S3'!P151,IF($C$2=31.5,'S3'!Q151,IF($C$2=32.5,'S3'!R151,IF($C$2=33.5,'S3'!S151,IF($C$2=34.5,'S3'!T151,IF($C$2=35.5,'S3'!U151)))))))))))))))))))))</f>
        <v>384.03</v>
      </c>
      <c r="D151" s="641">
        <f t="shared" si="18"/>
        <v>537.64</v>
      </c>
      <c r="E151" s="641">
        <f>IF($E$2=15.5,'S3'!AF151,IF($E$2=16.5,'S3'!AG151,IF($E$2=17.5,'S3'!AH151,IF($E$2=18.5,'S3'!AI151,IF($E$2=19.5,'S3'!AJ151,IF($E$2=20.5,'S3'!AK151,IF($E$2=21.5,'S3'!AL151,IF($E$2=22.5,'S3'!AM151,IF($E$2=23.5,'S3'!AN151,IF($E$2=24.5,'S3'!AO151,IF($E$2=25.5,'S3'!AP151,IF($E$2=26.5,'S3'!AQ151,IF($E$2=27.5,'S3'!AR151,IF($E$2=28.5,'S3'!AS151,IF($E$2=29.5,'S3'!AT151,IF($E$2=30.5,'S3'!AU151,IF($E$2=31.5,'S3'!AV151,IF($E$2=32.5,'S3'!AW151,IF($E$2=33.5,'S3'!AX151,IF($E$2=34.5,'S3'!AY151,IF($E$2=35.5,'S3'!AZ151)))))))))))))))))))))</f>
        <v>240.58</v>
      </c>
      <c r="F151" s="641">
        <f t="shared" si="17"/>
        <v>336.81</v>
      </c>
    </row>
    <row r="152" spans="2:6" ht="18.75" thickBot="1" x14ac:dyDescent="0.35">
      <c r="B152" s="639">
        <v>148</v>
      </c>
      <c r="C152" s="640">
        <f>IF($C$2=15.5,'S3'!A152,IF($C$2=16.5,'S3'!B152,IF($C$2=17.5,'S3'!C152,IF($C$2=18.5,'S3'!D152,IF($C$2=19.5,'S3'!E152,IF($C$2=20.5,'S3'!F152,IF($C$2=21.5,'S3'!G152,IF($C$2=22.5,'S3'!H152,IF($C$2=23.5,'S3'!I152,IF($C$2=24.5,'S3'!J152,IF($C$2=25.5,'S3'!K152,IF($C$2=26.5,'S3'!L152,IF($C$2=27.5,'S3'!M152,IF($C$2=28.5,'S3'!N152,IF($C$2=29.5,'S3'!O152,IF($C$2=30.5,'S3'!P152,IF($C$2=31.5,'S3'!Q152,IF($C$2=32.5,'S3'!R152,IF($C$2=33.5,'S3'!S152,IF($C$2=34.5,'S3'!T152,IF($C$2=35.5,'S3'!U152)))))))))))))))))))))</f>
        <v>386.55</v>
      </c>
      <c r="D152" s="641">
        <f t="shared" si="18"/>
        <v>541.16999999999996</v>
      </c>
      <c r="E152" s="641">
        <f>IF($E$2=15.5,'S3'!AF152,IF($E$2=16.5,'S3'!AG152,IF($E$2=17.5,'S3'!AH152,IF($E$2=18.5,'S3'!AI152,IF($E$2=19.5,'S3'!AJ152,IF($E$2=20.5,'S3'!AK152,IF($E$2=21.5,'S3'!AL152,IF($E$2=22.5,'S3'!AM152,IF($E$2=23.5,'S3'!AN152,IF($E$2=24.5,'S3'!AO152,IF($E$2=25.5,'S3'!AP152,IF($E$2=26.5,'S3'!AQ152,IF($E$2=27.5,'S3'!AR152,IF($E$2=28.5,'S3'!AS152,IF($E$2=29.5,'S3'!AT152,IF($E$2=30.5,'S3'!AU152,IF($E$2=31.5,'S3'!AV152,IF($E$2=32.5,'S3'!AW152,IF($E$2=33.5,'S3'!AX152,IF($E$2=34.5,'S3'!AY152,IF($E$2=35.5,'S3'!AZ152)))))))))))))))))))))</f>
        <v>242.19</v>
      </c>
      <c r="F152" s="641">
        <f t="shared" si="17"/>
        <v>339.07</v>
      </c>
    </row>
    <row r="153" spans="2:6" ht="18.75" thickBot="1" x14ac:dyDescent="0.35">
      <c r="B153" s="639">
        <v>149</v>
      </c>
      <c r="C153" s="640">
        <f>IF($C$2=15.5,'S3'!A153,IF($C$2=16.5,'S3'!B153,IF($C$2=17.5,'S3'!C153,IF($C$2=18.5,'S3'!D153,IF($C$2=19.5,'S3'!E153,IF($C$2=20.5,'S3'!F153,IF($C$2=21.5,'S3'!G153,IF($C$2=22.5,'S3'!H153,IF($C$2=23.5,'S3'!I153,IF($C$2=24.5,'S3'!J153,IF($C$2=25.5,'S3'!K153,IF($C$2=26.5,'S3'!L153,IF($C$2=27.5,'S3'!M153,IF($C$2=28.5,'S3'!N153,IF($C$2=29.5,'S3'!O153,IF($C$2=30.5,'S3'!P153,IF($C$2=31.5,'S3'!Q153,IF($C$2=32.5,'S3'!R153,IF($C$2=33.5,'S3'!S153,IF($C$2=34.5,'S3'!T153,IF($C$2=35.5,'S3'!U153)))))))))))))))))))))</f>
        <v>389.08</v>
      </c>
      <c r="D153" s="641">
        <f t="shared" si="18"/>
        <v>544.71</v>
      </c>
      <c r="E153" s="641">
        <f>IF($E$2=15.5,'S3'!AF153,IF($E$2=16.5,'S3'!AG153,IF($E$2=17.5,'S3'!AH153,IF($E$2=18.5,'S3'!AI153,IF($E$2=19.5,'S3'!AJ153,IF($E$2=20.5,'S3'!AK153,IF($E$2=21.5,'S3'!AL153,IF($E$2=22.5,'S3'!AM153,IF($E$2=23.5,'S3'!AN153,IF($E$2=24.5,'S3'!AO153,IF($E$2=25.5,'S3'!AP153,IF($E$2=26.5,'S3'!AQ153,IF($E$2=27.5,'S3'!AR153,IF($E$2=28.5,'S3'!AS153,IF($E$2=29.5,'S3'!AT153,IF($E$2=30.5,'S3'!AU153,IF($E$2=31.5,'S3'!AV153,IF($E$2=32.5,'S3'!AW153,IF($E$2=33.5,'S3'!AX153,IF($E$2=34.5,'S3'!AY153,IF($E$2=35.5,'S3'!AZ153)))))))))))))))))))))</f>
        <v>243.91</v>
      </c>
      <c r="F153" s="641">
        <f t="shared" si="17"/>
        <v>341.47</v>
      </c>
    </row>
    <row r="154" spans="2:6" ht="18.75" thickBot="1" x14ac:dyDescent="0.35">
      <c r="B154" s="639">
        <v>150</v>
      </c>
      <c r="C154" s="640">
        <f>IF($C$2=15.5,'S3'!A154,IF($C$2=16.5,'S3'!B154,IF($C$2=17.5,'S3'!C154,IF($C$2=18.5,'S3'!D154,IF($C$2=19.5,'S3'!E154,IF($C$2=20.5,'S3'!F154,IF($C$2=21.5,'S3'!G154,IF($C$2=22.5,'S3'!H154,IF($C$2=23.5,'S3'!I154,IF($C$2=24.5,'S3'!J154,IF($C$2=25.5,'S3'!K154,IF($C$2=26.5,'S3'!L154,IF($C$2=27.5,'S3'!M154,IF($C$2=28.5,'S3'!N154,IF($C$2=29.5,'S3'!O154,IF($C$2=30.5,'S3'!P154,IF($C$2=31.5,'S3'!Q154,IF($C$2=32.5,'S3'!R154,IF($C$2=33.5,'S3'!S154,IF($C$2=34.5,'S3'!T154,IF($C$2=35.5,'S3'!U154)))))))))))))))))))))</f>
        <v>391.99</v>
      </c>
      <c r="D154" s="641">
        <f t="shared" si="18"/>
        <v>548.79</v>
      </c>
      <c r="E154" s="641">
        <f>IF($E$2=15.5,'S3'!AF154,IF($E$2=16.5,'S3'!AG154,IF($E$2=17.5,'S3'!AH154,IF($E$2=18.5,'S3'!AI154,IF($E$2=19.5,'S3'!AJ154,IF($E$2=20.5,'S3'!AK154,IF($E$2=21.5,'S3'!AL154,IF($E$2=22.5,'S3'!AM154,IF($E$2=23.5,'S3'!AN154,IF($E$2=24.5,'S3'!AO154,IF($E$2=25.5,'S3'!AP154,IF($E$2=26.5,'S3'!AQ154,IF($E$2=27.5,'S3'!AR154,IF($E$2=28.5,'S3'!AS154,IF($E$2=29.5,'S3'!AT154,IF($E$2=30.5,'S3'!AU154,IF($E$2=31.5,'S3'!AV154,IF($E$2=32.5,'S3'!AW154,IF($E$2=33.5,'S3'!AX154,IF($E$2=34.5,'S3'!AY154,IF($E$2=35.5,'S3'!AZ154)))))))))))))))))))))</f>
        <v>245.53</v>
      </c>
      <c r="F154" s="641">
        <f t="shared" si="17"/>
        <v>343.74</v>
      </c>
    </row>
    <row r="155" spans="2:6" ht="18.75" thickBot="1" x14ac:dyDescent="0.35">
      <c r="B155" s="639">
        <v>151</v>
      </c>
      <c r="C155" s="640">
        <f>IF($C$2=15.5,'S3'!A155,IF($C$2=16.5,'S3'!B155,IF($C$2=17.5,'S3'!C155,IF($C$2=18.5,'S3'!D155,IF($C$2=19.5,'S3'!E155,IF($C$2=20.5,'S3'!F155,IF($C$2=21.5,'S3'!G155,IF($C$2=22.5,'S3'!H155,IF($C$2=23.5,'S3'!I155,IF($C$2=24.5,'S3'!J155,IF($C$2=25.5,'S3'!K155,IF($C$2=26.5,'S3'!L155,IF($C$2=27.5,'S3'!M155,IF($C$2=28.5,'S3'!N155,IF($C$2=29.5,'S3'!O155,IF($C$2=30.5,'S3'!P155,IF($C$2=31.5,'S3'!Q155,IF($C$2=32.5,'S3'!R155,IF($C$2=33.5,'S3'!S155,IF($C$2=34.5,'S3'!T155,IF($C$2=35.5,'S3'!U155)))))))))))))))))))))</f>
        <v>394.54</v>
      </c>
      <c r="D155" s="641">
        <f t="shared" si="18"/>
        <v>552.36</v>
      </c>
      <c r="E155" s="641">
        <f>IF($E$2=15.5,'S3'!AF155,IF($E$2=16.5,'S3'!AG155,IF($E$2=17.5,'S3'!AH155,IF($E$2=18.5,'S3'!AI155,IF($E$2=19.5,'S3'!AJ155,IF($E$2=20.5,'S3'!AK155,IF($E$2=21.5,'S3'!AL155,IF($E$2=22.5,'S3'!AM155,IF($E$2=23.5,'S3'!AN155,IF($E$2=24.5,'S3'!AO155,IF($E$2=25.5,'S3'!AP155,IF($E$2=26.5,'S3'!AQ155,IF($E$2=27.5,'S3'!AR155,IF($E$2=28.5,'S3'!AS155,IF($E$2=29.5,'S3'!AT155,IF($E$2=30.5,'S3'!AU155,IF($E$2=31.5,'S3'!AV155,IF($E$2=32.5,'S3'!AW155,IF($E$2=33.5,'S3'!AX155,IF($E$2=34.5,'S3'!AY155,IF($E$2=35.5,'S3'!AZ155)))))))))))))))))))))</f>
        <v>247.15</v>
      </c>
      <c r="F155" s="641">
        <f t="shared" si="17"/>
        <v>346.01</v>
      </c>
    </row>
    <row r="156" spans="2:6" ht="18.75" thickBot="1" x14ac:dyDescent="0.35">
      <c r="B156" s="639">
        <v>152</v>
      </c>
      <c r="C156" s="640">
        <f>IF($C$2=15.5,'S3'!A156,IF($C$2=16.5,'S3'!B156,IF($C$2=17.5,'S3'!C156,IF($C$2=18.5,'S3'!D156,IF($C$2=19.5,'S3'!E156,IF($C$2=20.5,'S3'!F156,IF($C$2=21.5,'S3'!G156,IF($C$2=22.5,'S3'!H156,IF($C$2=23.5,'S3'!I156,IF($C$2=24.5,'S3'!J156,IF($C$2=25.5,'S3'!K156,IF($C$2=26.5,'S3'!L156,IF($C$2=27.5,'S3'!M156,IF($C$2=28.5,'S3'!N156,IF($C$2=29.5,'S3'!O156,IF($C$2=30.5,'S3'!P156,IF($C$2=31.5,'S3'!Q156,IF($C$2=32.5,'S3'!R156,IF($C$2=33.5,'S3'!S156,IF($C$2=34.5,'S3'!T156,IF($C$2=35.5,'S3'!U156)))))))))))))))))))))</f>
        <v>397.08</v>
      </c>
      <c r="D156" s="641">
        <f t="shared" si="18"/>
        <v>555.91</v>
      </c>
      <c r="E156" s="641">
        <f>IF($E$2=15.5,'S3'!AF156,IF($E$2=16.5,'S3'!AG156,IF($E$2=17.5,'S3'!AH156,IF($E$2=18.5,'S3'!AI156,IF($E$2=19.5,'S3'!AJ156,IF($E$2=20.5,'S3'!AK156,IF($E$2=21.5,'S3'!AL156,IF($E$2=22.5,'S3'!AM156,IF($E$2=23.5,'S3'!AN156,IF($E$2=24.5,'S3'!AO156,IF($E$2=25.5,'S3'!AP156,IF($E$2=26.5,'S3'!AQ156,IF($E$2=27.5,'S3'!AR156,IF($E$2=28.5,'S3'!AS156,IF($E$2=29.5,'S3'!AT156,IF($E$2=30.5,'S3'!AU156,IF($E$2=31.5,'S3'!AV156,IF($E$2=32.5,'S3'!AW156,IF($E$2=33.5,'S3'!AX156,IF($E$2=34.5,'S3'!AY156,IF($E$2=35.5,'S3'!AZ156)))))))))))))))))))))</f>
        <v>248.77</v>
      </c>
      <c r="F156" s="641">
        <f t="shared" si="17"/>
        <v>348.28</v>
      </c>
    </row>
    <row r="157" spans="2:6" ht="18.75" thickBot="1" x14ac:dyDescent="0.35">
      <c r="B157" s="639">
        <v>153</v>
      </c>
      <c r="C157" s="640">
        <f>IF($C$2=15.5,'S3'!A157,IF($C$2=16.5,'S3'!B157,IF($C$2=17.5,'S3'!C157,IF($C$2=18.5,'S3'!D157,IF($C$2=19.5,'S3'!E157,IF($C$2=20.5,'S3'!F157,IF($C$2=21.5,'S3'!G157,IF($C$2=22.5,'S3'!H157,IF($C$2=23.5,'S3'!I157,IF($C$2=24.5,'S3'!J157,IF($C$2=25.5,'S3'!K157,IF($C$2=26.5,'S3'!L157,IF($C$2=27.5,'S3'!M157,IF($C$2=28.5,'S3'!N157,IF($C$2=29.5,'S3'!O157,IF($C$2=30.5,'S3'!P157,IF($C$2=31.5,'S3'!Q157,IF($C$2=32.5,'S3'!R157,IF($C$2=33.5,'S3'!S157,IF($C$2=34.5,'S3'!T157,IF($C$2=35.5,'S3'!U157)))))))))))))))))))))</f>
        <v>399.63</v>
      </c>
      <c r="D157" s="641">
        <f t="shared" si="18"/>
        <v>559.48</v>
      </c>
      <c r="E157" s="641">
        <f>IF($E$2=15.5,'S3'!AF157,IF($E$2=16.5,'S3'!AG157,IF($E$2=17.5,'S3'!AH157,IF($E$2=18.5,'S3'!AI157,IF($E$2=19.5,'S3'!AJ157,IF($E$2=20.5,'S3'!AK157,IF($E$2=21.5,'S3'!AL157,IF($E$2=22.5,'S3'!AM157,IF($E$2=23.5,'S3'!AN157,IF($E$2=24.5,'S3'!AO157,IF($E$2=25.5,'S3'!AP157,IF($E$2=26.5,'S3'!AQ157,IF($E$2=27.5,'S3'!AR157,IF($E$2=28.5,'S3'!AS157,IF($E$2=29.5,'S3'!AT157,IF($E$2=30.5,'S3'!AU157,IF($E$2=31.5,'S3'!AV157,IF($E$2=32.5,'S3'!AW157,IF($E$2=33.5,'S3'!AX157,IF($E$2=34.5,'S3'!AY157,IF($E$2=35.5,'S3'!AZ157)))))))))))))))))))))</f>
        <v>250.39</v>
      </c>
      <c r="F157" s="641">
        <f t="shared" si="17"/>
        <v>350.55</v>
      </c>
    </row>
    <row r="158" spans="2:6" ht="18.75" thickBot="1" x14ac:dyDescent="0.35">
      <c r="B158" s="639">
        <v>154</v>
      </c>
      <c r="C158" s="640">
        <f>IF($C$2=15.5,'S3'!A158,IF($C$2=16.5,'S3'!B158,IF($C$2=17.5,'S3'!C158,IF($C$2=18.5,'S3'!D158,IF($C$2=19.5,'S3'!E158,IF($C$2=20.5,'S3'!F158,IF($C$2=21.5,'S3'!G158,IF($C$2=22.5,'S3'!H158,IF($C$2=23.5,'S3'!I158,IF($C$2=24.5,'S3'!J158,IF($C$2=25.5,'S3'!K158,IF($C$2=26.5,'S3'!L158,IF($C$2=27.5,'S3'!M158,IF($C$2=28.5,'S3'!N158,IF($C$2=29.5,'S3'!O158,IF($C$2=30.5,'S3'!P158,IF($C$2=31.5,'S3'!Q158,IF($C$2=32.5,'S3'!R158,IF($C$2=33.5,'S3'!S158,IF($C$2=34.5,'S3'!T158,IF($C$2=35.5,'S3'!U158)))))))))))))))))))))</f>
        <v>402.19</v>
      </c>
      <c r="D158" s="641">
        <f t="shared" si="18"/>
        <v>563.07000000000005</v>
      </c>
      <c r="E158" s="641">
        <f>IF($E$2=15.5,'S3'!AF158,IF($E$2=16.5,'S3'!AG158,IF($E$2=17.5,'S3'!AH158,IF($E$2=18.5,'S3'!AI158,IF($E$2=19.5,'S3'!AJ158,IF($E$2=20.5,'S3'!AK158,IF($E$2=21.5,'S3'!AL158,IF($E$2=22.5,'S3'!AM158,IF($E$2=23.5,'S3'!AN158,IF($E$2=24.5,'S3'!AO158,IF($E$2=25.5,'S3'!AP158,IF($E$2=26.5,'S3'!AQ158,IF($E$2=27.5,'S3'!AR158,IF($E$2=28.5,'S3'!AS158,IF($E$2=29.5,'S3'!AT158,IF($E$2=30.5,'S3'!AU158,IF($E$2=31.5,'S3'!AV158,IF($E$2=32.5,'S3'!AW158,IF($E$2=33.5,'S3'!AX158,IF($E$2=34.5,'S3'!AY158,IF($E$2=35.5,'S3'!AZ158)))))))))))))))))))))</f>
        <v>252.02</v>
      </c>
      <c r="F158" s="641">
        <f t="shared" si="17"/>
        <v>352.83</v>
      </c>
    </row>
    <row r="159" spans="2:6" ht="18.75" thickBot="1" x14ac:dyDescent="0.35">
      <c r="B159" s="639">
        <v>155</v>
      </c>
      <c r="C159" s="640">
        <f>IF($C$2=15.5,'S3'!A159,IF($C$2=16.5,'S3'!B159,IF($C$2=17.5,'S3'!C159,IF($C$2=18.5,'S3'!D159,IF($C$2=19.5,'S3'!E159,IF($C$2=20.5,'S3'!F159,IF($C$2=21.5,'S3'!G159,IF($C$2=22.5,'S3'!H159,IF($C$2=23.5,'S3'!I159,IF($C$2=24.5,'S3'!J159,IF($C$2=25.5,'S3'!K159,IF($C$2=26.5,'S3'!L159,IF($C$2=27.5,'S3'!M159,IF($C$2=28.5,'S3'!N159,IF($C$2=29.5,'S3'!O159,IF($C$2=30.5,'S3'!P159,IF($C$2=31.5,'S3'!Q159,IF($C$2=32.5,'S3'!R159,IF($C$2=33.5,'S3'!S159,IF($C$2=34.5,'S3'!T159,IF($C$2=35.5,'S3'!U159)))))))))))))))))))))</f>
        <v>404.75</v>
      </c>
      <c r="D159" s="641">
        <f t="shared" si="18"/>
        <v>566.65</v>
      </c>
      <c r="E159" s="641">
        <f>IF($E$2=15.5,'S3'!AF159,IF($E$2=16.5,'S3'!AG159,IF($E$2=17.5,'S3'!AH159,IF($E$2=18.5,'S3'!AI159,IF($E$2=19.5,'S3'!AJ159,IF($E$2=20.5,'S3'!AK159,IF($E$2=21.5,'S3'!AL159,IF($E$2=22.5,'S3'!AM159,IF($E$2=23.5,'S3'!AN159,IF($E$2=24.5,'S3'!AO159,IF($E$2=25.5,'S3'!AP159,IF($E$2=26.5,'S3'!AQ159,IF($E$2=27.5,'S3'!AR159,IF($E$2=28.5,'S3'!AS159,IF($E$2=29.5,'S3'!AT159,IF($E$2=30.5,'S3'!AU159,IF($E$2=31.5,'S3'!AV159,IF($E$2=32.5,'S3'!AW159,IF($E$2=33.5,'S3'!AX159,IF($E$2=34.5,'S3'!AY159,IF($E$2=35.5,'S3'!AZ159)))))))))))))))))))))</f>
        <v>253.64</v>
      </c>
      <c r="F159" s="641">
        <f t="shared" si="17"/>
        <v>355.1</v>
      </c>
    </row>
    <row r="160" spans="2:6" ht="18.75" thickBot="1" x14ac:dyDescent="0.35">
      <c r="B160" s="639">
        <v>156</v>
      </c>
      <c r="C160" s="640">
        <f>IF($C$2=15.5,'S3'!A160,IF($C$2=16.5,'S3'!B160,IF($C$2=17.5,'S3'!C160,IF($C$2=18.5,'S3'!D160,IF($C$2=19.5,'S3'!E160,IF($C$2=20.5,'S3'!F160,IF($C$2=21.5,'S3'!G160,IF($C$2=22.5,'S3'!H160,IF($C$2=23.5,'S3'!I160,IF($C$2=24.5,'S3'!J160,IF($C$2=25.5,'S3'!K160,IF($C$2=26.5,'S3'!L160,IF($C$2=27.5,'S3'!M160,IF($C$2=28.5,'S3'!N160,IF($C$2=29.5,'S3'!O160,IF($C$2=30.5,'S3'!P160,IF($C$2=31.5,'S3'!Q160,IF($C$2=32.5,'S3'!R160,IF($C$2=33.5,'S3'!S160,IF($C$2=34.5,'S3'!T160,IF($C$2=35.5,'S3'!U160)))))))))))))))))))))</f>
        <v>407.31</v>
      </c>
      <c r="D160" s="641">
        <f t="shared" si="18"/>
        <v>570.23</v>
      </c>
      <c r="E160" s="641">
        <f>IF($E$2=15.5,'S3'!AF160,IF($E$2=16.5,'S3'!AG160,IF($E$2=17.5,'S3'!AH160,IF($E$2=18.5,'S3'!AI160,IF($E$2=19.5,'S3'!AJ160,IF($E$2=20.5,'S3'!AK160,IF($E$2=21.5,'S3'!AL160,IF($E$2=22.5,'S3'!AM160,IF($E$2=23.5,'S3'!AN160,IF($E$2=24.5,'S3'!AO160,IF($E$2=25.5,'S3'!AP160,IF($E$2=26.5,'S3'!AQ160,IF($E$2=27.5,'S3'!AR160,IF($E$2=28.5,'S3'!AS160,IF($E$2=29.5,'S3'!AT160,IF($E$2=30.5,'S3'!AU160,IF($E$2=31.5,'S3'!AV160,IF($E$2=32.5,'S3'!AW160,IF($E$2=33.5,'S3'!AX160,IF($E$2=34.5,'S3'!AY160,IF($E$2=35.5,'S3'!AZ160)))))))))))))))))))))</f>
        <v>255.27</v>
      </c>
      <c r="F160" s="641">
        <f t="shared" si="17"/>
        <v>357.38</v>
      </c>
    </row>
    <row r="161" spans="2:6" ht="18.75" thickBot="1" x14ac:dyDescent="0.35">
      <c r="B161" s="639">
        <v>157</v>
      </c>
      <c r="C161" s="640">
        <f>IF($C$2=15.5,'S3'!A161,IF($C$2=16.5,'S3'!B161,IF($C$2=17.5,'S3'!C161,IF($C$2=18.5,'S3'!D161,IF($C$2=19.5,'S3'!E161,IF($C$2=20.5,'S3'!F161,IF($C$2=21.5,'S3'!G161,IF($C$2=22.5,'S3'!H161,IF($C$2=23.5,'S3'!I161,IF($C$2=24.5,'S3'!J161,IF($C$2=25.5,'S3'!K161,IF($C$2=26.5,'S3'!L161,IF($C$2=27.5,'S3'!M161,IF($C$2=28.5,'S3'!N161,IF($C$2=29.5,'S3'!O161,IF($C$2=30.5,'S3'!P161,IF($C$2=31.5,'S3'!Q161,IF($C$2=32.5,'S3'!R161,IF($C$2=33.5,'S3'!S161,IF($C$2=34.5,'S3'!T161,IF($C$2=35.5,'S3'!U161)))))))))))))))))))))</f>
        <v>409.88</v>
      </c>
      <c r="D161" s="641">
        <f t="shared" si="18"/>
        <v>573.83000000000004</v>
      </c>
      <c r="E161" s="641">
        <f>IF($E$2=15.5,'S3'!AF161,IF($E$2=16.5,'S3'!AG161,IF($E$2=17.5,'S3'!AH161,IF($E$2=18.5,'S3'!AI161,IF($E$2=19.5,'S3'!AJ161,IF($E$2=20.5,'S3'!AK161,IF($E$2=21.5,'S3'!AL161,IF($E$2=22.5,'S3'!AM161,IF($E$2=23.5,'S3'!AN161,IF($E$2=24.5,'S3'!AO161,IF($E$2=25.5,'S3'!AP161,IF($E$2=26.5,'S3'!AQ161,IF($E$2=27.5,'S3'!AR161,IF($E$2=28.5,'S3'!AS161,IF($E$2=29.5,'S3'!AT161,IF($E$2=30.5,'S3'!AU161,IF($E$2=31.5,'S3'!AV161,IF($E$2=32.5,'S3'!AW161,IF($E$2=33.5,'S3'!AX161,IF($E$2=34.5,'S3'!AY161,IF($E$2=35.5,'S3'!AZ161)))))))))))))))))))))</f>
        <v>256.89</v>
      </c>
      <c r="F161" s="641">
        <f t="shared" si="17"/>
        <v>359.65</v>
      </c>
    </row>
    <row r="162" spans="2:6" ht="18.75" thickBot="1" x14ac:dyDescent="0.35">
      <c r="B162" s="639">
        <v>158</v>
      </c>
      <c r="C162" s="640">
        <f>IF($C$2=15.5,'S3'!A162,IF($C$2=16.5,'S3'!B162,IF($C$2=17.5,'S3'!C162,IF($C$2=18.5,'S3'!D162,IF($C$2=19.5,'S3'!E162,IF($C$2=20.5,'S3'!F162,IF($C$2=21.5,'S3'!G162,IF($C$2=22.5,'S3'!H162,IF($C$2=23.5,'S3'!I162,IF($C$2=24.5,'S3'!J162,IF($C$2=25.5,'S3'!K162,IF($C$2=26.5,'S3'!L162,IF($C$2=27.5,'S3'!M162,IF($C$2=28.5,'S3'!N162,IF($C$2=29.5,'S3'!O162,IF($C$2=30.5,'S3'!P162,IF($C$2=31.5,'S3'!Q162,IF($C$2=32.5,'S3'!R162,IF($C$2=33.5,'S3'!S162,IF($C$2=34.5,'S3'!T162,IF($C$2=35.5,'S3'!U162)))))))))))))))))))))</f>
        <v>412.87</v>
      </c>
      <c r="D162" s="641">
        <f t="shared" si="18"/>
        <v>578.02</v>
      </c>
      <c r="E162" s="641">
        <f>IF($E$2=15.5,'S3'!AF162,IF($E$2=16.5,'S3'!AG162,IF($E$2=17.5,'S3'!AH162,IF($E$2=18.5,'S3'!AI162,IF($E$2=19.5,'S3'!AJ162,IF($E$2=20.5,'S3'!AK162,IF($E$2=21.5,'S3'!AL162,IF($E$2=22.5,'S3'!AM162,IF($E$2=23.5,'S3'!AN162,IF($E$2=24.5,'S3'!AO162,IF($E$2=25.5,'S3'!AP162,IF($E$2=26.5,'S3'!AQ162,IF($E$2=27.5,'S3'!AR162,IF($E$2=28.5,'S3'!AS162,IF($E$2=29.5,'S3'!AT162,IF($E$2=30.5,'S3'!AU162,IF($E$2=31.5,'S3'!AV162,IF($E$2=32.5,'S3'!AW162,IF($E$2=33.5,'S3'!AX162,IF($E$2=34.5,'S3'!AY162,IF($E$2=35.5,'S3'!AZ162)))))))))))))))))))))</f>
        <v>258.52</v>
      </c>
      <c r="F162" s="641">
        <f t="shared" si="17"/>
        <v>361.93</v>
      </c>
    </row>
    <row r="163" spans="2:6" ht="18.75" thickBot="1" x14ac:dyDescent="0.35">
      <c r="B163" s="639">
        <v>159</v>
      </c>
      <c r="C163" s="640">
        <f>IF($C$2=15.5,'S3'!A163,IF($C$2=16.5,'S3'!B163,IF($C$2=17.5,'S3'!C163,IF($C$2=18.5,'S3'!D163,IF($C$2=19.5,'S3'!E163,IF($C$2=20.5,'S3'!F163,IF($C$2=21.5,'S3'!G163,IF($C$2=22.5,'S3'!H163,IF($C$2=23.5,'S3'!I163,IF($C$2=24.5,'S3'!J163,IF($C$2=25.5,'S3'!K163,IF($C$2=26.5,'S3'!L163,IF($C$2=27.5,'S3'!M163,IF($C$2=28.5,'S3'!N163,IF($C$2=29.5,'S3'!O163,IF($C$2=30.5,'S3'!P163,IF($C$2=31.5,'S3'!Q163,IF($C$2=32.5,'S3'!R163,IF($C$2=33.5,'S3'!S163,IF($C$2=34.5,'S3'!T163,IF($C$2=35.5,'S3'!U163)))))))))))))))))))))</f>
        <v>415.46</v>
      </c>
      <c r="D163" s="641">
        <f t="shared" si="18"/>
        <v>581.64</v>
      </c>
      <c r="E163" s="641">
        <f>IF($E$2=15.5,'S3'!AF163,IF($E$2=16.5,'S3'!AG163,IF($E$2=17.5,'S3'!AH163,IF($E$2=18.5,'S3'!AI163,IF($E$2=19.5,'S3'!AJ163,IF($E$2=20.5,'S3'!AK163,IF($E$2=21.5,'S3'!AL163,IF($E$2=22.5,'S3'!AM163,IF($E$2=23.5,'S3'!AN163,IF($E$2=24.5,'S3'!AO163,IF($E$2=25.5,'S3'!AP163,IF($E$2=26.5,'S3'!AQ163,IF($E$2=27.5,'S3'!AR163,IF($E$2=28.5,'S3'!AS163,IF($E$2=29.5,'S3'!AT163,IF($E$2=30.5,'S3'!AU163,IF($E$2=31.5,'S3'!AV163,IF($E$2=32.5,'S3'!AW163,IF($E$2=33.5,'S3'!AX163,IF($E$2=34.5,'S3'!AY163,IF($E$2=35.5,'S3'!AZ163)))))))))))))))))))))</f>
        <v>260.14999999999998</v>
      </c>
      <c r="F163" s="641">
        <f t="shared" si="17"/>
        <v>364.21</v>
      </c>
    </row>
    <row r="164" spans="2:6" ht="18.75" thickBot="1" x14ac:dyDescent="0.35">
      <c r="B164" s="639">
        <v>160</v>
      </c>
      <c r="C164" s="640">
        <f>IF($C$2=15.5,'S3'!A164,IF($C$2=16.5,'S3'!B164,IF($C$2=17.5,'S3'!C164,IF($C$2=18.5,'S3'!D164,IF($C$2=19.5,'S3'!E164,IF($C$2=20.5,'S3'!F164,IF($C$2=21.5,'S3'!G164,IF($C$2=22.5,'S3'!H164,IF($C$2=23.5,'S3'!I164,IF($C$2=24.5,'S3'!J164,IF($C$2=25.5,'S3'!K164,IF($C$2=26.5,'S3'!L164,IF($C$2=27.5,'S3'!M164,IF($C$2=28.5,'S3'!N164,IF($C$2=29.5,'S3'!O164,IF($C$2=30.5,'S3'!P164,IF($C$2=31.5,'S3'!Q164,IF($C$2=32.5,'S3'!R164,IF($C$2=33.5,'S3'!S164,IF($C$2=34.5,'S3'!T164,IF($C$2=35.5,'S3'!U164)))))))))))))))))))))</f>
        <v>418.05</v>
      </c>
      <c r="D164" s="641">
        <f t="shared" si="18"/>
        <v>585.27</v>
      </c>
      <c r="E164" s="641">
        <f>IF($E$2=15.5,'S3'!AF164,IF($E$2=16.5,'S3'!AG164,IF($E$2=17.5,'S3'!AH164,IF($E$2=18.5,'S3'!AI164,IF($E$2=19.5,'S3'!AJ164,IF($E$2=20.5,'S3'!AK164,IF($E$2=21.5,'S3'!AL164,IF($E$2=22.5,'S3'!AM164,IF($E$2=23.5,'S3'!AN164,IF($E$2=24.5,'S3'!AO164,IF($E$2=25.5,'S3'!AP164,IF($E$2=26.5,'S3'!AQ164,IF($E$2=27.5,'S3'!AR164,IF($E$2=28.5,'S3'!AS164,IF($E$2=29.5,'S3'!AT164,IF($E$2=30.5,'S3'!AU164,IF($E$2=31.5,'S3'!AV164,IF($E$2=32.5,'S3'!AW164,IF($E$2=33.5,'S3'!AX164,IF($E$2=34.5,'S3'!AY164,IF($E$2=35.5,'S3'!AZ164)))))))))))))))))))))</f>
        <v>261.77999999999997</v>
      </c>
      <c r="F164" s="641">
        <f t="shared" si="17"/>
        <v>366.49</v>
      </c>
    </row>
    <row r="165" spans="2:6" ht="18.75" thickBot="1" x14ac:dyDescent="0.35">
      <c r="B165" s="639">
        <v>161</v>
      </c>
      <c r="C165" s="640">
        <f>IF($C$2=15.5,'S3'!A165,IF($C$2=16.5,'S3'!B165,IF($C$2=17.5,'S3'!C165,IF($C$2=18.5,'S3'!D165,IF($C$2=19.5,'S3'!E165,IF($C$2=20.5,'S3'!F165,IF($C$2=21.5,'S3'!G165,IF($C$2=22.5,'S3'!H165,IF($C$2=23.5,'S3'!I165,IF($C$2=24.5,'S3'!J165,IF($C$2=25.5,'S3'!K165,IF($C$2=26.5,'S3'!L165,IF($C$2=27.5,'S3'!M165,IF($C$2=28.5,'S3'!N165,IF($C$2=29.5,'S3'!O165,IF($C$2=30.5,'S3'!P165,IF($C$2=31.5,'S3'!Q165,IF($C$2=32.5,'S3'!R165,IF($C$2=33.5,'S3'!S165,IF($C$2=34.5,'S3'!T165,IF($C$2=35.5,'S3'!U165)))))))))))))))))))))</f>
        <v>420.64</v>
      </c>
      <c r="D165" s="641">
        <f t="shared" si="18"/>
        <v>588.9</v>
      </c>
      <c r="E165" s="641">
        <f>IF($E$2=15.5,'S3'!AF165,IF($E$2=16.5,'S3'!AG165,IF($E$2=17.5,'S3'!AH165,IF($E$2=18.5,'S3'!AI165,IF($E$2=19.5,'S3'!AJ165,IF($E$2=20.5,'S3'!AK165,IF($E$2=21.5,'S3'!AL165,IF($E$2=22.5,'S3'!AM165,IF($E$2=23.5,'S3'!AN165,IF($E$2=24.5,'S3'!AO165,IF($E$2=25.5,'S3'!AP165,IF($E$2=26.5,'S3'!AQ165,IF($E$2=27.5,'S3'!AR165,IF($E$2=28.5,'S3'!AS165,IF($E$2=29.5,'S3'!AT165,IF($E$2=30.5,'S3'!AU165,IF($E$2=31.5,'S3'!AV165,IF($E$2=32.5,'S3'!AW165,IF($E$2=33.5,'S3'!AX165,IF($E$2=34.5,'S3'!AY165,IF($E$2=35.5,'S3'!AZ165)))))))))))))))))))))</f>
        <v>263.42</v>
      </c>
      <c r="F165" s="641">
        <f t="shared" si="17"/>
        <v>368.79</v>
      </c>
    </row>
    <row r="166" spans="2:6" ht="18.75" thickBot="1" x14ac:dyDescent="0.35">
      <c r="B166" s="639">
        <v>162</v>
      </c>
      <c r="C166" s="640">
        <f>IF($C$2=15.5,'S3'!A166,IF($C$2=16.5,'S3'!B166,IF($C$2=17.5,'S3'!C166,IF($C$2=18.5,'S3'!D166,IF($C$2=19.5,'S3'!E166,IF($C$2=20.5,'S3'!F166,IF($C$2=21.5,'S3'!G166,IF($C$2=22.5,'S3'!H166,IF($C$2=23.5,'S3'!I166,IF($C$2=24.5,'S3'!J166,IF($C$2=25.5,'S3'!K166,IF($C$2=26.5,'S3'!L166,IF($C$2=27.5,'S3'!M166,IF($C$2=28.5,'S3'!N166,IF($C$2=29.5,'S3'!O166,IF($C$2=30.5,'S3'!P166,IF($C$2=31.5,'S3'!Q166,IF($C$2=32.5,'S3'!R166,IF($C$2=33.5,'S3'!S166,IF($C$2=34.5,'S3'!T166,IF($C$2=35.5,'S3'!U166)))))))))))))))))))))</f>
        <v>423.24</v>
      </c>
      <c r="D166" s="641">
        <f t="shared" si="18"/>
        <v>592.54</v>
      </c>
      <c r="E166" s="641">
        <f>IF($E$2=15.5,'S3'!AF166,IF($E$2=16.5,'S3'!AG166,IF($E$2=17.5,'S3'!AH166,IF($E$2=18.5,'S3'!AI166,IF($E$2=19.5,'S3'!AJ166,IF($E$2=20.5,'S3'!AK166,IF($E$2=21.5,'S3'!AL166,IF($E$2=22.5,'S3'!AM166,IF($E$2=23.5,'S3'!AN166,IF($E$2=24.5,'S3'!AO166,IF($E$2=25.5,'S3'!AP166,IF($E$2=26.5,'S3'!AQ166,IF($E$2=27.5,'S3'!AR166,IF($E$2=28.5,'S3'!AS166,IF($E$2=29.5,'S3'!AT166,IF($E$2=30.5,'S3'!AU166,IF($E$2=31.5,'S3'!AV166,IF($E$2=32.5,'S3'!AW166,IF($E$2=33.5,'S3'!AX166,IF($E$2=34.5,'S3'!AY166,IF($E$2=35.5,'S3'!AZ166)))))))))))))))))))))</f>
        <v>265.05</v>
      </c>
      <c r="F166" s="641">
        <f t="shared" si="17"/>
        <v>371.07</v>
      </c>
    </row>
    <row r="167" spans="2:6" ht="18.75" thickBot="1" x14ac:dyDescent="0.35">
      <c r="B167" s="639">
        <v>163</v>
      </c>
      <c r="C167" s="640">
        <f>IF($C$2=15.5,'S3'!A167,IF($C$2=16.5,'S3'!B167,IF($C$2=17.5,'S3'!C167,IF($C$2=18.5,'S3'!D167,IF($C$2=19.5,'S3'!E167,IF($C$2=20.5,'S3'!F167,IF($C$2=21.5,'S3'!G167,IF($C$2=22.5,'S3'!H167,IF($C$2=23.5,'S3'!I167,IF($C$2=24.5,'S3'!J167,IF($C$2=25.5,'S3'!K167,IF($C$2=26.5,'S3'!L167,IF($C$2=27.5,'S3'!M167,IF($C$2=28.5,'S3'!N167,IF($C$2=29.5,'S3'!O167,IF($C$2=30.5,'S3'!P167,IF($C$2=31.5,'S3'!Q167,IF($C$2=32.5,'S3'!R167,IF($C$2=33.5,'S3'!S167,IF($C$2=34.5,'S3'!T167,IF($C$2=35.5,'S3'!U167)))))))))))))))))))))</f>
        <v>425.84</v>
      </c>
      <c r="D167" s="641">
        <f t="shared" si="18"/>
        <v>596.17999999999995</v>
      </c>
      <c r="E167" s="641">
        <f>IF($E$2=15.5,'S3'!AF167,IF($E$2=16.5,'S3'!AG167,IF($E$2=17.5,'S3'!AH167,IF($E$2=18.5,'S3'!AI167,IF($E$2=19.5,'S3'!AJ167,IF($E$2=20.5,'S3'!AK167,IF($E$2=21.5,'S3'!AL167,IF($E$2=22.5,'S3'!AM167,IF($E$2=23.5,'S3'!AN167,IF($E$2=24.5,'S3'!AO167,IF($E$2=25.5,'S3'!AP167,IF($E$2=26.5,'S3'!AQ167,IF($E$2=27.5,'S3'!AR167,IF($E$2=28.5,'S3'!AS167,IF($E$2=29.5,'S3'!AT167,IF($E$2=30.5,'S3'!AU167,IF($E$2=31.5,'S3'!AV167,IF($E$2=32.5,'S3'!AW167,IF($E$2=33.5,'S3'!AX167,IF($E$2=34.5,'S3'!AY167,IF($E$2=35.5,'S3'!AZ167)))))))))))))))))))))</f>
        <v>266.69</v>
      </c>
      <c r="F167" s="641">
        <f t="shared" si="17"/>
        <v>373.37</v>
      </c>
    </row>
    <row r="168" spans="2:6" ht="18.75" thickBot="1" x14ac:dyDescent="0.35">
      <c r="B168" s="639">
        <v>164</v>
      </c>
      <c r="C168" s="640">
        <f>IF($C$2=15.5,'S3'!A168,IF($C$2=16.5,'S3'!B168,IF($C$2=17.5,'S3'!C168,IF($C$2=18.5,'S3'!D168,IF($C$2=19.5,'S3'!E168,IF($C$2=20.5,'S3'!F168,IF($C$2=21.5,'S3'!G168,IF($C$2=22.5,'S3'!H168,IF($C$2=23.5,'S3'!I168,IF($C$2=24.5,'S3'!J168,IF($C$2=25.5,'S3'!K168,IF($C$2=26.5,'S3'!L168,IF($C$2=27.5,'S3'!M168,IF($C$2=28.5,'S3'!N168,IF($C$2=29.5,'S3'!O168,IF($C$2=30.5,'S3'!P168,IF($C$2=31.5,'S3'!Q168,IF($C$2=32.5,'S3'!R168,IF($C$2=33.5,'S3'!S168,IF($C$2=34.5,'S3'!T168,IF($C$2=35.5,'S3'!U168)))))))))))))))))))))</f>
        <v>428.45</v>
      </c>
      <c r="D168" s="641">
        <f t="shared" si="18"/>
        <v>599.83000000000004</v>
      </c>
      <c r="E168" s="641">
        <f>IF($E$2=15.5,'S3'!AF168,IF($E$2=16.5,'S3'!AG168,IF($E$2=17.5,'S3'!AH168,IF($E$2=18.5,'S3'!AI168,IF($E$2=19.5,'S3'!AJ168,IF($E$2=20.5,'S3'!AK168,IF($E$2=21.5,'S3'!AL168,IF($E$2=22.5,'S3'!AM168,IF($E$2=23.5,'S3'!AN168,IF($E$2=24.5,'S3'!AO168,IF($E$2=25.5,'S3'!AP168,IF($E$2=26.5,'S3'!AQ168,IF($E$2=27.5,'S3'!AR168,IF($E$2=28.5,'S3'!AS168,IF($E$2=29.5,'S3'!AT168,IF($E$2=30.5,'S3'!AU168,IF($E$2=31.5,'S3'!AV168,IF($E$2=32.5,'S3'!AW168,IF($E$2=33.5,'S3'!AX168,IF($E$2=34.5,'S3'!AY168,IF($E$2=35.5,'S3'!AZ168)))))))))))))))))))))</f>
        <v>268.32</v>
      </c>
      <c r="F168" s="641">
        <f t="shared" si="17"/>
        <v>375.65</v>
      </c>
    </row>
    <row r="169" spans="2:6" ht="18.75" thickBot="1" x14ac:dyDescent="0.35">
      <c r="B169" s="639">
        <v>165</v>
      </c>
      <c r="C169" s="640">
        <f>IF($C$2=15.5,'S3'!A169,IF($C$2=16.5,'S3'!B169,IF($C$2=17.5,'S3'!C169,IF($C$2=18.5,'S3'!D169,IF($C$2=19.5,'S3'!E169,IF($C$2=20.5,'S3'!F169,IF($C$2=21.5,'S3'!G169,IF($C$2=22.5,'S3'!H169,IF($C$2=23.5,'S3'!I169,IF($C$2=24.5,'S3'!J169,IF($C$2=25.5,'S3'!K169,IF($C$2=26.5,'S3'!L169,IF($C$2=27.5,'S3'!M169,IF($C$2=28.5,'S3'!N169,IF($C$2=29.5,'S3'!O169,IF($C$2=30.5,'S3'!P169,IF($C$2=31.5,'S3'!Q169,IF($C$2=32.5,'S3'!R169,IF($C$2=33.5,'S3'!S169,IF($C$2=34.5,'S3'!T169,IF($C$2=35.5,'S3'!U169)))))))))))))))))))))</f>
        <v>431.07</v>
      </c>
      <c r="D169" s="641">
        <f t="shared" si="18"/>
        <v>603.5</v>
      </c>
      <c r="E169" s="641">
        <f>IF($E$2=15.5,'S3'!AF169,IF($E$2=16.5,'S3'!AG169,IF($E$2=17.5,'S3'!AH169,IF($E$2=18.5,'S3'!AI169,IF($E$2=19.5,'S3'!AJ169,IF($E$2=20.5,'S3'!AK169,IF($E$2=21.5,'S3'!AL169,IF($E$2=22.5,'S3'!AM169,IF($E$2=23.5,'S3'!AN169,IF($E$2=24.5,'S3'!AO169,IF($E$2=25.5,'S3'!AP169,IF($E$2=26.5,'S3'!AQ169,IF($E$2=27.5,'S3'!AR169,IF($E$2=28.5,'S3'!AS169,IF($E$2=29.5,'S3'!AT169,IF($E$2=30.5,'S3'!AU169,IF($E$2=31.5,'S3'!AV169,IF($E$2=32.5,'S3'!AW169,IF($E$2=33.5,'S3'!AX169,IF($E$2=34.5,'S3'!AY169,IF($E$2=35.5,'S3'!AZ169)))))))))))))))))))))</f>
        <v>269.95999999999998</v>
      </c>
      <c r="F169" s="641">
        <f t="shared" si="17"/>
        <v>377.94</v>
      </c>
    </row>
    <row r="170" spans="2:6" ht="18.75" thickBot="1" x14ac:dyDescent="0.35">
      <c r="B170" s="639">
        <v>166</v>
      </c>
      <c r="C170" s="640">
        <f>IF($C$2=15.5,'S3'!A170,IF($C$2=16.5,'S3'!B170,IF($C$2=17.5,'S3'!C170,IF($C$2=18.5,'S3'!D170,IF($C$2=19.5,'S3'!E170,IF($C$2=20.5,'S3'!F170,IF($C$2=21.5,'S3'!G170,IF($C$2=22.5,'S3'!H170,IF($C$2=23.5,'S3'!I170,IF($C$2=24.5,'S3'!J170,IF($C$2=25.5,'S3'!K170,IF($C$2=26.5,'S3'!L170,IF($C$2=27.5,'S3'!M170,IF($C$2=28.5,'S3'!N170,IF($C$2=29.5,'S3'!O170,IF($C$2=30.5,'S3'!P170,IF($C$2=31.5,'S3'!Q170,IF($C$2=32.5,'S3'!R170,IF($C$2=33.5,'S3'!S170,IF($C$2=34.5,'S3'!T170,IF($C$2=35.5,'S3'!U170)))))))))))))))))))))</f>
        <v>433.69</v>
      </c>
      <c r="D170" s="641">
        <f t="shared" si="18"/>
        <v>607.16999999999996</v>
      </c>
      <c r="E170" s="641">
        <f>IF($E$2=15.5,'S3'!AF170,IF($E$2=16.5,'S3'!AG170,IF($E$2=17.5,'S3'!AH170,IF($E$2=18.5,'S3'!AI170,IF($E$2=19.5,'S3'!AJ170,IF($E$2=20.5,'S3'!AK170,IF($E$2=21.5,'S3'!AL170,IF($E$2=22.5,'S3'!AM170,IF($E$2=23.5,'S3'!AN170,IF($E$2=24.5,'S3'!AO170,IF($E$2=25.5,'S3'!AP170,IF($E$2=26.5,'S3'!AQ170,IF($E$2=27.5,'S3'!AR170,IF($E$2=28.5,'S3'!AS170,IF($E$2=29.5,'S3'!AT170,IF($E$2=30.5,'S3'!AU170,IF($E$2=31.5,'S3'!AV170,IF($E$2=32.5,'S3'!AW170,IF($E$2=33.5,'S3'!AX170,IF($E$2=34.5,'S3'!AY170,IF($E$2=35.5,'S3'!AZ170)))))))))))))))))))))</f>
        <v>271.60000000000002</v>
      </c>
      <c r="F170" s="641">
        <f t="shared" si="17"/>
        <v>380.24</v>
      </c>
    </row>
    <row r="171" spans="2:6" ht="18.75" thickBot="1" x14ac:dyDescent="0.35">
      <c r="B171" s="639">
        <v>167</v>
      </c>
      <c r="C171" s="640">
        <f>IF($C$2=15.5,'S3'!A171,IF($C$2=16.5,'S3'!B171,IF($C$2=17.5,'S3'!C171,IF($C$2=18.5,'S3'!D171,IF($C$2=19.5,'S3'!E171,IF($C$2=20.5,'S3'!F171,IF($C$2=21.5,'S3'!G171,IF($C$2=22.5,'S3'!H171,IF($C$2=23.5,'S3'!I171,IF($C$2=24.5,'S3'!J171,IF($C$2=25.5,'S3'!K171,IF($C$2=26.5,'S3'!L171,IF($C$2=27.5,'S3'!M171,IF($C$2=28.5,'S3'!N171,IF($C$2=29.5,'S3'!O171,IF($C$2=30.5,'S3'!P171,IF($C$2=31.5,'S3'!Q171,IF($C$2=32.5,'S3'!R171,IF($C$2=33.5,'S3'!S171,IF($C$2=34.5,'S3'!T171,IF($C$2=35.5,'S3'!U171)))))))))))))))))))))</f>
        <v>436.32</v>
      </c>
      <c r="D171" s="641">
        <f t="shared" si="18"/>
        <v>610.85</v>
      </c>
      <c r="E171" s="641">
        <f>IF($E$2=15.5,'S3'!AF171,IF($E$2=16.5,'S3'!AG171,IF($E$2=17.5,'S3'!AH171,IF($E$2=18.5,'S3'!AI171,IF($E$2=19.5,'S3'!AJ171,IF($E$2=20.5,'S3'!AK171,IF($E$2=21.5,'S3'!AL171,IF($E$2=22.5,'S3'!AM171,IF($E$2=23.5,'S3'!AN171,IF($E$2=24.5,'S3'!AO171,IF($E$2=25.5,'S3'!AP171,IF($E$2=26.5,'S3'!AQ171,IF($E$2=27.5,'S3'!AR171,IF($E$2=28.5,'S3'!AS171,IF($E$2=29.5,'S3'!AT171,IF($E$2=30.5,'S3'!AU171,IF($E$2=31.5,'S3'!AV171,IF($E$2=32.5,'S3'!AW171,IF($E$2=33.5,'S3'!AX171,IF($E$2=34.5,'S3'!AY171,IF($E$2=35.5,'S3'!AZ171)))))))))))))))))))))</f>
        <v>273.24</v>
      </c>
      <c r="F171" s="641">
        <f t="shared" si="17"/>
        <v>382.54</v>
      </c>
    </row>
    <row r="172" spans="2:6" ht="18.75" thickBot="1" x14ac:dyDescent="0.35">
      <c r="B172" s="639">
        <v>168</v>
      </c>
      <c r="C172" s="640">
        <f>IF($C$2=15.5,'S3'!A172,IF($C$2=16.5,'S3'!B172,IF($C$2=17.5,'S3'!C172,IF($C$2=18.5,'S3'!D172,IF($C$2=19.5,'S3'!E172,IF($C$2=20.5,'S3'!F172,IF($C$2=21.5,'S3'!G172,IF($C$2=22.5,'S3'!H172,IF($C$2=23.5,'S3'!I172,IF($C$2=24.5,'S3'!J172,IF($C$2=25.5,'S3'!K172,IF($C$2=26.5,'S3'!L172,IF($C$2=27.5,'S3'!M172,IF($C$2=28.5,'S3'!N172,IF($C$2=29.5,'S3'!O172,IF($C$2=30.5,'S3'!P172,IF($C$2=31.5,'S3'!Q172,IF($C$2=32.5,'S3'!R172,IF($C$2=33.5,'S3'!S172,IF($C$2=34.5,'S3'!T172,IF($C$2=35.5,'S3'!U172)))))))))))))))))))))</f>
        <v>438.95</v>
      </c>
      <c r="D172" s="641">
        <f t="shared" si="18"/>
        <v>614.53</v>
      </c>
      <c r="E172" s="641">
        <f>IF($E$2=15.5,'S3'!AF172,IF($E$2=16.5,'S3'!AG172,IF($E$2=17.5,'S3'!AH172,IF($E$2=18.5,'S3'!AI172,IF($E$2=19.5,'S3'!AJ172,IF($E$2=20.5,'S3'!AK172,IF($E$2=21.5,'S3'!AL172,IF($E$2=22.5,'S3'!AM172,IF($E$2=23.5,'S3'!AN172,IF($E$2=24.5,'S3'!AO172,IF($E$2=25.5,'S3'!AP172,IF($E$2=26.5,'S3'!AQ172,IF($E$2=27.5,'S3'!AR172,IF($E$2=28.5,'S3'!AS172,IF($E$2=29.5,'S3'!AT172,IF($E$2=30.5,'S3'!AU172,IF($E$2=31.5,'S3'!AV172,IF($E$2=32.5,'S3'!AW172,IF($E$2=33.5,'S3'!AX172,IF($E$2=34.5,'S3'!AY172,IF($E$2=35.5,'S3'!AZ172)))))))))))))))))))))</f>
        <v>274.89</v>
      </c>
      <c r="F172" s="641">
        <f t="shared" si="17"/>
        <v>384.85</v>
      </c>
    </row>
    <row r="173" spans="2:6" ht="18.75" thickBot="1" x14ac:dyDescent="0.35">
      <c r="B173" s="639">
        <v>169</v>
      </c>
      <c r="C173" s="640">
        <f>IF($C$2=15.5,'S3'!A173,IF($C$2=16.5,'S3'!B173,IF($C$2=17.5,'S3'!C173,IF($C$2=18.5,'S3'!D173,IF($C$2=19.5,'S3'!E173,IF($C$2=20.5,'S3'!F173,IF($C$2=21.5,'S3'!G173,IF($C$2=22.5,'S3'!H173,IF($C$2=23.5,'S3'!I173,IF($C$2=24.5,'S3'!J173,IF($C$2=25.5,'S3'!K173,IF($C$2=26.5,'S3'!L173,IF($C$2=27.5,'S3'!M173,IF($C$2=28.5,'S3'!N173,IF($C$2=29.5,'S3'!O173,IF($C$2=30.5,'S3'!P173,IF($C$2=31.5,'S3'!Q173,IF($C$2=32.5,'S3'!R173,IF($C$2=33.5,'S3'!S173,IF($C$2=34.5,'S3'!T173,IF($C$2=35.5,'S3'!U173)))))))))))))))))))))</f>
        <v>441.11</v>
      </c>
      <c r="D173" s="641">
        <f t="shared" si="18"/>
        <v>617.54999999999995</v>
      </c>
      <c r="E173" s="641">
        <f>IF($E$2=15.5,'S3'!AF173,IF($E$2=16.5,'S3'!AG173,IF($E$2=17.5,'S3'!AH173,IF($E$2=18.5,'S3'!AI173,IF($E$2=19.5,'S3'!AJ173,IF($E$2=20.5,'S3'!AK173,IF($E$2=21.5,'S3'!AL173,IF($E$2=22.5,'S3'!AM173,IF($E$2=23.5,'S3'!AN173,IF($E$2=24.5,'S3'!AO173,IF($E$2=25.5,'S3'!AP173,IF($E$2=26.5,'S3'!AQ173,IF($E$2=27.5,'S3'!AR173,IF($E$2=28.5,'S3'!AS173,IF($E$2=29.5,'S3'!AT173,IF($E$2=30.5,'S3'!AU173,IF($E$2=31.5,'S3'!AV173,IF($E$2=32.5,'S3'!AW173,IF($E$2=33.5,'S3'!AX173,IF($E$2=34.5,'S3'!AY173,IF($E$2=35.5,'S3'!AZ173)))))))))))))))))))))</f>
        <v>276.52999999999997</v>
      </c>
      <c r="F173" s="641">
        <f t="shared" si="17"/>
        <v>387.14</v>
      </c>
    </row>
    <row r="174" spans="2:6" ht="18.75" thickBot="1" x14ac:dyDescent="0.35">
      <c r="B174" s="639">
        <v>170</v>
      </c>
      <c r="C174" s="640">
        <f>IF($C$2=15.5,'S3'!A174,IF($C$2=16.5,'S3'!B174,IF($C$2=17.5,'S3'!C174,IF($C$2=18.5,'S3'!D174,IF($C$2=19.5,'S3'!E174,IF($C$2=20.5,'S3'!F174,IF($C$2=21.5,'S3'!G174,IF($C$2=22.5,'S3'!H174,IF($C$2=23.5,'S3'!I174,IF($C$2=24.5,'S3'!J174,IF($C$2=25.5,'S3'!K174,IF($C$2=26.5,'S3'!L174,IF($C$2=27.5,'S3'!M174,IF($C$2=28.5,'S3'!N174,IF($C$2=29.5,'S3'!O174,IF($C$2=30.5,'S3'!P174,IF($C$2=31.5,'S3'!Q174,IF($C$2=32.5,'S3'!R174,IF($C$2=33.5,'S3'!S174,IF($C$2=34.5,'S3'!T174,IF($C$2=35.5,'S3'!U174)))))))))))))))))))))</f>
        <v>443.75</v>
      </c>
      <c r="D174" s="641">
        <f t="shared" si="18"/>
        <v>621.25</v>
      </c>
      <c r="E174" s="641">
        <f>IF($E$2=15.5,'S3'!AF174,IF($E$2=16.5,'S3'!AG174,IF($E$2=17.5,'S3'!AH174,IF($E$2=18.5,'S3'!AI174,IF($E$2=19.5,'S3'!AJ174,IF($E$2=20.5,'S3'!AK174,IF($E$2=21.5,'S3'!AL174,IF($E$2=22.5,'S3'!AM174,IF($E$2=23.5,'S3'!AN174,IF($E$2=24.5,'S3'!AO174,IF($E$2=25.5,'S3'!AP174,IF($E$2=26.5,'S3'!AQ174,IF($E$2=27.5,'S3'!AR174,IF($E$2=28.5,'S3'!AS174,IF($E$2=29.5,'S3'!AT174,IF($E$2=30.5,'S3'!AU174,IF($E$2=31.5,'S3'!AV174,IF($E$2=32.5,'S3'!AW174,IF($E$2=33.5,'S3'!AX174,IF($E$2=34.5,'S3'!AY174,IF($E$2=35.5,'S3'!AZ174)))))))))))))))))))))</f>
        <v>278.18</v>
      </c>
      <c r="F174" s="641">
        <f t="shared" si="17"/>
        <v>389.45</v>
      </c>
    </row>
    <row r="175" spans="2:6" ht="18.75" thickBot="1" x14ac:dyDescent="0.35">
      <c r="B175" s="639">
        <v>171</v>
      </c>
      <c r="C175" s="640">
        <f>IF($C$2=15.5,'S3'!A175,IF($C$2=16.5,'S3'!B175,IF($C$2=17.5,'S3'!C175,IF($C$2=18.5,'S3'!D175,IF($C$2=19.5,'S3'!E175,IF($C$2=20.5,'S3'!F175,IF($C$2=21.5,'S3'!G175,IF($C$2=22.5,'S3'!H175,IF($C$2=23.5,'S3'!I175,IF($C$2=24.5,'S3'!J175,IF($C$2=25.5,'S3'!K175,IF($C$2=26.5,'S3'!L175,IF($C$2=27.5,'S3'!M175,IF($C$2=28.5,'S3'!N175,IF($C$2=29.5,'S3'!O175,IF($C$2=30.5,'S3'!P175,IF($C$2=31.5,'S3'!Q175,IF($C$2=32.5,'S3'!R175,IF($C$2=33.5,'S3'!S175,IF($C$2=34.5,'S3'!T175,IF($C$2=35.5,'S3'!U175)))))))))))))))))))))</f>
        <v>446.39</v>
      </c>
      <c r="D175" s="641">
        <f t="shared" si="18"/>
        <v>624.95000000000005</v>
      </c>
      <c r="E175" s="641">
        <f>IF($E$2=15.5,'S3'!AF175,IF($E$2=16.5,'S3'!AG175,IF($E$2=17.5,'S3'!AH175,IF($E$2=18.5,'S3'!AI175,IF($E$2=19.5,'S3'!AJ175,IF($E$2=20.5,'S3'!AK175,IF($E$2=21.5,'S3'!AL175,IF($E$2=22.5,'S3'!AM175,IF($E$2=23.5,'S3'!AN175,IF($E$2=24.5,'S3'!AO175,IF($E$2=25.5,'S3'!AP175,IF($E$2=26.5,'S3'!AQ175,IF($E$2=27.5,'S3'!AR175,IF($E$2=28.5,'S3'!AS175,IF($E$2=29.5,'S3'!AT175,IF($E$2=30.5,'S3'!AU175,IF($E$2=31.5,'S3'!AV175,IF($E$2=32.5,'S3'!AW175,IF($E$2=33.5,'S3'!AX175,IF($E$2=34.5,'S3'!AY175,IF($E$2=35.5,'S3'!AZ175)))))))))))))))))))))</f>
        <v>279.82</v>
      </c>
      <c r="F175" s="641">
        <f t="shared" si="17"/>
        <v>391.75</v>
      </c>
    </row>
    <row r="176" spans="2:6" ht="18.75" thickBot="1" x14ac:dyDescent="0.35">
      <c r="B176" s="639">
        <v>172</v>
      </c>
      <c r="C176" s="640">
        <f>IF($C$2=15.5,'S3'!A176,IF($C$2=16.5,'S3'!B176,IF($C$2=17.5,'S3'!C176,IF($C$2=18.5,'S3'!D176,IF($C$2=19.5,'S3'!E176,IF($C$2=20.5,'S3'!F176,IF($C$2=21.5,'S3'!G176,IF($C$2=22.5,'S3'!H176,IF($C$2=23.5,'S3'!I176,IF($C$2=24.5,'S3'!J176,IF($C$2=25.5,'S3'!K176,IF($C$2=26.5,'S3'!L176,IF($C$2=27.5,'S3'!M176,IF($C$2=28.5,'S3'!N176,IF($C$2=29.5,'S3'!O176,IF($C$2=30.5,'S3'!P176,IF($C$2=31.5,'S3'!Q176,IF($C$2=32.5,'S3'!R176,IF($C$2=33.5,'S3'!S176,IF($C$2=34.5,'S3'!T176,IF($C$2=35.5,'S3'!U176)))))))))))))))))))))</f>
        <v>449.04</v>
      </c>
      <c r="D176" s="641">
        <f t="shared" si="18"/>
        <v>628.66</v>
      </c>
      <c r="E176" s="641">
        <f>IF($E$2=15.5,'S3'!AF176,IF($E$2=16.5,'S3'!AG176,IF($E$2=17.5,'S3'!AH176,IF($E$2=18.5,'S3'!AI176,IF($E$2=19.5,'S3'!AJ176,IF($E$2=20.5,'S3'!AK176,IF($E$2=21.5,'S3'!AL176,IF($E$2=22.5,'S3'!AM176,IF($E$2=23.5,'S3'!AN176,IF($E$2=24.5,'S3'!AO176,IF($E$2=25.5,'S3'!AP176,IF($E$2=26.5,'S3'!AQ176,IF($E$2=27.5,'S3'!AR176,IF($E$2=28.5,'S3'!AS176,IF($E$2=29.5,'S3'!AT176,IF($E$2=30.5,'S3'!AU176,IF($E$2=31.5,'S3'!AV176,IF($E$2=32.5,'S3'!AW176,IF($E$2=33.5,'S3'!AX176,IF($E$2=34.5,'S3'!AY176,IF($E$2=35.5,'S3'!AZ176)))))))))))))))))))))</f>
        <v>281.47000000000003</v>
      </c>
      <c r="F176" s="641">
        <f t="shared" si="17"/>
        <v>394.06</v>
      </c>
    </row>
    <row r="177" spans="2:6" ht="18.75" thickBot="1" x14ac:dyDescent="0.35">
      <c r="B177" s="639">
        <v>173</v>
      </c>
      <c r="C177" s="640">
        <f>IF($C$2=15.5,'S3'!A177,IF($C$2=16.5,'S3'!B177,IF($C$2=17.5,'S3'!C177,IF($C$2=18.5,'S3'!D177,IF($C$2=19.5,'S3'!E177,IF($C$2=20.5,'S3'!F177,IF($C$2=21.5,'S3'!G177,IF($C$2=22.5,'S3'!H177,IF($C$2=23.5,'S3'!I177,IF($C$2=24.5,'S3'!J177,IF($C$2=25.5,'S3'!K177,IF($C$2=26.5,'S3'!L177,IF($C$2=27.5,'S3'!M177,IF($C$2=28.5,'S3'!N177,IF($C$2=29.5,'S3'!O177,IF($C$2=30.5,'S3'!P177,IF($C$2=31.5,'S3'!Q177,IF($C$2=32.5,'S3'!R177,IF($C$2=33.5,'S3'!S177,IF($C$2=34.5,'S3'!T177,IF($C$2=35.5,'S3'!U177)))))))))))))))))))))</f>
        <v>451.7</v>
      </c>
      <c r="D177" s="641">
        <f t="shared" si="18"/>
        <v>632.38</v>
      </c>
      <c r="E177" s="641">
        <f>IF($E$2=15.5,'S3'!AF177,IF($E$2=16.5,'S3'!AG177,IF($E$2=17.5,'S3'!AH177,IF($E$2=18.5,'S3'!AI177,IF($E$2=19.5,'S3'!AJ177,IF($E$2=20.5,'S3'!AK177,IF($E$2=21.5,'S3'!AL177,IF($E$2=22.5,'S3'!AM177,IF($E$2=23.5,'S3'!AN177,IF($E$2=24.5,'S3'!AO177,IF($E$2=25.5,'S3'!AP177,IF($E$2=26.5,'S3'!AQ177,IF($E$2=27.5,'S3'!AR177,IF($E$2=28.5,'S3'!AS177,IF($E$2=29.5,'S3'!AT177,IF($E$2=30.5,'S3'!AU177,IF($E$2=31.5,'S3'!AV177,IF($E$2=32.5,'S3'!AW177,IF($E$2=33.5,'S3'!AX177,IF($E$2=34.5,'S3'!AY177,IF($E$2=35.5,'S3'!AZ177)))))))))))))))))))))</f>
        <v>282.99</v>
      </c>
      <c r="F177" s="641">
        <f t="shared" si="17"/>
        <v>396.19</v>
      </c>
    </row>
    <row r="178" spans="2:6" ht="18.75" thickBot="1" x14ac:dyDescent="0.35">
      <c r="B178" s="639">
        <v>174</v>
      </c>
      <c r="C178" s="640">
        <f>IF($C$2=15.5,'S3'!A178,IF($C$2=16.5,'S3'!B178,IF($C$2=17.5,'S3'!C178,IF($C$2=18.5,'S3'!D178,IF($C$2=19.5,'S3'!E178,IF($C$2=20.5,'S3'!F178,IF($C$2=21.5,'S3'!G178,IF($C$2=22.5,'S3'!H178,IF($C$2=23.5,'S3'!I178,IF($C$2=24.5,'S3'!J178,IF($C$2=25.5,'S3'!K178,IF($C$2=26.5,'S3'!L178,IF($C$2=27.5,'S3'!M178,IF($C$2=28.5,'S3'!N178,IF($C$2=29.5,'S3'!O178,IF($C$2=30.5,'S3'!P178,IF($C$2=31.5,'S3'!Q178,IF($C$2=32.5,'S3'!R178,IF($C$2=33.5,'S3'!S178,IF($C$2=34.5,'S3'!T178,IF($C$2=35.5,'S3'!U178)))))))))))))))))))))</f>
        <v>454.36</v>
      </c>
      <c r="D178" s="641">
        <f t="shared" si="18"/>
        <v>636.1</v>
      </c>
      <c r="E178" s="641">
        <f>IF($E$2=15.5,'S3'!AF178,IF($E$2=16.5,'S3'!AG178,IF($E$2=17.5,'S3'!AH178,IF($E$2=18.5,'S3'!AI178,IF($E$2=19.5,'S3'!AJ178,IF($E$2=20.5,'S3'!AK178,IF($E$2=21.5,'S3'!AL178,IF($E$2=22.5,'S3'!AM178,IF($E$2=23.5,'S3'!AN178,IF($E$2=24.5,'S3'!AO178,IF($E$2=25.5,'S3'!AP178,IF($E$2=26.5,'S3'!AQ178,IF($E$2=27.5,'S3'!AR178,IF($E$2=28.5,'S3'!AS178,IF($E$2=29.5,'S3'!AT178,IF($E$2=30.5,'S3'!AU178,IF($E$2=31.5,'S3'!AV178,IF($E$2=32.5,'S3'!AW178,IF($E$2=33.5,'S3'!AX178,IF($E$2=34.5,'S3'!AY178,IF($E$2=35.5,'S3'!AZ178)))))))))))))))))))))</f>
        <v>284.64</v>
      </c>
      <c r="F178" s="641">
        <f t="shared" si="17"/>
        <v>398.5</v>
      </c>
    </row>
    <row r="179" spans="2:6" ht="18.75" thickBot="1" x14ac:dyDescent="0.35">
      <c r="B179" s="639">
        <v>175</v>
      </c>
      <c r="C179" s="640">
        <f>IF($C$2=15.5,'S3'!A179,IF($C$2=16.5,'S3'!B179,IF($C$2=17.5,'S3'!C179,IF($C$2=18.5,'S3'!D179,IF($C$2=19.5,'S3'!E179,IF($C$2=20.5,'S3'!F179,IF($C$2=21.5,'S3'!G179,IF($C$2=22.5,'S3'!H179,IF($C$2=23.5,'S3'!I179,IF($C$2=24.5,'S3'!J179,IF($C$2=25.5,'S3'!K179,IF($C$2=26.5,'S3'!L179,IF($C$2=27.5,'S3'!M179,IF($C$2=28.5,'S3'!N179,IF($C$2=29.5,'S3'!O179,IF($C$2=30.5,'S3'!P179,IF($C$2=31.5,'S3'!Q179,IF($C$2=32.5,'S3'!R179,IF($C$2=33.5,'S3'!S179,IF($C$2=34.5,'S3'!T179,IF($C$2=35.5,'S3'!U179)))))))))))))))))))))</f>
        <v>457.03</v>
      </c>
      <c r="D179" s="641">
        <f t="shared" si="18"/>
        <v>639.84</v>
      </c>
      <c r="E179" s="641">
        <f>IF($E$2=15.5,'S3'!AF179,IF($E$2=16.5,'S3'!AG179,IF($E$2=17.5,'S3'!AH179,IF($E$2=18.5,'S3'!AI179,IF($E$2=19.5,'S3'!AJ179,IF($E$2=20.5,'S3'!AK179,IF($E$2=21.5,'S3'!AL179,IF($E$2=22.5,'S3'!AM179,IF($E$2=23.5,'S3'!AN179,IF($E$2=24.5,'S3'!AO179,IF($E$2=25.5,'S3'!AP179,IF($E$2=26.5,'S3'!AQ179,IF($E$2=27.5,'S3'!AR179,IF($E$2=28.5,'S3'!AS179,IF($E$2=29.5,'S3'!AT179,IF($E$2=30.5,'S3'!AU179,IF($E$2=31.5,'S3'!AV179,IF($E$2=32.5,'S3'!AW179,IF($E$2=33.5,'S3'!AX179,IF($E$2=34.5,'S3'!AY179,IF($E$2=35.5,'S3'!AZ179)))))))))))))))))))))</f>
        <v>286.3</v>
      </c>
      <c r="F179" s="641">
        <f t="shared" si="17"/>
        <v>400.82</v>
      </c>
    </row>
    <row r="180" spans="2:6" ht="18.75" thickBot="1" x14ac:dyDescent="0.35">
      <c r="B180" s="639">
        <v>176</v>
      </c>
      <c r="C180" s="640">
        <f>IF($C$2=15.5,'S3'!A180,IF($C$2=16.5,'S3'!B180,IF($C$2=17.5,'S3'!C180,IF($C$2=18.5,'S3'!D180,IF($C$2=19.5,'S3'!E180,IF($C$2=20.5,'S3'!F180,IF($C$2=21.5,'S3'!G180,IF($C$2=22.5,'S3'!H180,IF($C$2=23.5,'S3'!I180,IF($C$2=24.5,'S3'!J180,IF($C$2=25.5,'S3'!K180,IF($C$2=26.5,'S3'!L180,IF($C$2=27.5,'S3'!M180,IF($C$2=28.5,'S3'!N180,IF($C$2=29.5,'S3'!O180,IF($C$2=30.5,'S3'!P180,IF($C$2=31.5,'S3'!Q180,IF($C$2=32.5,'S3'!R180,IF($C$2=33.5,'S3'!S180,IF($C$2=34.5,'S3'!T180,IF($C$2=35.5,'S3'!U180)))))))))))))))))))))</f>
        <v>459.71</v>
      </c>
      <c r="D180" s="641">
        <f t="shared" si="18"/>
        <v>643.59</v>
      </c>
      <c r="E180" s="641">
        <f>IF($E$2=15.5,'S3'!AF180,IF($E$2=16.5,'S3'!AG180,IF($E$2=17.5,'S3'!AH180,IF($E$2=18.5,'S3'!AI180,IF($E$2=19.5,'S3'!AJ180,IF($E$2=20.5,'S3'!AK180,IF($E$2=21.5,'S3'!AL180,IF($E$2=22.5,'S3'!AM180,IF($E$2=23.5,'S3'!AN180,IF($E$2=24.5,'S3'!AO180,IF($E$2=25.5,'S3'!AP180,IF($E$2=26.5,'S3'!AQ180,IF($E$2=27.5,'S3'!AR180,IF($E$2=28.5,'S3'!AS180,IF($E$2=29.5,'S3'!AT180,IF($E$2=30.5,'S3'!AU180,IF($E$2=31.5,'S3'!AV180,IF($E$2=32.5,'S3'!AW180,IF($E$2=33.5,'S3'!AX180,IF($E$2=34.5,'S3'!AY180,IF($E$2=35.5,'S3'!AZ180)))))))))))))))))))))</f>
        <v>287.95</v>
      </c>
      <c r="F180" s="641">
        <f t="shared" si="17"/>
        <v>403.13</v>
      </c>
    </row>
    <row r="181" spans="2:6" ht="18.75" thickBot="1" x14ac:dyDescent="0.35">
      <c r="B181" s="639">
        <v>177</v>
      </c>
      <c r="C181" s="640">
        <f>IF($C$2=15.5,'S3'!A181,IF($C$2=16.5,'S3'!B181,IF($C$2=17.5,'S3'!C181,IF($C$2=18.5,'S3'!D181,IF($C$2=19.5,'S3'!E181,IF($C$2=20.5,'S3'!F181,IF($C$2=21.5,'S3'!G181,IF($C$2=22.5,'S3'!H181,IF($C$2=23.5,'S3'!I181,IF($C$2=24.5,'S3'!J181,IF($C$2=25.5,'S3'!K181,IF($C$2=26.5,'S3'!L181,IF($C$2=27.5,'S3'!M181,IF($C$2=28.5,'S3'!N181,IF($C$2=29.5,'S3'!O181,IF($C$2=30.5,'S3'!P181,IF($C$2=31.5,'S3'!Q181,IF($C$2=32.5,'S3'!R181,IF($C$2=33.5,'S3'!S181,IF($C$2=34.5,'S3'!T181,IF($C$2=35.5,'S3'!U181)))))))))))))))))))))</f>
        <v>462.39</v>
      </c>
      <c r="D181" s="641">
        <f t="shared" si="18"/>
        <v>647.35</v>
      </c>
      <c r="E181" s="641">
        <f>IF($E$2=15.5,'S3'!AF181,IF($E$2=16.5,'S3'!AG181,IF($E$2=17.5,'S3'!AH181,IF($E$2=18.5,'S3'!AI181,IF($E$2=19.5,'S3'!AJ181,IF($E$2=20.5,'S3'!AK181,IF($E$2=21.5,'S3'!AL181,IF($E$2=22.5,'S3'!AM181,IF($E$2=23.5,'S3'!AN181,IF($E$2=24.5,'S3'!AO181,IF($E$2=25.5,'S3'!AP181,IF($E$2=26.5,'S3'!AQ181,IF($E$2=27.5,'S3'!AR181,IF($E$2=28.5,'S3'!AS181,IF($E$2=29.5,'S3'!AT181,IF($E$2=30.5,'S3'!AU181,IF($E$2=31.5,'S3'!AV181,IF($E$2=32.5,'S3'!AW181,IF($E$2=33.5,'S3'!AX181,IF($E$2=34.5,'S3'!AY181,IF($E$2=35.5,'S3'!AZ181)))))))))))))))))))))</f>
        <v>289.61</v>
      </c>
      <c r="F181" s="641">
        <f t="shared" si="17"/>
        <v>405.45</v>
      </c>
    </row>
    <row r="182" spans="2:6" ht="18.75" thickBot="1" x14ac:dyDescent="0.35">
      <c r="B182" s="639">
        <v>178</v>
      </c>
      <c r="C182" s="640">
        <f>IF($C$2=15.5,'S3'!A182,IF($C$2=16.5,'S3'!B182,IF($C$2=17.5,'S3'!C182,IF($C$2=18.5,'S3'!D182,IF($C$2=19.5,'S3'!E182,IF($C$2=20.5,'S3'!F182,IF($C$2=21.5,'S3'!G182,IF($C$2=22.5,'S3'!H182,IF($C$2=23.5,'S3'!I182,IF($C$2=24.5,'S3'!J182,IF($C$2=25.5,'S3'!K182,IF($C$2=26.5,'S3'!L182,IF($C$2=27.5,'S3'!M182,IF($C$2=28.5,'S3'!N182,IF($C$2=29.5,'S3'!O182,IF($C$2=30.5,'S3'!P182,IF($C$2=31.5,'S3'!Q182,IF($C$2=32.5,'S3'!R182,IF($C$2=33.5,'S3'!S182,IF($C$2=34.5,'S3'!T182,IF($C$2=35.5,'S3'!U182)))))))))))))))))))))</f>
        <v>464.55</v>
      </c>
      <c r="D182" s="641">
        <f t="shared" si="18"/>
        <v>650.37</v>
      </c>
      <c r="E182" s="641">
        <f>IF($E$2=15.5,'S3'!AF182,IF($E$2=16.5,'S3'!AG182,IF($E$2=17.5,'S3'!AH182,IF($E$2=18.5,'S3'!AI182,IF($E$2=19.5,'S3'!AJ182,IF($E$2=20.5,'S3'!AK182,IF($E$2=21.5,'S3'!AL182,IF($E$2=22.5,'S3'!AM182,IF($E$2=23.5,'S3'!AN182,IF($E$2=24.5,'S3'!AO182,IF($E$2=25.5,'S3'!AP182,IF($E$2=26.5,'S3'!AQ182,IF($E$2=27.5,'S3'!AR182,IF($E$2=28.5,'S3'!AS182,IF($E$2=29.5,'S3'!AT182,IF($E$2=30.5,'S3'!AU182,IF($E$2=31.5,'S3'!AV182,IF($E$2=32.5,'S3'!AW182,IF($E$2=33.5,'S3'!AX182,IF($E$2=34.5,'S3'!AY182,IF($E$2=35.5,'S3'!AZ182)))))))))))))))))))))</f>
        <v>291.26</v>
      </c>
      <c r="F182" s="641">
        <f t="shared" si="17"/>
        <v>407.76</v>
      </c>
    </row>
    <row r="183" spans="2:6" ht="18.75" thickBot="1" x14ac:dyDescent="0.35">
      <c r="B183" s="639">
        <v>179</v>
      </c>
      <c r="C183" s="640">
        <f>IF($C$2=15.5,'S3'!A183,IF($C$2=16.5,'S3'!B183,IF($C$2=17.5,'S3'!C183,IF($C$2=18.5,'S3'!D183,IF($C$2=19.5,'S3'!E183,IF($C$2=20.5,'S3'!F183,IF($C$2=21.5,'S3'!G183,IF($C$2=22.5,'S3'!H183,IF($C$2=23.5,'S3'!I183,IF($C$2=24.5,'S3'!J183,IF($C$2=25.5,'S3'!K183,IF($C$2=26.5,'S3'!L183,IF($C$2=27.5,'S3'!M183,IF($C$2=28.5,'S3'!N183,IF($C$2=29.5,'S3'!O183,IF($C$2=30.5,'S3'!P183,IF($C$2=31.5,'S3'!Q183,IF($C$2=32.5,'S3'!R183,IF($C$2=33.5,'S3'!S183,IF($C$2=34.5,'S3'!T183,IF($C$2=35.5,'S3'!U183)))))))))))))))))))))</f>
        <v>467.24</v>
      </c>
      <c r="D183" s="641">
        <f t="shared" si="18"/>
        <v>654.14</v>
      </c>
      <c r="E183" s="641">
        <f>IF($E$2=15.5,'S3'!AF183,IF($E$2=16.5,'S3'!AG183,IF($E$2=17.5,'S3'!AH183,IF($E$2=18.5,'S3'!AI183,IF($E$2=19.5,'S3'!AJ183,IF($E$2=20.5,'S3'!AK183,IF($E$2=21.5,'S3'!AL183,IF($E$2=22.5,'S3'!AM183,IF($E$2=23.5,'S3'!AN183,IF($E$2=24.5,'S3'!AO183,IF($E$2=25.5,'S3'!AP183,IF($E$2=26.5,'S3'!AQ183,IF($E$2=27.5,'S3'!AR183,IF($E$2=28.5,'S3'!AS183,IF($E$2=29.5,'S3'!AT183,IF($E$2=30.5,'S3'!AU183,IF($E$2=31.5,'S3'!AV183,IF($E$2=32.5,'S3'!AW183,IF($E$2=33.5,'S3'!AX183,IF($E$2=34.5,'S3'!AY183,IF($E$2=35.5,'S3'!AZ183)))))))))))))))))))))</f>
        <v>292.77999999999997</v>
      </c>
      <c r="F183" s="641">
        <f t="shared" si="17"/>
        <v>409.89</v>
      </c>
    </row>
    <row r="184" spans="2:6" ht="18.75" thickBot="1" x14ac:dyDescent="0.35">
      <c r="B184" s="639">
        <v>180</v>
      </c>
      <c r="C184" s="640">
        <f>IF($C$2=15.5,'S3'!A184,IF($C$2=16.5,'S3'!B184,IF($C$2=17.5,'S3'!C184,IF($C$2=18.5,'S3'!D184,IF($C$2=19.5,'S3'!E184,IF($C$2=20.5,'S3'!F184,IF($C$2=21.5,'S3'!G184,IF($C$2=22.5,'S3'!H184,IF($C$2=23.5,'S3'!I184,IF($C$2=24.5,'S3'!J184,IF($C$2=25.5,'S3'!K184,IF($C$2=26.5,'S3'!L184,IF($C$2=27.5,'S3'!M184,IF($C$2=28.5,'S3'!N184,IF($C$2=29.5,'S3'!O184,IF($C$2=30.5,'S3'!P184,IF($C$2=31.5,'S3'!Q184,IF($C$2=32.5,'S3'!R184,IF($C$2=33.5,'S3'!S184,IF($C$2=34.5,'S3'!T184,IF($C$2=35.5,'S3'!U184)))))))))))))))))))))</f>
        <v>469.94</v>
      </c>
      <c r="D184" s="641">
        <f t="shared" si="18"/>
        <v>657.92</v>
      </c>
      <c r="E184" s="641">
        <f>IF($E$2=15.5,'S3'!AF184,IF($E$2=16.5,'S3'!AG184,IF($E$2=17.5,'S3'!AH184,IF($E$2=18.5,'S3'!AI184,IF($E$2=19.5,'S3'!AJ184,IF($E$2=20.5,'S3'!AK184,IF($E$2=21.5,'S3'!AL184,IF($E$2=22.5,'S3'!AM184,IF($E$2=23.5,'S3'!AN184,IF($E$2=24.5,'S3'!AO184,IF($E$2=25.5,'S3'!AP184,IF($E$2=26.5,'S3'!AQ184,IF($E$2=27.5,'S3'!AR184,IF($E$2=28.5,'S3'!AS184,IF($E$2=29.5,'S3'!AT184,IF($E$2=30.5,'S3'!AU184,IF($E$2=31.5,'S3'!AV184,IF($E$2=32.5,'S3'!AW184,IF($E$2=33.5,'S3'!AX184,IF($E$2=34.5,'S3'!AY184,IF($E$2=35.5,'S3'!AZ184)))))))))))))))))))))</f>
        <v>294.44</v>
      </c>
      <c r="F184" s="641">
        <f t="shared" si="17"/>
        <v>412.22</v>
      </c>
    </row>
    <row r="185" spans="2:6" ht="18.75" thickBot="1" x14ac:dyDescent="0.35">
      <c r="B185" s="639">
        <v>181</v>
      </c>
      <c r="C185" s="640">
        <f>IF($C$2=15.5,'S3'!A185,IF($C$2=16.5,'S3'!B185,IF($C$2=17.5,'S3'!C185,IF($C$2=18.5,'S3'!D185,IF($C$2=19.5,'S3'!E185,IF($C$2=20.5,'S3'!F185,IF($C$2=21.5,'S3'!G185,IF($C$2=22.5,'S3'!H185,IF($C$2=23.5,'S3'!I185,IF($C$2=24.5,'S3'!J185,IF($C$2=25.5,'S3'!K185,IF($C$2=26.5,'S3'!L185,IF($C$2=27.5,'S3'!M185,IF($C$2=28.5,'S3'!N185,IF($C$2=29.5,'S3'!O185,IF($C$2=30.5,'S3'!P185,IF($C$2=31.5,'S3'!Q185,IF($C$2=32.5,'S3'!R185,IF($C$2=33.5,'S3'!S185,IF($C$2=34.5,'S3'!T185,IF($C$2=35.5,'S3'!U185)))))))))))))))))))))</f>
        <v>472.65</v>
      </c>
      <c r="D185" s="641">
        <f t="shared" si="18"/>
        <v>661.71</v>
      </c>
      <c r="E185" s="641">
        <f>IF($E$2=15.5,'S3'!AF185,IF($E$2=16.5,'S3'!AG185,IF($E$2=17.5,'S3'!AH185,IF($E$2=18.5,'S3'!AI185,IF($E$2=19.5,'S3'!AJ185,IF($E$2=20.5,'S3'!AK185,IF($E$2=21.5,'S3'!AL185,IF($E$2=22.5,'S3'!AM185,IF($E$2=23.5,'S3'!AN185,IF($E$2=24.5,'S3'!AO185,IF($E$2=25.5,'S3'!AP185,IF($E$2=26.5,'S3'!AQ185,IF($E$2=27.5,'S3'!AR185,IF($E$2=28.5,'S3'!AS185,IF($E$2=29.5,'S3'!AT185,IF($E$2=30.5,'S3'!AU185,IF($E$2=31.5,'S3'!AV185,IF($E$2=32.5,'S3'!AW185,IF($E$2=33.5,'S3'!AX185,IF($E$2=34.5,'S3'!AY185,IF($E$2=35.5,'S3'!AZ185)))))))))))))))))))))</f>
        <v>296.11</v>
      </c>
      <c r="F185" s="641">
        <f t="shared" si="17"/>
        <v>414.55</v>
      </c>
    </row>
    <row r="186" spans="2:6" ht="18.75" thickBot="1" x14ac:dyDescent="0.35">
      <c r="B186" s="639">
        <v>182</v>
      </c>
      <c r="C186" s="640">
        <f>IF($C$2=15.5,'S3'!A186,IF($C$2=16.5,'S3'!B186,IF($C$2=17.5,'S3'!C186,IF($C$2=18.5,'S3'!D186,IF($C$2=19.5,'S3'!E186,IF($C$2=20.5,'S3'!F186,IF($C$2=21.5,'S3'!G186,IF($C$2=22.5,'S3'!H186,IF($C$2=23.5,'S3'!I186,IF($C$2=24.5,'S3'!J186,IF($C$2=25.5,'S3'!K186,IF($C$2=26.5,'S3'!L186,IF($C$2=27.5,'S3'!M186,IF($C$2=28.5,'S3'!N186,IF($C$2=29.5,'S3'!O186,IF($C$2=30.5,'S3'!P186,IF($C$2=31.5,'S3'!Q186,IF($C$2=32.5,'S3'!R186,IF($C$2=33.5,'S3'!S186,IF($C$2=34.5,'S3'!T186,IF($C$2=35.5,'S3'!U186)))))))))))))))))))))</f>
        <v>475.36</v>
      </c>
      <c r="D186" s="641">
        <f t="shared" si="18"/>
        <v>665.5</v>
      </c>
      <c r="E186" s="641">
        <f>IF($E$2=15.5,'S3'!AF186,IF($E$2=16.5,'S3'!AG186,IF($E$2=17.5,'S3'!AH186,IF($E$2=18.5,'S3'!AI186,IF($E$2=19.5,'S3'!AJ186,IF($E$2=20.5,'S3'!AK186,IF($E$2=21.5,'S3'!AL186,IF($E$2=22.5,'S3'!AM186,IF($E$2=23.5,'S3'!AN186,IF($E$2=24.5,'S3'!AO186,IF($E$2=25.5,'S3'!AP186,IF($E$2=26.5,'S3'!AQ186,IF($E$2=27.5,'S3'!AR186,IF($E$2=28.5,'S3'!AS186,IF($E$2=29.5,'S3'!AT186,IF($E$2=30.5,'S3'!AU186,IF($E$2=31.5,'S3'!AV186,IF($E$2=32.5,'S3'!AW186,IF($E$2=33.5,'S3'!AX186,IF($E$2=34.5,'S3'!AY186,IF($E$2=35.5,'S3'!AZ186)))))))))))))))))))))</f>
        <v>297.77</v>
      </c>
      <c r="F186" s="641">
        <f t="shared" si="17"/>
        <v>416.88</v>
      </c>
    </row>
    <row r="187" spans="2:6" ht="18.75" thickBot="1" x14ac:dyDescent="0.35">
      <c r="B187" s="639">
        <v>183</v>
      </c>
      <c r="C187" s="640">
        <f>IF($C$2=15.5,'S3'!A187,IF($C$2=16.5,'S3'!B187,IF($C$2=17.5,'S3'!C187,IF($C$2=18.5,'S3'!D187,IF($C$2=19.5,'S3'!E187,IF($C$2=20.5,'S3'!F187,IF($C$2=21.5,'S3'!G187,IF($C$2=22.5,'S3'!H187,IF($C$2=23.5,'S3'!I187,IF($C$2=24.5,'S3'!J187,IF($C$2=25.5,'S3'!K187,IF($C$2=26.5,'S3'!L187,IF($C$2=27.5,'S3'!M187,IF($C$2=28.5,'S3'!N187,IF($C$2=29.5,'S3'!O187,IF($C$2=30.5,'S3'!P187,IF($C$2=31.5,'S3'!Q187,IF($C$2=32.5,'S3'!R187,IF($C$2=33.5,'S3'!S187,IF($C$2=34.5,'S3'!T187,IF($C$2=35.5,'S3'!U187)))))))))))))))))))))</f>
        <v>478.08</v>
      </c>
      <c r="D187" s="641">
        <f t="shared" si="18"/>
        <v>669.31</v>
      </c>
      <c r="E187" s="641">
        <f>IF($E$2=15.5,'S3'!AF187,IF($E$2=16.5,'S3'!AG187,IF($E$2=17.5,'S3'!AH187,IF($E$2=18.5,'S3'!AI187,IF($E$2=19.5,'S3'!AJ187,IF($E$2=20.5,'S3'!AK187,IF($E$2=21.5,'S3'!AL187,IF($E$2=22.5,'S3'!AM187,IF($E$2=23.5,'S3'!AN187,IF($E$2=24.5,'S3'!AO187,IF($E$2=25.5,'S3'!AP187,IF($E$2=26.5,'S3'!AQ187,IF($E$2=27.5,'S3'!AR187,IF($E$2=28.5,'S3'!AS187,IF($E$2=29.5,'S3'!AT187,IF($E$2=30.5,'S3'!AU187,IF($E$2=31.5,'S3'!AV187,IF($E$2=32.5,'S3'!AW187,IF($E$2=33.5,'S3'!AX187,IF($E$2=34.5,'S3'!AY187,IF($E$2=35.5,'S3'!AZ187)))))))))))))))))))))</f>
        <v>299.44</v>
      </c>
      <c r="F187" s="641">
        <f t="shared" si="17"/>
        <v>419.22</v>
      </c>
    </row>
    <row r="188" spans="2:6" ht="18.75" thickBot="1" x14ac:dyDescent="0.35">
      <c r="B188" s="639">
        <v>184</v>
      </c>
      <c r="C188" s="640">
        <f>IF($C$2=15.5,'S3'!A188,IF($C$2=16.5,'S3'!B188,IF($C$2=17.5,'S3'!C188,IF($C$2=18.5,'S3'!D188,IF($C$2=19.5,'S3'!E188,IF($C$2=20.5,'S3'!F188,IF($C$2=21.5,'S3'!G188,IF($C$2=22.5,'S3'!H188,IF($C$2=23.5,'S3'!I188,IF($C$2=24.5,'S3'!J188,IF($C$2=25.5,'S3'!K188,IF($C$2=26.5,'S3'!L188,IF($C$2=27.5,'S3'!M188,IF($C$2=28.5,'S3'!N188,IF($C$2=29.5,'S3'!O188,IF($C$2=30.5,'S3'!P188,IF($C$2=31.5,'S3'!Q188,IF($C$2=32.5,'S3'!R188,IF($C$2=33.5,'S3'!S188,IF($C$2=34.5,'S3'!T188,IF($C$2=35.5,'S3'!U188)))))))))))))))))))))</f>
        <v>480.24</v>
      </c>
      <c r="D188" s="641">
        <f t="shared" si="18"/>
        <v>672.34</v>
      </c>
      <c r="E188" s="641">
        <f>IF($E$2=15.5,'S3'!AF188,IF($E$2=16.5,'S3'!AG188,IF($E$2=17.5,'S3'!AH188,IF($E$2=18.5,'S3'!AI188,IF($E$2=19.5,'S3'!AJ188,IF($E$2=20.5,'S3'!AK188,IF($E$2=21.5,'S3'!AL188,IF($E$2=22.5,'S3'!AM188,IF($E$2=23.5,'S3'!AN188,IF($E$2=24.5,'S3'!AO188,IF($E$2=25.5,'S3'!AP188,IF($E$2=26.5,'S3'!AQ188,IF($E$2=27.5,'S3'!AR188,IF($E$2=28.5,'S3'!AS188,IF($E$2=29.5,'S3'!AT188,IF($E$2=30.5,'S3'!AU188,IF($E$2=31.5,'S3'!AV188,IF($E$2=32.5,'S3'!AW188,IF($E$2=33.5,'S3'!AX188,IF($E$2=34.5,'S3'!AY188,IF($E$2=35.5,'S3'!AZ188)))))))))))))))))))))</f>
        <v>300.95</v>
      </c>
      <c r="F188" s="641">
        <f t="shared" si="17"/>
        <v>421.33</v>
      </c>
    </row>
    <row r="189" spans="2:6" ht="18.75" thickBot="1" x14ac:dyDescent="0.35">
      <c r="B189" s="639">
        <v>185</v>
      </c>
      <c r="C189" s="640">
        <f>IF($C$2=15.5,'S3'!A189,IF($C$2=16.5,'S3'!B189,IF($C$2=17.5,'S3'!C189,IF($C$2=18.5,'S3'!D189,IF($C$2=19.5,'S3'!E189,IF($C$2=20.5,'S3'!F189,IF($C$2=21.5,'S3'!G189,IF($C$2=22.5,'S3'!H189,IF($C$2=23.5,'S3'!I189,IF($C$2=24.5,'S3'!J189,IF($C$2=25.5,'S3'!K189,IF($C$2=26.5,'S3'!L189,IF($C$2=27.5,'S3'!M189,IF($C$2=28.5,'S3'!N189,IF($C$2=29.5,'S3'!O189,IF($C$2=30.5,'S3'!P189,IF($C$2=31.5,'S3'!Q189,IF($C$2=32.5,'S3'!R189,IF($C$2=33.5,'S3'!S189,IF($C$2=34.5,'S3'!T189,IF($C$2=35.5,'S3'!U189)))))))))))))))))))))</f>
        <v>482.96</v>
      </c>
      <c r="D189" s="641">
        <f t="shared" si="18"/>
        <v>676.14</v>
      </c>
      <c r="E189" s="641">
        <f>IF($E$2=15.5,'S3'!AF189,IF($E$2=16.5,'S3'!AG189,IF($E$2=17.5,'S3'!AH189,IF($E$2=18.5,'S3'!AI189,IF($E$2=19.5,'S3'!AJ189,IF($E$2=20.5,'S3'!AK189,IF($E$2=21.5,'S3'!AL189,IF($E$2=22.5,'S3'!AM189,IF($E$2=23.5,'S3'!AN189,IF($E$2=24.5,'S3'!AO189,IF($E$2=25.5,'S3'!AP189,IF($E$2=26.5,'S3'!AQ189,IF($E$2=27.5,'S3'!AR189,IF($E$2=28.5,'S3'!AS189,IF($E$2=29.5,'S3'!AT189,IF($E$2=30.5,'S3'!AU189,IF($E$2=31.5,'S3'!AV189,IF($E$2=32.5,'S3'!AW189,IF($E$2=33.5,'S3'!AX189,IF($E$2=34.5,'S3'!AY189,IF($E$2=35.5,'S3'!AZ189)))))))))))))))))))))</f>
        <v>302.62</v>
      </c>
      <c r="F189" s="641">
        <f t="shared" si="17"/>
        <v>423.67</v>
      </c>
    </row>
    <row r="190" spans="2:6" ht="18.75" thickBot="1" x14ac:dyDescent="0.35">
      <c r="B190" s="639">
        <v>186</v>
      </c>
      <c r="C190" s="640">
        <f>IF($C$2=15.5,'S3'!A190,IF($C$2=16.5,'S3'!B190,IF($C$2=17.5,'S3'!C190,IF($C$2=18.5,'S3'!D190,IF($C$2=19.5,'S3'!E190,IF($C$2=20.5,'S3'!F190,IF($C$2=21.5,'S3'!G190,IF($C$2=22.5,'S3'!H190,IF($C$2=23.5,'S3'!I190,IF($C$2=24.5,'S3'!J190,IF($C$2=25.5,'S3'!K190,IF($C$2=26.5,'S3'!L190,IF($C$2=27.5,'S3'!M190,IF($C$2=28.5,'S3'!N190,IF($C$2=29.5,'S3'!O190,IF($C$2=30.5,'S3'!P190,IF($C$2=31.5,'S3'!Q190,IF($C$2=32.5,'S3'!R190,IF($C$2=33.5,'S3'!S190,IF($C$2=34.5,'S3'!T190,IF($C$2=35.5,'S3'!U190)))))))))))))))))))))</f>
        <v>485.7</v>
      </c>
      <c r="D190" s="641">
        <f t="shared" si="18"/>
        <v>679.98</v>
      </c>
      <c r="E190" s="641">
        <f>IF($E$2=15.5,'S3'!AF190,IF($E$2=16.5,'S3'!AG190,IF($E$2=17.5,'S3'!AH190,IF($E$2=18.5,'S3'!AI190,IF($E$2=19.5,'S3'!AJ190,IF($E$2=20.5,'S3'!AK190,IF($E$2=21.5,'S3'!AL190,IF($E$2=22.5,'S3'!AM190,IF($E$2=23.5,'S3'!AN190,IF($E$2=24.5,'S3'!AO190,IF($E$2=25.5,'S3'!AP190,IF($E$2=26.5,'S3'!AQ190,IF($E$2=27.5,'S3'!AR190,IF($E$2=28.5,'S3'!AS190,IF($E$2=29.5,'S3'!AT190,IF($E$2=30.5,'S3'!AU190,IF($E$2=31.5,'S3'!AV190,IF($E$2=32.5,'S3'!AW190,IF($E$2=33.5,'S3'!AX190,IF($E$2=34.5,'S3'!AY190,IF($E$2=35.5,'S3'!AZ190)))))))))))))))))))))</f>
        <v>304.29000000000002</v>
      </c>
      <c r="F190" s="641">
        <f t="shared" si="17"/>
        <v>426.01</v>
      </c>
    </row>
    <row r="191" spans="2:6" ht="18.75" thickBot="1" x14ac:dyDescent="0.35">
      <c r="B191" s="639">
        <v>187</v>
      </c>
      <c r="C191" s="640">
        <f>IF($C$2=15.5,'S3'!A191,IF($C$2=16.5,'S3'!B191,IF($C$2=17.5,'S3'!C191,IF($C$2=18.5,'S3'!D191,IF($C$2=19.5,'S3'!E191,IF($C$2=20.5,'S3'!F191,IF($C$2=21.5,'S3'!G191,IF($C$2=22.5,'S3'!H191,IF($C$2=23.5,'S3'!I191,IF($C$2=24.5,'S3'!J191,IF($C$2=25.5,'S3'!K191,IF($C$2=26.5,'S3'!L191,IF($C$2=27.5,'S3'!M191,IF($C$2=28.5,'S3'!N191,IF($C$2=29.5,'S3'!O191,IF($C$2=30.5,'S3'!P191,IF($C$2=31.5,'S3'!Q191,IF($C$2=32.5,'S3'!R191,IF($C$2=33.5,'S3'!S191,IF($C$2=34.5,'S3'!T191,IF($C$2=35.5,'S3'!U191)))))))))))))))))))))</f>
        <v>488.44</v>
      </c>
      <c r="D191" s="641">
        <f t="shared" si="18"/>
        <v>683.82</v>
      </c>
      <c r="E191" s="641">
        <f>IF($E$2=15.5,'S3'!AF191,IF($E$2=16.5,'S3'!AG191,IF($E$2=17.5,'S3'!AH191,IF($E$2=18.5,'S3'!AI191,IF($E$2=19.5,'S3'!AJ191,IF($E$2=20.5,'S3'!AK191,IF($E$2=21.5,'S3'!AL191,IF($E$2=22.5,'S3'!AM191,IF($E$2=23.5,'S3'!AN191,IF($E$2=24.5,'S3'!AO191,IF($E$2=25.5,'S3'!AP191,IF($E$2=26.5,'S3'!AQ191,IF($E$2=27.5,'S3'!AR191,IF($E$2=28.5,'S3'!AS191,IF($E$2=29.5,'S3'!AT191,IF($E$2=30.5,'S3'!AU191,IF($E$2=31.5,'S3'!AV191,IF($E$2=32.5,'S3'!AW191,IF($E$2=33.5,'S3'!AX191,IF($E$2=34.5,'S3'!AY191,IF($E$2=35.5,'S3'!AZ191)))))))))))))))))))))</f>
        <v>305.95999999999998</v>
      </c>
      <c r="F191" s="641">
        <f t="shared" si="17"/>
        <v>428.34</v>
      </c>
    </row>
    <row r="192" spans="2:6" ht="18.75" thickBot="1" x14ac:dyDescent="0.35">
      <c r="B192" s="639">
        <v>188</v>
      </c>
      <c r="C192" s="640">
        <f>IF($C$2=15.5,'S3'!A192,IF($C$2=16.5,'S3'!B192,IF($C$2=17.5,'S3'!C192,IF($C$2=18.5,'S3'!D192,IF($C$2=19.5,'S3'!E192,IF($C$2=20.5,'S3'!F192,IF($C$2=21.5,'S3'!G192,IF($C$2=22.5,'S3'!H192,IF($C$2=23.5,'S3'!I192,IF($C$2=24.5,'S3'!J192,IF($C$2=25.5,'S3'!K192,IF($C$2=26.5,'S3'!L192,IF($C$2=27.5,'S3'!M192,IF($C$2=28.5,'S3'!N192,IF($C$2=29.5,'S3'!O192,IF($C$2=30.5,'S3'!P192,IF($C$2=31.5,'S3'!Q192,IF($C$2=32.5,'S3'!R192,IF($C$2=33.5,'S3'!S192,IF($C$2=34.5,'S3'!T192,IF($C$2=35.5,'S3'!U192)))))))))))))))))))))</f>
        <v>490.6</v>
      </c>
      <c r="D192" s="641">
        <f t="shared" si="18"/>
        <v>686.84</v>
      </c>
      <c r="E192" s="641">
        <f>IF($E$2=15.5,'S3'!AF192,IF($E$2=16.5,'S3'!AG192,IF($E$2=17.5,'S3'!AH192,IF($E$2=18.5,'S3'!AI192,IF($E$2=19.5,'S3'!AJ192,IF($E$2=20.5,'S3'!AK192,IF($E$2=21.5,'S3'!AL192,IF($E$2=22.5,'S3'!AM192,IF($E$2=23.5,'S3'!AN192,IF($E$2=24.5,'S3'!AO192,IF($E$2=25.5,'S3'!AP192,IF($E$2=26.5,'S3'!AQ192,IF($E$2=27.5,'S3'!AR192,IF($E$2=28.5,'S3'!AS192,IF($E$2=29.5,'S3'!AT192,IF($E$2=30.5,'S3'!AU192,IF($E$2=31.5,'S3'!AV192,IF($E$2=32.5,'S3'!AW192,IF($E$2=33.5,'S3'!AX192,IF($E$2=34.5,'S3'!AY192,IF($E$2=35.5,'S3'!AZ192)))))))))))))))))))))</f>
        <v>307.48</v>
      </c>
      <c r="F192" s="641">
        <f t="shared" si="17"/>
        <v>430.47</v>
      </c>
    </row>
    <row r="193" spans="2:6" ht="18.75" thickBot="1" x14ac:dyDescent="0.35">
      <c r="B193" s="639">
        <v>189</v>
      </c>
      <c r="C193" s="640">
        <f>IF($C$2=15.5,'S3'!A193,IF($C$2=16.5,'S3'!B193,IF($C$2=17.5,'S3'!C193,IF($C$2=18.5,'S3'!D193,IF($C$2=19.5,'S3'!E193,IF($C$2=20.5,'S3'!F193,IF($C$2=21.5,'S3'!G193,IF($C$2=22.5,'S3'!H193,IF($C$2=23.5,'S3'!I193,IF($C$2=24.5,'S3'!J193,IF($C$2=25.5,'S3'!K193,IF($C$2=26.5,'S3'!L193,IF($C$2=27.5,'S3'!M193,IF($C$2=28.5,'S3'!N193,IF($C$2=29.5,'S3'!O193,IF($C$2=30.5,'S3'!P193,IF($C$2=31.5,'S3'!Q193,IF($C$2=32.5,'S3'!R193,IF($C$2=33.5,'S3'!S193,IF($C$2=34.5,'S3'!T193,IF($C$2=35.5,'S3'!U193)))))))))))))))))))))</f>
        <v>493.35</v>
      </c>
      <c r="D193" s="641">
        <f t="shared" si="18"/>
        <v>690.69</v>
      </c>
      <c r="E193" s="641">
        <f>IF($E$2=15.5,'S3'!AF193,IF($E$2=16.5,'S3'!AG193,IF($E$2=17.5,'S3'!AH193,IF($E$2=18.5,'S3'!AI193,IF($E$2=19.5,'S3'!AJ193,IF($E$2=20.5,'S3'!AK193,IF($E$2=21.5,'S3'!AL193,IF($E$2=22.5,'S3'!AM193,IF($E$2=23.5,'S3'!AN193,IF($E$2=24.5,'S3'!AO193,IF($E$2=25.5,'S3'!AP193,IF($E$2=26.5,'S3'!AQ193,IF($E$2=27.5,'S3'!AR193,IF($E$2=28.5,'S3'!AS193,IF($E$2=29.5,'S3'!AT193,IF($E$2=30.5,'S3'!AU193,IF($E$2=31.5,'S3'!AV193,IF($E$2=32.5,'S3'!AW193,IF($E$2=33.5,'S3'!AX193,IF($E$2=34.5,'S3'!AY193,IF($E$2=35.5,'S3'!AZ193)))))))))))))))))))))</f>
        <v>309.16000000000003</v>
      </c>
      <c r="F193" s="641">
        <f t="shared" si="17"/>
        <v>432.82</v>
      </c>
    </row>
    <row r="194" spans="2:6" ht="18.75" thickBot="1" x14ac:dyDescent="0.35">
      <c r="B194" s="639">
        <v>190</v>
      </c>
      <c r="C194" s="640">
        <f>IF($C$2=15.5,'S3'!A194,IF($C$2=16.5,'S3'!B194,IF($C$2=17.5,'S3'!C194,IF($C$2=18.5,'S3'!D194,IF($C$2=19.5,'S3'!E194,IF($C$2=20.5,'S3'!F194,IF($C$2=21.5,'S3'!G194,IF($C$2=22.5,'S3'!H194,IF($C$2=23.5,'S3'!I194,IF($C$2=24.5,'S3'!J194,IF($C$2=25.5,'S3'!K194,IF($C$2=26.5,'S3'!L194,IF($C$2=27.5,'S3'!M194,IF($C$2=28.5,'S3'!N194,IF($C$2=29.5,'S3'!O194,IF($C$2=30.5,'S3'!P194,IF($C$2=31.5,'S3'!Q194,IF($C$2=32.5,'S3'!R194,IF($C$2=33.5,'S3'!S194,IF($C$2=34.5,'S3'!T194,IF($C$2=35.5,'S3'!U194)))))))))))))))))))))</f>
        <v>496.11</v>
      </c>
      <c r="D194" s="641">
        <f t="shared" si="18"/>
        <v>694.55</v>
      </c>
      <c r="E194" s="641">
        <f>IF($E$2=15.5,'S3'!AF194,IF($E$2=16.5,'S3'!AG194,IF($E$2=17.5,'S3'!AH194,IF($E$2=18.5,'S3'!AI194,IF($E$2=19.5,'S3'!AJ194,IF($E$2=20.5,'S3'!AK194,IF($E$2=21.5,'S3'!AL194,IF($E$2=22.5,'S3'!AM194,IF($E$2=23.5,'S3'!AN194,IF($E$2=24.5,'S3'!AO194,IF($E$2=25.5,'S3'!AP194,IF($E$2=26.5,'S3'!AQ194,IF($E$2=27.5,'S3'!AR194,IF($E$2=28.5,'S3'!AS194,IF($E$2=29.5,'S3'!AT194,IF($E$2=30.5,'S3'!AU194,IF($E$2=31.5,'S3'!AV194,IF($E$2=32.5,'S3'!AW194,IF($E$2=33.5,'S3'!AX194,IF($E$2=34.5,'S3'!AY194,IF($E$2=35.5,'S3'!AZ194)))))))))))))))))))))</f>
        <v>310.83</v>
      </c>
      <c r="F194" s="641">
        <f t="shared" si="17"/>
        <v>435.16</v>
      </c>
    </row>
    <row r="195" spans="2:6" ht="18.75" thickBot="1" x14ac:dyDescent="0.35">
      <c r="B195" s="639">
        <v>191</v>
      </c>
      <c r="C195" s="640">
        <f>IF($C$2=15.5,'S3'!A195,IF($C$2=16.5,'S3'!B195,IF($C$2=17.5,'S3'!C195,IF($C$2=18.5,'S3'!D195,IF($C$2=19.5,'S3'!E195,IF($C$2=20.5,'S3'!F195,IF($C$2=21.5,'S3'!G195,IF($C$2=22.5,'S3'!H195,IF($C$2=23.5,'S3'!I195,IF($C$2=24.5,'S3'!J195,IF($C$2=25.5,'S3'!K195,IF($C$2=26.5,'S3'!L195,IF($C$2=27.5,'S3'!M195,IF($C$2=28.5,'S3'!N195,IF($C$2=29.5,'S3'!O195,IF($C$2=30.5,'S3'!P195,IF($C$2=31.5,'S3'!Q195,IF($C$2=32.5,'S3'!R195,IF($C$2=33.5,'S3'!S195,IF($C$2=34.5,'S3'!T195,IF($C$2=35.5,'S3'!U195)))))))))))))))))))))</f>
        <v>498.88</v>
      </c>
      <c r="D195" s="641">
        <f t="shared" si="18"/>
        <v>698.43</v>
      </c>
      <c r="E195" s="641">
        <f>IF($E$2=15.5,'S3'!AF195,IF($E$2=16.5,'S3'!AG195,IF($E$2=17.5,'S3'!AH195,IF($E$2=18.5,'S3'!AI195,IF($E$2=19.5,'S3'!AJ195,IF($E$2=20.5,'S3'!AK195,IF($E$2=21.5,'S3'!AL195,IF($E$2=22.5,'S3'!AM195,IF($E$2=23.5,'S3'!AN195,IF($E$2=24.5,'S3'!AO195,IF($E$2=25.5,'S3'!AP195,IF($E$2=26.5,'S3'!AQ195,IF($E$2=27.5,'S3'!AR195,IF($E$2=28.5,'S3'!AS195,IF($E$2=29.5,'S3'!AT195,IF($E$2=30.5,'S3'!AU195,IF($E$2=31.5,'S3'!AV195,IF($E$2=32.5,'S3'!AW195,IF($E$2=33.5,'S3'!AX195,IF($E$2=34.5,'S3'!AY195,IF($E$2=35.5,'S3'!AZ195)))))))))))))))))))))</f>
        <v>312.51</v>
      </c>
      <c r="F195" s="641">
        <f t="shared" si="17"/>
        <v>437.51</v>
      </c>
    </row>
    <row r="196" spans="2:6" ht="18.75" thickBot="1" x14ac:dyDescent="0.35">
      <c r="B196" s="639">
        <v>192</v>
      </c>
      <c r="C196" s="640">
        <f>IF($C$2=15.5,'S3'!A196,IF($C$2=16.5,'S3'!B196,IF($C$2=17.5,'S3'!C196,IF($C$2=18.5,'S3'!D196,IF($C$2=19.5,'S3'!E196,IF($C$2=20.5,'S3'!F196,IF($C$2=21.5,'S3'!G196,IF($C$2=22.5,'S3'!H196,IF($C$2=23.5,'S3'!I196,IF($C$2=24.5,'S3'!J196,IF($C$2=25.5,'S3'!K196,IF($C$2=26.5,'S3'!L196,IF($C$2=27.5,'S3'!M196,IF($C$2=28.5,'S3'!N196,IF($C$2=29.5,'S3'!O196,IF($C$2=30.5,'S3'!P196,IF($C$2=31.5,'S3'!Q196,IF($C$2=32.5,'S3'!R196,IF($C$2=33.5,'S3'!S196,IF($C$2=34.5,'S3'!T196,IF($C$2=35.5,'S3'!U196)))))))))))))))))))))</f>
        <v>501.04</v>
      </c>
      <c r="D196" s="641">
        <f t="shared" si="18"/>
        <v>701.46</v>
      </c>
      <c r="E196" s="641">
        <f>IF($E$2=15.5,'S3'!AF196,IF($E$2=16.5,'S3'!AG196,IF($E$2=17.5,'S3'!AH196,IF($E$2=18.5,'S3'!AI196,IF($E$2=19.5,'S3'!AJ196,IF($E$2=20.5,'S3'!AK196,IF($E$2=21.5,'S3'!AL196,IF($E$2=22.5,'S3'!AM196,IF($E$2=23.5,'S3'!AN196,IF($E$2=24.5,'S3'!AO196,IF($E$2=25.5,'S3'!AP196,IF($E$2=26.5,'S3'!AQ196,IF($E$2=27.5,'S3'!AR196,IF($E$2=28.5,'S3'!AS196,IF($E$2=29.5,'S3'!AT196,IF($E$2=30.5,'S3'!AU196,IF($E$2=31.5,'S3'!AV196,IF($E$2=32.5,'S3'!AW196,IF($E$2=33.5,'S3'!AX196,IF($E$2=34.5,'S3'!AY196,IF($E$2=35.5,'S3'!AZ196)))))))))))))))))))))</f>
        <v>314.02999999999997</v>
      </c>
      <c r="F196" s="641">
        <f t="shared" si="17"/>
        <v>439.64</v>
      </c>
    </row>
    <row r="197" spans="2:6" ht="18.75" thickBot="1" x14ac:dyDescent="0.35">
      <c r="B197" s="639">
        <v>193</v>
      </c>
      <c r="C197" s="640">
        <f>IF($C$2=15.5,'S3'!A197,IF($C$2=16.5,'S3'!B197,IF($C$2=17.5,'S3'!C197,IF($C$2=18.5,'S3'!D197,IF($C$2=19.5,'S3'!E197,IF($C$2=20.5,'S3'!F197,IF($C$2=21.5,'S3'!G197,IF($C$2=22.5,'S3'!H197,IF($C$2=23.5,'S3'!I197,IF($C$2=24.5,'S3'!J197,IF($C$2=25.5,'S3'!K197,IF($C$2=26.5,'S3'!L197,IF($C$2=27.5,'S3'!M197,IF($C$2=28.5,'S3'!N197,IF($C$2=29.5,'S3'!O197,IF($C$2=30.5,'S3'!P197,IF($C$2=31.5,'S3'!Q197,IF($C$2=32.5,'S3'!R197,IF($C$2=33.5,'S3'!S197,IF($C$2=34.5,'S3'!T197,IF($C$2=35.5,'S3'!U197)))))))))))))))))))))</f>
        <v>503.82</v>
      </c>
      <c r="D197" s="641">
        <f t="shared" si="18"/>
        <v>705.35</v>
      </c>
      <c r="E197" s="641">
        <f>IF($E$2=15.5,'S3'!AF197,IF($E$2=16.5,'S3'!AG197,IF($E$2=17.5,'S3'!AH197,IF($E$2=18.5,'S3'!AI197,IF($E$2=19.5,'S3'!AJ197,IF($E$2=20.5,'S3'!AK197,IF($E$2=21.5,'S3'!AL197,IF($E$2=22.5,'S3'!AM197,IF($E$2=23.5,'S3'!AN197,IF($E$2=24.5,'S3'!AO197,IF($E$2=25.5,'S3'!AP197,IF($E$2=26.5,'S3'!AQ197,IF($E$2=27.5,'S3'!AR197,IF($E$2=28.5,'S3'!AS197,IF($E$2=29.5,'S3'!AT197,IF($E$2=30.5,'S3'!AU197,IF($E$2=31.5,'S3'!AV197,IF($E$2=32.5,'S3'!AW197,IF($E$2=33.5,'S3'!AX197,IF($E$2=34.5,'S3'!AY197,IF($E$2=35.5,'S3'!AZ197)))))))))))))))))))))</f>
        <v>315.70999999999998</v>
      </c>
      <c r="F197" s="641">
        <f t="shared" si="17"/>
        <v>441.99</v>
      </c>
    </row>
    <row r="198" spans="2:6" ht="18.75" thickBot="1" x14ac:dyDescent="0.35">
      <c r="B198" s="639">
        <v>194</v>
      </c>
      <c r="C198" s="640">
        <f>IF($C$2=15.5,'S3'!A198,IF($C$2=16.5,'S3'!B198,IF($C$2=17.5,'S3'!C198,IF($C$2=18.5,'S3'!D198,IF($C$2=19.5,'S3'!E198,IF($C$2=20.5,'S3'!F198,IF($C$2=21.5,'S3'!G198,IF($C$2=22.5,'S3'!H198,IF($C$2=23.5,'S3'!I198,IF($C$2=24.5,'S3'!J198,IF($C$2=25.5,'S3'!K198,IF($C$2=26.5,'S3'!L198,IF($C$2=27.5,'S3'!M198,IF($C$2=28.5,'S3'!N198,IF($C$2=29.5,'S3'!O198,IF($C$2=30.5,'S3'!P198,IF($C$2=31.5,'S3'!Q198,IF($C$2=32.5,'S3'!R198,IF($C$2=33.5,'S3'!S198,IF($C$2=34.5,'S3'!T198,IF($C$2=35.5,'S3'!U198)))))))))))))))))))))</f>
        <v>506.6</v>
      </c>
      <c r="D198" s="641">
        <f t="shared" si="18"/>
        <v>709.24</v>
      </c>
      <c r="E198" s="641">
        <f>IF($E$2=15.5,'S3'!AF198,IF($E$2=16.5,'S3'!AG198,IF($E$2=17.5,'S3'!AH198,IF($E$2=18.5,'S3'!AI198,IF($E$2=19.5,'S3'!AJ198,IF($E$2=20.5,'S3'!AK198,IF($E$2=21.5,'S3'!AL198,IF($E$2=22.5,'S3'!AM198,IF($E$2=23.5,'S3'!AN198,IF($E$2=24.5,'S3'!AO198,IF($E$2=25.5,'S3'!AP198,IF($E$2=26.5,'S3'!AQ198,IF($E$2=27.5,'S3'!AR198,IF($E$2=28.5,'S3'!AS198,IF($E$2=29.5,'S3'!AT198,IF($E$2=30.5,'S3'!AU198,IF($E$2=31.5,'S3'!AV198,IF($E$2=32.5,'S3'!AW198,IF($E$2=33.5,'S3'!AX198,IF($E$2=34.5,'S3'!AY198,IF($E$2=35.5,'S3'!AZ198)))))))))))))))))))))</f>
        <v>317.39999999999998</v>
      </c>
      <c r="F198" s="641">
        <f t="shared" ref="F198:F204" si="19">ROUND(E198*1.4,2)</f>
        <v>444.36</v>
      </c>
    </row>
    <row r="199" spans="2:6" ht="18.75" thickBot="1" x14ac:dyDescent="0.35">
      <c r="B199" s="639">
        <v>195</v>
      </c>
      <c r="C199" s="640">
        <f>IF($C$2=15.5,'S3'!A199,IF($C$2=16.5,'S3'!B199,IF($C$2=17.5,'S3'!C199,IF($C$2=18.5,'S3'!D199,IF($C$2=19.5,'S3'!E199,IF($C$2=20.5,'S3'!F199,IF($C$2=21.5,'S3'!G199,IF($C$2=22.5,'S3'!H199,IF($C$2=23.5,'S3'!I199,IF($C$2=24.5,'S3'!J199,IF($C$2=25.5,'S3'!K199,IF($C$2=26.5,'S3'!L199,IF($C$2=27.5,'S3'!M199,IF($C$2=28.5,'S3'!N199,IF($C$2=29.5,'S3'!O199,IF($C$2=30.5,'S3'!P199,IF($C$2=31.5,'S3'!Q199,IF($C$2=32.5,'S3'!R199,IF($C$2=33.5,'S3'!S199,IF($C$2=34.5,'S3'!T199,IF($C$2=35.5,'S3'!U199)))))))))))))))))))))</f>
        <v>509.4</v>
      </c>
      <c r="D199" s="641">
        <f t="shared" ref="D199:D204" si="20">ROUND(C199*1.4,2)</f>
        <v>713.16</v>
      </c>
      <c r="E199" s="641">
        <f>IF($E$2=15.5,'S3'!AF199,IF($E$2=16.5,'S3'!AG199,IF($E$2=17.5,'S3'!AH199,IF($E$2=18.5,'S3'!AI199,IF($E$2=19.5,'S3'!AJ199,IF($E$2=20.5,'S3'!AK199,IF($E$2=21.5,'S3'!AL199,IF($E$2=22.5,'S3'!AM199,IF($E$2=23.5,'S3'!AN199,IF($E$2=24.5,'S3'!AO199,IF($E$2=25.5,'S3'!AP199,IF($E$2=26.5,'S3'!AQ199,IF($E$2=27.5,'S3'!AR199,IF($E$2=28.5,'S3'!AS199,IF($E$2=29.5,'S3'!AT199,IF($E$2=30.5,'S3'!AU199,IF($E$2=31.5,'S3'!AV199,IF($E$2=32.5,'S3'!AW199,IF($E$2=33.5,'S3'!AX199,IF($E$2=34.5,'S3'!AY199,IF($E$2=35.5,'S3'!AZ199)))))))))))))))))))))</f>
        <v>318.92</v>
      </c>
      <c r="F199" s="641">
        <f t="shared" si="19"/>
        <v>446.49</v>
      </c>
    </row>
    <row r="200" spans="2:6" ht="18.75" thickBot="1" x14ac:dyDescent="0.35">
      <c r="B200" s="639">
        <v>196</v>
      </c>
      <c r="C200" s="640">
        <f>IF($C$2=15.5,'S3'!A200,IF($C$2=16.5,'S3'!B200,IF($C$2=17.5,'S3'!C200,IF($C$2=18.5,'S3'!D200,IF($C$2=19.5,'S3'!E200,IF($C$2=20.5,'S3'!F200,IF($C$2=21.5,'S3'!G200,IF($C$2=22.5,'S3'!H200,IF($C$2=23.5,'S3'!I200,IF($C$2=24.5,'S3'!J200,IF($C$2=25.5,'S3'!K200,IF($C$2=26.5,'S3'!L200,IF($C$2=27.5,'S3'!M200,IF($C$2=28.5,'S3'!N200,IF($C$2=29.5,'S3'!O200,IF($C$2=30.5,'S3'!P200,IF($C$2=31.5,'S3'!Q200,IF($C$2=32.5,'S3'!R200,IF($C$2=33.5,'S3'!S200,IF($C$2=34.5,'S3'!T200,IF($C$2=35.5,'S3'!U200)))))))))))))))))))))</f>
        <v>511.56</v>
      </c>
      <c r="D200" s="641">
        <f t="shared" si="20"/>
        <v>716.18</v>
      </c>
      <c r="E200" s="641">
        <f>IF($E$2=15.5,'S3'!AF200,IF($E$2=16.5,'S3'!AG200,IF($E$2=17.5,'S3'!AH200,IF($E$2=18.5,'S3'!AI200,IF($E$2=19.5,'S3'!AJ200,IF($E$2=20.5,'S3'!AK200,IF($E$2=21.5,'S3'!AL200,IF($E$2=22.5,'S3'!AM200,IF($E$2=23.5,'S3'!AN200,IF($E$2=24.5,'S3'!AO200,IF($E$2=25.5,'S3'!AP200,IF($E$2=26.5,'S3'!AQ200,IF($E$2=27.5,'S3'!AR200,IF($E$2=28.5,'S3'!AS200,IF($E$2=29.5,'S3'!AT200,IF($E$2=30.5,'S3'!AU200,IF($E$2=31.5,'S3'!AV200,IF($E$2=32.5,'S3'!AW200,IF($E$2=33.5,'S3'!AX200,IF($E$2=34.5,'S3'!AY200,IF($E$2=35.5,'S3'!AZ200)))))))))))))))))))))</f>
        <v>320.60000000000002</v>
      </c>
      <c r="F200" s="641">
        <f t="shared" si="19"/>
        <v>448.84</v>
      </c>
    </row>
    <row r="201" spans="2:6" ht="18.75" thickBot="1" x14ac:dyDescent="0.35">
      <c r="B201" s="639">
        <v>197</v>
      </c>
      <c r="C201" s="640">
        <f>IF($C$2=15.5,'S3'!A201,IF($C$2=16.5,'S3'!B201,IF($C$2=17.5,'S3'!C201,IF($C$2=18.5,'S3'!D201,IF($C$2=19.5,'S3'!E201,IF($C$2=20.5,'S3'!F201,IF($C$2=21.5,'S3'!G201,IF($C$2=22.5,'S3'!H201,IF($C$2=23.5,'S3'!I201,IF($C$2=24.5,'S3'!J201,IF($C$2=25.5,'S3'!K201,IF($C$2=26.5,'S3'!L201,IF($C$2=27.5,'S3'!M201,IF($C$2=28.5,'S3'!N201,IF($C$2=29.5,'S3'!O201,IF($C$2=30.5,'S3'!P201,IF($C$2=31.5,'S3'!Q201,IF($C$2=32.5,'S3'!R201,IF($C$2=33.5,'S3'!S201,IF($C$2=34.5,'S3'!T201,IF($C$2=35.5,'S3'!U201)))))))))))))))))))))</f>
        <v>514.36</v>
      </c>
      <c r="D201" s="641">
        <f t="shared" si="20"/>
        <v>720.1</v>
      </c>
      <c r="E201" s="641">
        <f>IF($E$2=15.5,'S3'!AF201,IF($E$2=16.5,'S3'!AG201,IF($E$2=17.5,'S3'!AH201,IF($E$2=18.5,'S3'!AI201,IF($E$2=19.5,'S3'!AJ201,IF($E$2=20.5,'S3'!AK201,IF($E$2=21.5,'S3'!AL201,IF($E$2=22.5,'S3'!AM201,IF($E$2=23.5,'S3'!AN201,IF($E$2=24.5,'S3'!AO201,IF($E$2=25.5,'S3'!AP201,IF($E$2=26.5,'S3'!AQ201,IF($E$2=27.5,'S3'!AR201,IF($E$2=28.5,'S3'!AS201,IF($E$2=29.5,'S3'!AT201,IF($E$2=30.5,'S3'!AU201,IF($E$2=31.5,'S3'!AV201,IF($E$2=32.5,'S3'!AW201,IF($E$2=33.5,'S3'!AX201,IF($E$2=34.5,'S3'!AY201,IF($E$2=35.5,'S3'!AZ201)))))))))))))))))))))</f>
        <v>322.29000000000002</v>
      </c>
      <c r="F201" s="641">
        <f t="shared" si="19"/>
        <v>451.21</v>
      </c>
    </row>
    <row r="202" spans="2:6" ht="18.75" thickBot="1" x14ac:dyDescent="0.35">
      <c r="B202" s="639">
        <v>198</v>
      </c>
      <c r="C202" s="640">
        <f>IF($C$2=15.5,'S3'!A202,IF($C$2=16.5,'S3'!B202,IF($C$2=17.5,'S3'!C202,IF($C$2=18.5,'S3'!D202,IF($C$2=19.5,'S3'!E202,IF($C$2=20.5,'S3'!F202,IF($C$2=21.5,'S3'!G202,IF($C$2=22.5,'S3'!H202,IF($C$2=23.5,'S3'!I202,IF($C$2=24.5,'S3'!J202,IF($C$2=25.5,'S3'!K202,IF($C$2=26.5,'S3'!L202,IF($C$2=27.5,'S3'!M202,IF($C$2=28.5,'S3'!N202,IF($C$2=29.5,'S3'!O202,IF($C$2=30.5,'S3'!P202,IF($C$2=31.5,'S3'!Q202,IF($C$2=32.5,'S3'!R202,IF($C$2=33.5,'S3'!S202,IF($C$2=34.5,'S3'!T202,IF($C$2=35.5,'S3'!U202)))))))))))))))))))))</f>
        <v>517.16999999999996</v>
      </c>
      <c r="D202" s="641">
        <f t="shared" si="20"/>
        <v>724.04</v>
      </c>
      <c r="E202" s="641">
        <f>IF($E$2=15.5,'S3'!AF202,IF($E$2=16.5,'S3'!AG202,IF($E$2=17.5,'S3'!AH202,IF($E$2=18.5,'S3'!AI202,IF($E$2=19.5,'S3'!AJ202,IF($E$2=20.5,'S3'!AK202,IF($E$2=21.5,'S3'!AL202,IF($E$2=22.5,'S3'!AM202,IF($E$2=23.5,'S3'!AN202,IF($E$2=24.5,'S3'!AO202,IF($E$2=25.5,'S3'!AP202,IF($E$2=26.5,'S3'!AQ202,IF($E$2=27.5,'S3'!AR202,IF($E$2=28.5,'S3'!AS202,IF($E$2=29.5,'S3'!AT202,IF($E$2=30.5,'S3'!AU202,IF($E$2=31.5,'S3'!AV202,IF($E$2=32.5,'S3'!AW202,IF($E$2=33.5,'S3'!AX202,IF($E$2=34.5,'S3'!AY202,IF($E$2=35.5,'S3'!AZ202)))))))))))))))))))))</f>
        <v>323.81</v>
      </c>
      <c r="F202" s="641">
        <f t="shared" si="19"/>
        <v>453.33</v>
      </c>
    </row>
    <row r="203" spans="2:6" ht="18.75" thickBot="1" x14ac:dyDescent="0.35">
      <c r="B203" s="639">
        <v>199</v>
      </c>
      <c r="C203" s="640">
        <f>IF($C$2=15.5,'S3'!A203,IF($C$2=16.5,'S3'!B203,IF($C$2=17.5,'S3'!C203,IF($C$2=18.5,'S3'!D203,IF($C$2=19.5,'S3'!E203,IF($C$2=20.5,'S3'!F203,IF($C$2=21.5,'S3'!G203,IF($C$2=22.5,'S3'!H203,IF($C$2=23.5,'S3'!I203,IF($C$2=24.5,'S3'!J203,IF($C$2=25.5,'S3'!K203,IF($C$2=26.5,'S3'!L203,IF($C$2=27.5,'S3'!M203,IF($C$2=28.5,'S3'!N203,IF($C$2=29.5,'S3'!O203,IF($C$2=30.5,'S3'!P203,IF($C$2=31.5,'S3'!Q203,IF($C$2=32.5,'S3'!R203,IF($C$2=33.5,'S3'!S203,IF($C$2=34.5,'S3'!T203,IF($C$2=35.5,'S3'!U203)))))))))))))))))))))</f>
        <v>519.34</v>
      </c>
      <c r="D203" s="641">
        <f t="shared" si="20"/>
        <v>727.08</v>
      </c>
      <c r="E203" s="641">
        <f>IF($E$2=15.5,'S3'!AF203,IF($E$2=16.5,'S3'!AG203,IF($E$2=17.5,'S3'!AH203,IF($E$2=18.5,'S3'!AI203,IF($E$2=19.5,'S3'!AJ203,IF($E$2=20.5,'S3'!AK203,IF($E$2=21.5,'S3'!AL203,IF($E$2=22.5,'S3'!AM203,IF($E$2=23.5,'S3'!AN203,IF($E$2=24.5,'S3'!AO203,IF($E$2=25.5,'S3'!AP203,IF($E$2=26.5,'S3'!AQ203,IF($E$2=27.5,'S3'!AR203,IF($E$2=28.5,'S3'!AS203,IF($E$2=29.5,'S3'!AT203,IF($E$2=30.5,'S3'!AU203,IF($E$2=31.5,'S3'!AV203,IF($E$2=32.5,'S3'!AW203,IF($E$2=33.5,'S3'!AX203,IF($E$2=34.5,'S3'!AY203,IF($E$2=35.5,'S3'!AZ203)))))))))))))))))))))</f>
        <v>325.5</v>
      </c>
      <c r="F203" s="641">
        <f t="shared" si="19"/>
        <v>455.7</v>
      </c>
    </row>
    <row r="204" spans="2:6" ht="18.75" thickBot="1" x14ac:dyDescent="0.35">
      <c r="B204" s="639">
        <v>200</v>
      </c>
      <c r="C204" s="640">
        <f>IF($C$2=15.5,'S3'!A204,IF($C$2=16.5,'S3'!B204,IF($C$2=17.5,'S3'!C204,IF($C$2=18.5,'S3'!D204,IF($C$2=19.5,'S3'!E204,IF($C$2=20.5,'S3'!F204,IF($C$2=21.5,'S3'!G204,IF($C$2=22.5,'S3'!H204,IF($C$2=23.5,'S3'!I204,IF($C$2=24.5,'S3'!J204,IF($C$2=25.5,'S3'!K204,IF($C$2=26.5,'S3'!L204,IF($C$2=27.5,'S3'!M204,IF($C$2=28.5,'S3'!N204,IF($C$2=29.5,'S3'!O204,IF($C$2=30.5,'S3'!P204,IF($C$2=31.5,'S3'!Q204,IF($C$2=32.5,'S3'!R204,IF($C$2=33.5,'S3'!S204,IF($C$2=34.5,'S3'!T204,IF($C$2=35.5,'S3'!U204)))))))))))))))))))))</f>
        <v>522.16</v>
      </c>
      <c r="D204" s="641">
        <f t="shared" si="20"/>
        <v>731.02</v>
      </c>
      <c r="E204" s="641">
        <f>IF($E$2=15.5,'S3'!AF204,IF($E$2=16.5,'S3'!AG204,IF($E$2=17.5,'S3'!AH204,IF($E$2=18.5,'S3'!AI204,IF($E$2=19.5,'S3'!AJ204,IF($E$2=20.5,'S3'!AK204,IF($E$2=21.5,'S3'!AL204,IF($E$2=22.5,'S3'!AM204,IF($E$2=23.5,'S3'!AN204,IF($E$2=24.5,'S3'!AO204,IF($E$2=25.5,'S3'!AP204,IF($E$2=26.5,'S3'!AQ204,IF($E$2=27.5,'S3'!AR204,IF($E$2=28.5,'S3'!AS204,IF($E$2=29.5,'S3'!AT204,IF($E$2=30.5,'S3'!AU204,IF($E$2=31.5,'S3'!AV204,IF($E$2=32.5,'S3'!AW204,IF($E$2=33.5,'S3'!AX204,IF($E$2=34.5,'S3'!AY204,IF($E$2=35.5,'S3'!AZ204)))))))))))))))))))))</f>
        <v>327.19</v>
      </c>
      <c r="F204" s="641">
        <f t="shared" si="19"/>
        <v>458.07</v>
      </c>
    </row>
    <row r="205" spans="2:6" ht="18.75" thickBot="1" x14ac:dyDescent="0.35">
      <c r="B205" s="712"/>
      <c r="C205" s="712">
        <f>IF($C$2=15.5,'S3'!A205,IF($C$2=16.5,'S3'!B205,IF($C$2=17.5,'S3'!C205,IF($C$2=18.5,'S3'!D205,IF($C$2=19.5,'S3'!E205,IF($C$2=20.5,'S3'!F205,IF($C$2=21.5,'S3'!G205,IF($C$2=22.5,'S3'!H205,IF($C$2=23.5,'S3'!I205,IF($C$2=24.5,'S3'!J205,IF($C$2=25.5,'S3'!K205,IF($C$2=26.5,'S3'!L205,IF($C$2=27.5,'S3'!M205,IF($C$2=28.5,'S3'!N205,IF($C$2=29.5,'S3'!O205,IF($C$2=30.5,'S3'!P205,IF($C$2=31.5,'S3'!Q205,IF($C$2=32.5,'S3'!R205,IF($C$2=33.5,'S3'!S205)))))))))))))))))))</f>
        <v>2.61</v>
      </c>
      <c r="D205" s="712">
        <f>ROUNDDOWN(C205*1.4,2)</f>
        <v>3.65</v>
      </c>
      <c r="E205" s="712">
        <f>IF($E$2=15.5,'S3'!AF205,IF($E$2=16.5,'S3'!AG205,IF($E$2=17.5,'S3'!AH205,IF($E$2=18.5,'S3'!AI205,IF($E$2=19.5,'S3'!AJ205,IF($E$2=20.5,'S3'!AK205,IF($E$2=21.5,'S3'!AL205,IF($E$2=22.5,'S3'!AM205,IF($E$2=23.5,'S3'!AN205,IF($E$2=24.5,'S3'!AO205,IF($E$2=25.5,'S3'!AP205,IF($E$2=26.5,'S3'!AQ205,IF($E$2=27.5,'S3'!AR205,IF($E$2=28.5,'S3'!AS205,IF($E$2=29.5,'S3'!AT205,IF($E$2=30.5,'S3'!AU205,IF($E$2=31.5,'S3'!AV205,IF($E$2=32.5,'S3'!AW205,IF($E$2=33.5,'S3'!AX205,IF($E$2=34.5,'S3'!AX205,IF($E$2=35.5,'S3'!AX205)))))))))))))))))))))</f>
        <v>1.64</v>
      </c>
      <c r="F205" s="713">
        <f>ROUNDDOWN(E205*1.4,2)</f>
        <v>2.29</v>
      </c>
    </row>
    <row r="206" spans="2:6" x14ac:dyDescent="0.3">
      <c r="C206" s="714"/>
    </row>
    <row r="207" spans="2:6" x14ac:dyDescent="0.3">
      <c r="C207" s="714"/>
    </row>
    <row r="208" spans="2:6" x14ac:dyDescent="0.3">
      <c r="C208" s="714"/>
    </row>
  </sheetData>
  <mergeCells count="31">
    <mergeCell ref="J2:K2"/>
    <mergeCell ref="L2:M2"/>
    <mergeCell ref="N2:O2"/>
    <mergeCell ref="P2:Q2"/>
    <mergeCell ref="R2:S2"/>
    <mergeCell ref="V2:W2"/>
    <mergeCell ref="T2:U2"/>
    <mergeCell ref="BW31:BX31"/>
    <mergeCell ref="X2:Y2"/>
    <mergeCell ref="Z2:AA2"/>
    <mergeCell ref="AB2:AC2"/>
    <mergeCell ref="AD2:AE2"/>
    <mergeCell ref="AJ2:AK2"/>
    <mergeCell ref="AF2:AG2"/>
    <mergeCell ref="AH2:AI2"/>
    <mergeCell ref="AN2:AO2"/>
    <mergeCell ref="BF2:BG2"/>
    <mergeCell ref="AV2:AW2"/>
    <mergeCell ref="AL2:AM2"/>
    <mergeCell ref="BD2:BE2"/>
    <mergeCell ref="AX2:AY2"/>
    <mergeCell ref="AP2:AQ2"/>
    <mergeCell ref="AR2:AS2"/>
    <mergeCell ref="BN2:BO2"/>
    <mergeCell ref="BP2:BQ2"/>
    <mergeCell ref="BH2:BI2"/>
    <mergeCell ref="AT2:AU2"/>
    <mergeCell ref="AZ2:BA2"/>
    <mergeCell ref="BB2:BC2"/>
    <mergeCell ref="BJ2:BK2"/>
    <mergeCell ref="BL2:BM2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E20"/>
  <sheetViews>
    <sheetView view="pageBreakPreview" zoomScale="60" zoomScaleNormal="100" workbookViewId="0">
      <selection activeCell="K18" sqref="K18"/>
    </sheetView>
  </sheetViews>
  <sheetFormatPr defaultRowHeight="18.75" x14ac:dyDescent="0.3"/>
  <cols>
    <col min="1" max="1" width="6" style="171" customWidth="1"/>
    <col min="2" max="2" width="43.7109375" style="171" customWidth="1"/>
    <col min="3" max="3" width="11.85546875" style="171" customWidth="1"/>
    <col min="4" max="4" width="18.28515625" style="171" customWidth="1"/>
    <col min="5" max="5" width="24.7109375" style="171" customWidth="1"/>
    <col min="6" max="6" width="11.140625" style="171" customWidth="1"/>
    <col min="7" max="7" width="12.42578125" style="171" customWidth="1"/>
    <col min="8" max="8" width="13.28515625" style="171" customWidth="1"/>
    <col min="9" max="9" width="16.85546875" style="171" customWidth="1"/>
    <col min="10" max="16384" width="9.140625" style="171"/>
  </cols>
  <sheetData>
    <row r="1" spans="1:5" ht="23.25" x14ac:dyDescent="0.35">
      <c r="A1" s="816" t="s">
        <v>377</v>
      </c>
      <c r="B1" s="816"/>
      <c r="C1" s="816"/>
      <c r="D1" s="816"/>
      <c r="E1" s="816"/>
    </row>
    <row r="2" spans="1:5" x14ac:dyDescent="0.3">
      <c r="A2" s="491" t="s">
        <v>1345</v>
      </c>
    </row>
    <row r="3" spans="1:5" x14ac:dyDescent="0.3">
      <c r="A3" s="491" t="s">
        <v>379</v>
      </c>
      <c r="C3" s="171" t="s">
        <v>332</v>
      </c>
    </row>
    <row r="4" spans="1:5" x14ac:dyDescent="0.3">
      <c r="A4" s="491" t="s">
        <v>380</v>
      </c>
      <c r="C4" s="171" t="s">
        <v>381</v>
      </c>
      <c r="E4" s="491"/>
    </row>
    <row r="5" spans="1:5" x14ac:dyDescent="0.3">
      <c r="A5" s="491" t="s">
        <v>382</v>
      </c>
      <c r="C5" s="171" t="s">
        <v>383</v>
      </c>
    </row>
    <row r="6" spans="1:5" x14ac:dyDescent="0.3">
      <c r="A6" s="491" t="str">
        <f>+ค่ารื้อย้ายยกประตูน้ำ!A6</f>
        <v>กำหนดราคากลางเมื่อ</v>
      </c>
      <c r="C6" s="772" t="str">
        <f>+ย้ายเสาไฟกิ่ง!C6</f>
        <v>วันที่   24  เดือน  กันยายน      พ.ศ. 2567</v>
      </c>
    </row>
    <row r="7" spans="1:5" x14ac:dyDescent="0.3">
      <c r="A7" s="499" t="s">
        <v>386</v>
      </c>
      <c r="B7" s="499" t="s">
        <v>1</v>
      </c>
      <c r="C7" s="499"/>
      <c r="D7" s="499"/>
      <c r="E7" s="511" t="s">
        <v>20</v>
      </c>
    </row>
    <row r="8" spans="1:5" x14ac:dyDescent="0.3">
      <c r="A8" s="501" t="s">
        <v>0</v>
      </c>
      <c r="B8" s="515"/>
      <c r="C8" s="515"/>
      <c r="D8" s="515"/>
      <c r="E8" s="362"/>
    </row>
    <row r="9" spans="1:5" x14ac:dyDescent="0.3">
      <c r="A9" s="807"/>
      <c r="B9" s="808"/>
      <c r="C9" s="515"/>
      <c r="D9" s="515"/>
      <c r="E9" s="530"/>
    </row>
    <row r="10" spans="1:5" x14ac:dyDescent="0.3">
      <c r="A10" s="502"/>
      <c r="B10" s="809" t="s">
        <v>685</v>
      </c>
      <c r="C10" s="810">
        <v>1</v>
      </c>
      <c r="D10" s="502" t="s">
        <v>34</v>
      </c>
      <c r="E10" s="811"/>
    </row>
    <row r="11" spans="1:5" x14ac:dyDescent="0.3">
      <c r="A11" s="502"/>
      <c r="B11" s="809" t="s">
        <v>680</v>
      </c>
      <c r="C11" s="812">
        <f>C10*0.126</f>
        <v>0.126</v>
      </c>
      <c r="D11" s="502" t="s">
        <v>683</v>
      </c>
      <c r="E11" s="811" t="s">
        <v>688</v>
      </c>
    </row>
    <row r="12" spans="1:5" x14ac:dyDescent="0.3">
      <c r="A12" s="502"/>
      <c r="B12" s="809" t="s">
        <v>684</v>
      </c>
      <c r="C12" s="812">
        <f>C11*1.7</f>
        <v>0.2142</v>
      </c>
      <c r="D12" s="502" t="s">
        <v>683</v>
      </c>
      <c r="E12" s="811" t="s">
        <v>688</v>
      </c>
    </row>
    <row r="13" spans="1:5" x14ac:dyDescent="0.3">
      <c r="A13" s="502"/>
      <c r="B13" s="809" t="s">
        <v>673</v>
      </c>
      <c r="C13" s="813"/>
      <c r="D13" s="502"/>
      <c r="E13" s="811"/>
    </row>
    <row r="14" spans="1:5" x14ac:dyDescent="0.3">
      <c r="A14" s="502"/>
      <c r="B14" s="809" t="s">
        <v>686</v>
      </c>
      <c r="C14" s="813">
        <f>C10*500</f>
        <v>500</v>
      </c>
      <c r="D14" s="502" t="s">
        <v>4</v>
      </c>
      <c r="E14" s="811"/>
    </row>
    <row r="15" spans="1:5" x14ac:dyDescent="0.3">
      <c r="A15" s="813"/>
      <c r="B15" s="809" t="s">
        <v>676</v>
      </c>
      <c r="C15" s="812">
        <f>C10*41.26</f>
        <v>41.26</v>
      </c>
      <c r="D15" s="502" t="s">
        <v>4</v>
      </c>
      <c r="E15" s="818" t="s">
        <v>681</v>
      </c>
    </row>
    <row r="16" spans="1:5" x14ac:dyDescent="0.3">
      <c r="A16" s="813"/>
      <c r="B16" s="505" t="s">
        <v>677</v>
      </c>
      <c r="C16" s="813">
        <f>19.26*C10</f>
        <v>19.260000000000002</v>
      </c>
      <c r="D16" s="502" t="s">
        <v>4</v>
      </c>
      <c r="E16" s="818" t="s">
        <v>682</v>
      </c>
    </row>
    <row r="17" spans="1:5" x14ac:dyDescent="0.3">
      <c r="A17" s="813"/>
      <c r="B17" s="505" t="s">
        <v>404</v>
      </c>
      <c r="C17" s="814">
        <f>C14+C15+C16</f>
        <v>560.52</v>
      </c>
      <c r="D17" s="502" t="s">
        <v>4</v>
      </c>
      <c r="E17" s="811"/>
    </row>
    <row r="18" spans="1:5" x14ac:dyDescent="0.3">
      <c r="A18" s="813"/>
      <c r="B18" s="505"/>
      <c r="C18" s="814"/>
      <c r="D18" s="502"/>
      <c r="E18" s="811"/>
    </row>
    <row r="19" spans="1:5" x14ac:dyDescent="0.3">
      <c r="A19" s="809"/>
      <c r="B19" s="503" t="s">
        <v>687</v>
      </c>
      <c r="C19" s="814">
        <f>FLOOR(C17,2)</f>
        <v>560</v>
      </c>
      <c r="D19" s="502" t="s">
        <v>4</v>
      </c>
      <c r="E19" s="815" t="s">
        <v>689</v>
      </c>
    </row>
    <row r="20" spans="1:5" x14ac:dyDescent="0.3">
      <c r="C20" s="819"/>
    </row>
  </sheetData>
  <mergeCells count="2">
    <mergeCell ref="A1:E1"/>
    <mergeCell ref="E7:E8"/>
  </mergeCells>
  <pageMargins left="0.7" right="0.7" top="0.75" bottom="0.75" header="0.3" footer="0.3"/>
  <pageSetup scale="94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L1569"/>
  <sheetViews>
    <sheetView topLeftCell="A1534" workbookViewId="0">
      <selection activeCell="J1571" sqref="J1571"/>
    </sheetView>
  </sheetViews>
  <sheetFormatPr defaultRowHeight="18.75" x14ac:dyDescent="0.3"/>
  <cols>
    <col min="1" max="1" width="5.85546875" style="821" customWidth="1"/>
    <col min="2" max="2" width="3.42578125" style="821" customWidth="1"/>
    <col min="3" max="3" width="41" style="821" customWidth="1"/>
    <col min="4" max="4" width="7.28515625" style="821" customWidth="1"/>
    <col min="5" max="5" width="5" style="821" customWidth="1"/>
    <col min="6" max="6" width="8.5703125" style="887" customWidth="1"/>
    <col min="7" max="7" width="8.5703125" style="821" customWidth="1"/>
    <col min="8" max="8" width="11" style="821" customWidth="1"/>
    <col min="9" max="256" width="9.140625" style="821"/>
    <col min="257" max="257" width="5.85546875" style="821" customWidth="1"/>
    <col min="258" max="258" width="3.42578125" style="821" customWidth="1"/>
    <col min="259" max="259" width="41" style="821" customWidth="1"/>
    <col min="260" max="260" width="6.140625" style="821" customWidth="1"/>
    <col min="261" max="261" width="5" style="821" customWidth="1"/>
    <col min="262" max="263" width="8.5703125" style="821" customWidth="1"/>
    <col min="264" max="264" width="11" style="821" customWidth="1"/>
    <col min="265" max="512" width="9.140625" style="821"/>
    <col min="513" max="513" width="5.85546875" style="821" customWidth="1"/>
    <col min="514" max="514" width="3.42578125" style="821" customWidth="1"/>
    <col min="515" max="515" width="41" style="821" customWidth="1"/>
    <col min="516" max="516" width="6.140625" style="821" customWidth="1"/>
    <col min="517" max="517" width="5" style="821" customWidth="1"/>
    <col min="518" max="519" width="8.5703125" style="821" customWidth="1"/>
    <col min="520" max="520" width="11" style="821" customWidth="1"/>
    <col min="521" max="768" width="9.140625" style="821"/>
    <col min="769" max="769" width="5.85546875" style="821" customWidth="1"/>
    <col min="770" max="770" width="3.42578125" style="821" customWidth="1"/>
    <col min="771" max="771" width="41" style="821" customWidth="1"/>
    <col min="772" max="772" width="6.140625" style="821" customWidth="1"/>
    <col min="773" max="773" width="5" style="821" customWidth="1"/>
    <col min="774" max="775" width="8.5703125" style="821" customWidth="1"/>
    <col min="776" max="776" width="11" style="821" customWidth="1"/>
    <col min="777" max="1024" width="9.140625" style="821"/>
    <col min="1025" max="1025" width="5.85546875" style="821" customWidth="1"/>
    <col min="1026" max="1026" width="3.42578125" style="821" customWidth="1"/>
    <col min="1027" max="1027" width="41" style="821" customWidth="1"/>
    <col min="1028" max="1028" width="6.140625" style="821" customWidth="1"/>
    <col min="1029" max="1029" width="5" style="821" customWidth="1"/>
    <col min="1030" max="1031" width="8.5703125" style="821" customWidth="1"/>
    <col min="1032" max="1032" width="11" style="821" customWidth="1"/>
    <col min="1033" max="1280" width="9.140625" style="821"/>
    <col min="1281" max="1281" width="5.85546875" style="821" customWidth="1"/>
    <col min="1282" max="1282" width="3.42578125" style="821" customWidth="1"/>
    <col min="1283" max="1283" width="41" style="821" customWidth="1"/>
    <col min="1284" max="1284" width="6.140625" style="821" customWidth="1"/>
    <col min="1285" max="1285" width="5" style="821" customWidth="1"/>
    <col min="1286" max="1287" width="8.5703125" style="821" customWidth="1"/>
    <col min="1288" max="1288" width="11" style="821" customWidth="1"/>
    <col min="1289" max="1536" width="9.140625" style="821"/>
    <col min="1537" max="1537" width="5.85546875" style="821" customWidth="1"/>
    <col min="1538" max="1538" width="3.42578125" style="821" customWidth="1"/>
    <col min="1539" max="1539" width="41" style="821" customWidth="1"/>
    <col min="1540" max="1540" width="6.140625" style="821" customWidth="1"/>
    <col min="1541" max="1541" width="5" style="821" customWidth="1"/>
    <col min="1542" max="1543" width="8.5703125" style="821" customWidth="1"/>
    <col min="1544" max="1544" width="11" style="821" customWidth="1"/>
    <col min="1545" max="1792" width="9.140625" style="821"/>
    <col min="1793" max="1793" width="5.85546875" style="821" customWidth="1"/>
    <col min="1794" max="1794" width="3.42578125" style="821" customWidth="1"/>
    <col min="1795" max="1795" width="41" style="821" customWidth="1"/>
    <col min="1796" max="1796" width="6.140625" style="821" customWidth="1"/>
    <col min="1797" max="1797" width="5" style="821" customWidth="1"/>
    <col min="1798" max="1799" width="8.5703125" style="821" customWidth="1"/>
    <col min="1800" max="1800" width="11" style="821" customWidth="1"/>
    <col min="1801" max="2048" width="9.140625" style="821"/>
    <col min="2049" max="2049" width="5.85546875" style="821" customWidth="1"/>
    <col min="2050" max="2050" width="3.42578125" style="821" customWidth="1"/>
    <col min="2051" max="2051" width="41" style="821" customWidth="1"/>
    <col min="2052" max="2052" width="6.140625" style="821" customWidth="1"/>
    <col min="2053" max="2053" width="5" style="821" customWidth="1"/>
    <col min="2054" max="2055" width="8.5703125" style="821" customWidth="1"/>
    <col min="2056" max="2056" width="11" style="821" customWidth="1"/>
    <col min="2057" max="2304" width="9.140625" style="821"/>
    <col min="2305" max="2305" width="5.85546875" style="821" customWidth="1"/>
    <col min="2306" max="2306" width="3.42578125" style="821" customWidth="1"/>
    <col min="2307" max="2307" width="41" style="821" customWidth="1"/>
    <col min="2308" max="2308" width="6.140625" style="821" customWidth="1"/>
    <col min="2309" max="2309" width="5" style="821" customWidth="1"/>
    <col min="2310" max="2311" width="8.5703125" style="821" customWidth="1"/>
    <col min="2312" max="2312" width="11" style="821" customWidth="1"/>
    <col min="2313" max="2560" width="9.140625" style="821"/>
    <col min="2561" max="2561" width="5.85546875" style="821" customWidth="1"/>
    <col min="2562" max="2562" width="3.42578125" style="821" customWidth="1"/>
    <col min="2563" max="2563" width="41" style="821" customWidth="1"/>
    <col min="2564" max="2564" width="6.140625" style="821" customWidth="1"/>
    <col min="2565" max="2565" width="5" style="821" customWidth="1"/>
    <col min="2566" max="2567" width="8.5703125" style="821" customWidth="1"/>
    <col min="2568" max="2568" width="11" style="821" customWidth="1"/>
    <col min="2569" max="2816" width="9.140625" style="821"/>
    <col min="2817" max="2817" width="5.85546875" style="821" customWidth="1"/>
    <col min="2818" max="2818" width="3.42578125" style="821" customWidth="1"/>
    <col min="2819" max="2819" width="41" style="821" customWidth="1"/>
    <col min="2820" max="2820" width="6.140625" style="821" customWidth="1"/>
    <col min="2821" max="2821" width="5" style="821" customWidth="1"/>
    <col min="2822" max="2823" width="8.5703125" style="821" customWidth="1"/>
    <col min="2824" max="2824" width="11" style="821" customWidth="1"/>
    <col min="2825" max="3072" width="9.140625" style="821"/>
    <col min="3073" max="3073" width="5.85546875" style="821" customWidth="1"/>
    <col min="3074" max="3074" width="3.42578125" style="821" customWidth="1"/>
    <col min="3075" max="3075" width="41" style="821" customWidth="1"/>
    <col min="3076" max="3076" width="6.140625" style="821" customWidth="1"/>
    <col min="3077" max="3077" width="5" style="821" customWidth="1"/>
    <col min="3078" max="3079" width="8.5703125" style="821" customWidth="1"/>
    <col min="3080" max="3080" width="11" style="821" customWidth="1"/>
    <col min="3081" max="3328" width="9.140625" style="821"/>
    <col min="3329" max="3329" width="5.85546875" style="821" customWidth="1"/>
    <col min="3330" max="3330" width="3.42578125" style="821" customWidth="1"/>
    <col min="3331" max="3331" width="41" style="821" customWidth="1"/>
    <col min="3332" max="3332" width="6.140625" style="821" customWidth="1"/>
    <col min="3333" max="3333" width="5" style="821" customWidth="1"/>
    <col min="3334" max="3335" width="8.5703125" style="821" customWidth="1"/>
    <col min="3336" max="3336" width="11" style="821" customWidth="1"/>
    <col min="3337" max="3584" width="9.140625" style="821"/>
    <col min="3585" max="3585" width="5.85546875" style="821" customWidth="1"/>
    <col min="3586" max="3586" width="3.42578125" style="821" customWidth="1"/>
    <col min="3587" max="3587" width="41" style="821" customWidth="1"/>
    <col min="3588" max="3588" width="6.140625" style="821" customWidth="1"/>
    <col min="3589" max="3589" width="5" style="821" customWidth="1"/>
    <col min="3590" max="3591" width="8.5703125" style="821" customWidth="1"/>
    <col min="3592" max="3592" width="11" style="821" customWidth="1"/>
    <col min="3593" max="3840" width="9.140625" style="821"/>
    <col min="3841" max="3841" width="5.85546875" style="821" customWidth="1"/>
    <col min="3842" max="3842" width="3.42578125" style="821" customWidth="1"/>
    <col min="3843" max="3843" width="41" style="821" customWidth="1"/>
    <col min="3844" max="3844" width="6.140625" style="821" customWidth="1"/>
    <col min="3845" max="3845" width="5" style="821" customWidth="1"/>
    <col min="3846" max="3847" width="8.5703125" style="821" customWidth="1"/>
    <col min="3848" max="3848" width="11" style="821" customWidth="1"/>
    <col min="3849" max="4096" width="9.140625" style="821"/>
    <col min="4097" max="4097" width="5.85546875" style="821" customWidth="1"/>
    <col min="4098" max="4098" width="3.42578125" style="821" customWidth="1"/>
    <col min="4099" max="4099" width="41" style="821" customWidth="1"/>
    <col min="4100" max="4100" width="6.140625" style="821" customWidth="1"/>
    <col min="4101" max="4101" width="5" style="821" customWidth="1"/>
    <col min="4102" max="4103" width="8.5703125" style="821" customWidth="1"/>
    <col min="4104" max="4104" width="11" style="821" customWidth="1"/>
    <col min="4105" max="4352" width="9.140625" style="821"/>
    <col min="4353" max="4353" width="5.85546875" style="821" customWidth="1"/>
    <col min="4354" max="4354" width="3.42578125" style="821" customWidth="1"/>
    <col min="4355" max="4355" width="41" style="821" customWidth="1"/>
    <col min="4356" max="4356" width="6.140625" style="821" customWidth="1"/>
    <col min="4357" max="4357" width="5" style="821" customWidth="1"/>
    <col min="4358" max="4359" width="8.5703125" style="821" customWidth="1"/>
    <col min="4360" max="4360" width="11" style="821" customWidth="1"/>
    <col min="4361" max="4608" width="9.140625" style="821"/>
    <col min="4609" max="4609" width="5.85546875" style="821" customWidth="1"/>
    <col min="4610" max="4610" width="3.42578125" style="821" customWidth="1"/>
    <col min="4611" max="4611" width="41" style="821" customWidth="1"/>
    <col min="4612" max="4612" width="6.140625" style="821" customWidth="1"/>
    <col min="4613" max="4613" width="5" style="821" customWidth="1"/>
    <col min="4614" max="4615" width="8.5703125" style="821" customWidth="1"/>
    <col min="4616" max="4616" width="11" style="821" customWidth="1"/>
    <col min="4617" max="4864" width="9.140625" style="821"/>
    <col min="4865" max="4865" width="5.85546875" style="821" customWidth="1"/>
    <col min="4866" max="4866" width="3.42578125" style="821" customWidth="1"/>
    <col min="4867" max="4867" width="41" style="821" customWidth="1"/>
    <col min="4868" max="4868" width="6.140625" style="821" customWidth="1"/>
    <col min="4869" max="4869" width="5" style="821" customWidth="1"/>
    <col min="4870" max="4871" width="8.5703125" style="821" customWidth="1"/>
    <col min="4872" max="4872" width="11" style="821" customWidth="1"/>
    <col min="4873" max="5120" width="9.140625" style="821"/>
    <col min="5121" max="5121" width="5.85546875" style="821" customWidth="1"/>
    <col min="5122" max="5122" width="3.42578125" style="821" customWidth="1"/>
    <col min="5123" max="5123" width="41" style="821" customWidth="1"/>
    <col min="5124" max="5124" width="6.140625" style="821" customWidth="1"/>
    <col min="5125" max="5125" width="5" style="821" customWidth="1"/>
    <col min="5126" max="5127" width="8.5703125" style="821" customWidth="1"/>
    <col min="5128" max="5128" width="11" style="821" customWidth="1"/>
    <col min="5129" max="5376" width="9.140625" style="821"/>
    <col min="5377" max="5377" width="5.85546875" style="821" customWidth="1"/>
    <col min="5378" max="5378" width="3.42578125" style="821" customWidth="1"/>
    <col min="5379" max="5379" width="41" style="821" customWidth="1"/>
    <col min="5380" max="5380" width="6.140625" style="821" customWidth="1"/>
    <col min="5381" max="5381" width="5" style="821" customWidth="1"/>
    <col min="5382" max="5383" width="8.5703125" style="821" customWidth="1"/>
    <col min="5384" max="5384" width="11" style="821" customWidth="1"/>
    <col min="5385" max="5632" width="9.140625" style="821"/>
    <col min="5633" max="5633" width="5.85546875" style="821" customWidth="1"/>
    <col min="5634" max="5634" width="3.42578125" style="821" customWidth="1"/>
    <col min="5635" max="5635" width="41" style="821" customWidth="1"/>
    <col min="5636" max="5636" width="6.140625" style="821" customWidth="1"/>
    <col min="5637" max="5637" width="5" style="821" customWidth="1"/>
    <col min="5638" max="5639" width="8.5703125" style="821" customWidth="1"/>
    <col min="5640" max="5640" width="11" style="821" customWidth="1"/>
    <col min="5641" max="5888" width="9.140625" style="821"/>
    <col min="5889" max="5889" width="5.85546875" style="821" customWidth="1"/>
    <col min="5890" max="5890" width="3.42578125" style="821" customWidth="1"/>
    <col min="5891" max="5891" width="41" style="821" customWidth="1"/>
    <col min="5892" max="5892" width="6.140625" style="821" customWidth="1"/>
    <col min="5893" max="5893" width="5" style="821" customWidth="1"/>
    <col min="5894" max="5895" width="8.5703125" style="821" customWidth="1"/>
    <col min="5896" max="5896" width="11" style="821" customWidth="1"/>
    <col min="5897" max="6144" width="9.140625" style="821"/>
    <col min="6145" max="6145" width="5.85546875" style="821" customWidth="1"/>
    <col min="6146" max="6146" width="3.42578125" style="821" customWidth="1"/>
    <col min="6147" max="6147" width="41" style="821" customWidth="1"/>
    <col min="6148" max="6148" width="6.140625" style="821" customWidth="1"/>
    <col min="6149" max="6149" width="5" style="821" customWidth="1"/>
    <col min="6150" max="6151" width="8.5703125" style="821" customWidth="1"/>
    <col min="6152" max="6152" width="11" style="821" customWidth="1"/>
    <col min="6153" max="6400" width="9.140625" style="821"/>
    <col min="6401" max="6401" width="5.85546875" style="821" customWidth="1"/>
    <col min="6402" max="6402" width="3.42578125" style="821" customWidth="1"/>
    <col min="6403" max="6403" width="41" style="821" customWidth="1"/>
    <col min="6404" max="6404" width="6.140625" style="821" customWidth="1"/>
    <col min="6405" max="6405" width="5" style="821" customWidth="1"/>
    <col min="6406" max="6407" width="8.5703125" style="821" customWidth="1"/>
    <col min="6408" max="6408" width="11" style="821" customWidth="1"/>
    <col min="6409" max="6656" width="9.140625" style="821"/>
    <col min="6657" max="6657" width="5.85546875" style="821" customWidth="1"/>
    <col min="6658" max="6658" width="3.42578125" style="821" customWidth="1"/>
    <col min="6659" max="6659" width="41" style="821" customWidth="1"/>
    <col min="6660" max="6660" width="6.140625" style="821" customWidth="1"/>
    <col min="6661" max="6661" width="5" style="821" customWidth="1"/>
    <col min="6662" max="6663" width="8.5703125" style="821" customWidth="1"/>
    <col min="6664" max="6664" width="11" style="821" customWidth="1"/>
    <col min="6665" max="6912" width="9.140625" style="821"/>
    <col min="6913" max="6913" width="5.85546875" style="821" customWidth="1"/>
    <col min="6914" max="6914" width="3.42578125" style="821" customWidth="1"/>
    <col min="6915" max="6915" width="41" style="821" customWidth="1"/>
    <col min="6916" max="6916" width="6.140625" style="821" customWidth="1"/>
    <col min="6917" max="6917" width="5" style="821" customWidth="1"/>
    <col min="6918" max="6919" width="8.5703125" style="821" customWidth="1"/>
    <col min="6920" max="6920" width="11" style="821" customWidth="1"/>
    <col min="6921" max="7168" width="9.140625" style="821"/>
    <col min="7169" max="7169" width="5.85546875" style="821" customWidth="1"/>
    <col min="7170" max="7170" width="3.42578125" style="821" customWidth="1"/>
    <col min="7171" max="7171" width="41" style="821" customWidth="1"/>
    <col min="7172" max="7172" width="6.140625" style="821" customWidth="1"/>
    <col min="7173" max="7173" width="5" style="821" customWidth="1"/>
    <col min="7174" max="7175" width="8.5703125" style="821" customWidth="1"/>
    <col min="7176" max="7176" width="11" style="821" customWidth="1"/>
    <col min="7177" max="7424" width="9.140625" style="821"/>
    <col min="7425" max="7425" width="5.85546875" style="821" customWidth="1"/>
    <col min="7426" max="7426" width="3.42578125" style="821" customWidth="1"/>
    <col min="7427" max="7427" width="41" style="821" customWidth="1"/>
    <col min="7428" max="7428" width="6.140625" style="821" customWidth="1"/>
    <col min="7429" max="7429" width="5" style="821" customWidth="1"/>
    <col min="7430" max="7431" width="8.5703125" style="821" customWidth="1"/>
    <col min="7432" max="7432" width="11" style="821" customWidth="1"/>
    <col min="7433" max="7680" width="9.140625" style="821"/>
    <col min="7681" max="7681" width="5.85546875" style="821" customWidth="1"/>
    <col min="7682" max="7682" width="3.42578125" style="821" customWidth="1"/>
    <col min="7683" max="7683" width="41" style="821" customWidth="1"/>
    <col min="7684" max="7684" width="6.140625" style="821" customWidth="1"/>
    <col min="7685" max="7685" width="5" style="821" customWidth="1"/>
    <col min="7686" max="7687" width="8.5703125" style="821" customWidth="1"/>
    <col min="7688" max="7688" width="11" style="821" customWidth="1"/>
    <col min="7689" max="7936" width="9.140625" style="821"/>
    <col min="7937" max="7937" width="5.85546875" style="821" customWidth="1"/>
    <col min="7938" max="7938" width="3.42578125" style="821" customWidth="1"/>
    <col min="7939" max="7939" width="41" style="821" customWidth="1"/>
    <col min="7940" max="7940" width="6.140625" style="821" customWidth="1"/>
    <col min="7941" max="7941" width="5" style="821" customWidth="1"/>
    <col min="7942" max="7943" width="8.5703125" style="821" customWidth="1"/>
    <col min="7944" max="7944" width="11" style="821" customWidth="1"/>
    <col min="7945" max="8192" width="9.140625" style="821"/>
    <col min="8193" max="8193" width="5.85546875" style="821" customWidth="1"/>
    <col min="8194" max="8194" width="3.42578125" style="821" customWidth="1"/>
    <col min="8195" max="8195" width="41" style="821" customWidth="1"/>
    <col min="8196" max="8196" width="6.140625" style="821" customWidth="1"/>
    <col min="8197" max="8197" width="5" style="821" customWidth="1"/>
    <col min="8198" max="8199" width="8.5703125" style="821" customWidth="1"/>
    <col min="8200" max="8200" width="11" style="821" customWidth="1"/>
    <col min="8201" max="8448" width="9.140625" style="821"/>
    <col min="8449" max="8449" width="5.85546875" style="821" customWidth="1"/>
    <col min="8450" max="8450" width="3.42578125" style="821" customWidth="1"/>
    <col min="8451" max="8451" width="41" style="821" customWidth="1"/>
    <col min="8452" max="8452" width="6.140625" style="821" customWidth="1"/>
    <col min="8453" max="8453" width="5" style="821" customWidth="1"/>
    <col min="8454" max="8455" width="8.5703125" style="821" customWidth="1"/>
    <col min="8456" max="8456" width="11" style="821" customWidth="1"/>
    <col min="8457" max="8704" width="9.140625" style="821"/>
    <col min="8705" max="8705" width="5.85546875" style="821" customWidth="1"/>
    <col min="8706" max="8706" width="3.42578125" style="821" customWidth="1"/>
    <col min="8707" max="8707" width="41" style="821" customWidth="1"/>
    <col min="8708" max="8708" width="6.140625" style="821" customWidth="1"/>
    <col min="8709" max="8709" width="5" style="821" customWidth="1"/>
    <col min="8710" max="8711" width="8.5703125" style="821" customWidth="1"/>
    <col min="8712" max="8712" width="11" style="821" customWidth="1"/>
    <col min="8713" max="8960" width="9.140625" style="821"/>
    <col min="8961" max="8961" width="5.85546875" style="821" customWidth="1"/>
    <col min="8962" max="8962" width="3.42578125" style="821" customWidth="1"/>
    <col min="8963" max="8963" width="41" style="821" customWidth="1"/>
    <col min="8964" max="8964" width="6.140625" style="821" customWidth="1"/>
    <col min="8965" max="8965" width="5" style="821" customWidth="1"/>
    <col min="8966" max="8967" width="8.5703125" style="821" customWidth="1"/>
    <col min="8968" max="8968" width="11" style="821" customWidth="1"/>
    <col min="8969" max="9216" width="9.140625" style="821"/>
    <col min="9217" max="9217" width="5.85546875" style="821" customWidth="1"/>
    <col min="9218" max="9218" width="3.42578125" style="821" customWidth="1"/>
    <col min="9219" max="9219" width="41" style="821" customWidth="1"/>
    <col min="9220" max="9220" width="6.140625" style="821" customWidth="1"/>
    <col min="9221" max="9221" width="5" style="821" customWidth="1"/>
    <col min="9222" max="9223" width="8.5703125" style="821" customWidth="1"/>
    <col min="9224" max="9224" width="11" style="821" customWidth="1"/>
    <col min="9225" max="9472" width="9.140625" style="821"/>
    <col min="9473" max="9473" width="5.85546875" style="821" customWidth="1"/>
    <col min="9474" max="9474" width="3.42578125" style="821" customWidth="1"/>
    <col min="9475" max="9475" width="41" style="821" customWidth="1"/>
    <col min="9476" max="9476" width="6.140625" style="821" customWidth="1"/>
    <col min="9477" max="9477" width="5" style="821" customWidth="1"/>
    <col min="9478" max="9479" width="8.5703125" style="821" customWidth="1"/>
    <col min="9480" max="9480" width="11" style="821" customWidth="1"/>
    <col min="9481" max="9728" width="9.140625" style="821"/>
    <col min="9729" max="9729" width="5.85546875" style="821" customWidth="1"/>
    <col min="9730" max="9730" width="3.42578125" style="821" customWidth="1"/>
    <col min="9731" max="9731" width="41" style="821" customWidth="1"/>
    <col min="9732" max="9732" width="6.140625" style="821" customWidth="1"/>
    <col min="9733" max="9733" width="5" style="821" customWidth="1"/>
    <col min="9734" max="9735" width="8.5703125" style="821" customWidth="1"/>
    <col min="9736" max="9736" width="11" style="821" customWidth="1"/>
    <col min="9737" max="9984" width="9.140625" style="821"/>
    <col min="9985" max="9985" width="5.85546875" style="821" customWidth="1"/>
    <col min="9986" max="9986" width="3.42578125" style="821" customWidth="1"/>
    <col min="9987" max="9987" width="41" style="821" customWidth="1"/>
    <col min="9988" max="9988" width="6.140625" style="821" customWidth="1"/>
    <col min="9989" max="9989" width="5" style="821" customWidth="1"/>
    <col min="9990" max="9991" width="8.5703125" style="821" customWidth="1"/>
    <col min="9992" max="9992" width="11" style="821" customWidth="1"/>
    <col min="9993" max="10240" width="9.140625" style="821"/>
    <col min="10241" max="10241" width="5.85546875" style="821" customWidth="1"/>
    <col min="10242" max="10242" width="3.42578125" style="821" customWidth="1"/>
    <col min="10243" max="10243" width="41" style="821" customWidth="1"/>
    <col min="10244" max="10244" width="6.140625" style="821" customWidth="1"/>
    <col min="10245" max="10245" width="5" style="821" customWidth="1"/>
    <col min="10246" max="10247" width="8.5703125" style="821" customWidth="1"/>
    <col min="10248" max="10248" width="11" style="821" customWidth="1"/>
    <col min="10249" max="10496" width="9.140625" style="821"/>
    <col min="10497" max="10497" width="5.85546875" style="821" customWidth="1"/>
    <col min="10498" max="10498" width="3.42578125" style="821" customWidth="1"/>
    <col min="10499" max="10499" width="41" style="821" customWidth="1"/>
    <col min="10500" max="10500" width="6.140625" style="821" customWidth="1"/>
    <col min="10501" max="10501" width="5" style="821" customWidth="1"/>
    <col min="10502" max="10503" width="8.5703125" style="821" customWidth="1"/>
    <col min="10504" max="10504" width="11" style="821" customWidth="1"/>
    <col min="10505" max="10752" width="9.140625" style="821"/>
    <col min="10753" max="10753" width="5.85546875" style="821" customWidth="1"/>
    <col min="10754" max="10754" width="3.42578125" style="821" customWidth="1"/>
    <col min="10755" max="10755" width="41" style="821" customWidth="1"/>
    <col min="10756" max="10756" width="6.140625" style="821" customWidth="1"/>
    <col min="10757" max="10757" width="5" style="821" customWidth="1"/>
    <col min="10758" max="10759" width="8.5703125" style="821" customWidth="1"/>
    <col min="10760" max="10760" width="11" style="821" customWidth="1"/>
    <col min="10761" max="11008" width="9.140625" style="821"/>
    <col min="11009" max="11009" width="5.85546875" style="821" customWidth="1"/>
    <col min="11010" max="11010" width="3.42578125" style="821" customWidth="1"/>
    <col min="11011" max="11011" width="41" style="821" customWidth="1"/>
    <col min="11012" max="11012" width="6.140625" style="821" customWidth="1"/>
    <col min="11013" max="11013" width="5" style="821" customWidth="1"/>
    <col min="11014" max="11015" width="8.5703125" style="821" customWidth="1"/>
    <col min="11016" max="11016" width="11" style="821" customWidth="1"/>
    <col min="11017" max="11264" width="9.140625" style="821"/>
    <col min="11265" max="11265" width="5.85546875" style="821" customWidth="1"/>
    <col min="11266" max="11266" width="3.42578125" style="821" customWidth="1"/>
    <col min="11267" max="11267" width="41" style="821" customWidth="1"/>
    <col min="11268" max="11268" width="6.140625" style="821" customWidth="1"/>
    <col min="11269" max="11269" width="5" style="821" customWidth="1"/>
    <col min="11270" max="11271" width="8.5703125" style="821" customWidth="1"/>
    <col min="11272" max="11272" width="11" style="821" customWidth="1"/>
    <col min="11273" max="11520" width="9.140625" style="821"/>
    <col min="11521" max="11521" width="5.85546875" style="821" customWidth="1"/>
    <col min="11522" max="11522" width="3.42578125" style="821" customWidth="1"/>
    <col min="11523" max="11523" width="41" style="821" customWidth="1"/>
    <col min="11524" max="11524" width="6.140625" style="821" customWidth="1"/>
    <col min="11525" max="11525" width="5" style="821" customWidth="1"/>
    <col min="11526" max="11527" width="8.5703125" style="821" customWidth="1"/>
    <col min="11528" max="11528" width="11" style="821" customWidth="1"/>
    <col min="11529" max="11776" width="9.140625" style="821"/>
    <col min="11777" max="11777" width="5.85546875" style="821" customWidth="1"/>
    <col min="11778" max="11778" width="3.42578125" style="821" customWidth="1"/>
    <col min="11779" max="11779" width="41" style="821" customWidth="1"/>
    <col min="11780" max="11780" width="6.140625" style="821" customWidth="1"/>
    <col min="11781" max="11781" width="5" style="821" customWidth="1"/>
    <col min="11782" max="11783" width="8.5703125" style="821" customWidth="1"/>
    <col min="11784" max="11784" width="11" style="821" customWidth="1"/>
    <col min="11785" max="12032" width="9.140625" style="821"/>
    <col min="12033" max="12033" width="5.85546875" style="821" customWidth="1"/>
    <col min="12034" max="12034" width="3.42578125" style="821" customWidth="1"/>
    <col min="12035" max="12035" width="41" style="821" customWidth="1"/>
    <col min="12036" max="12036" width="6.140625" style="821" customWidth="1"/>
    <col min="12037" max="12037" width="5" style="821" customWidth="1"/>
    <col min="12038" max="12039" width="8.5703125" style="821" customWidth="1"/>
    <col min="12040" max="12040" width="11" style="821" customWidth="1"/>
    <col min="12041" max="12288" width="9.140625" style="821"/>
    <col min="12289" max="12289" width="5.85546875" style="821" customWidth="1"/>
    <col min="12290" max="12290" width="3.42578125" style="821" customWidth="1"/>
    <col min="12291" max="12291" width="41" style="821" customWidth="1"/>
    <col min="12292" max="12292" width="6.140625" style="821" customWidth="1"/>
    <col min="12293" max="12293" width="5" style="821" customWidth="1"/>
    <col min="12294" max="12295" width="8.5703125" style="821" customWidth="1"/>
    <col min="12296" max="12296" width="11" style="821" customWidth="1"/>
    <col min="12297" max="12544" width="9.140625" style="821"/>
    <col min="12545" max="12545" width="5.85546875" style="821" customWidth="1"/>
    <col min="12546" max="12546" width="3.42578125" style="821" customWidth="1"/>
    <col min="12547" max="12547" width="41" style="821" customWidth="1"/>
    <col min="12548" max="12548" width="6.140625" style="821" customWidth="1"/>
    <col min="12549" max="12549" width="5" style="821" customWidth="1"/>
    <col min="12550" max="12551" width="8.5703125" style="821" customWidth="1"/>
    <col min="12552" max="12552" width="11" style="821" customWidth="1"/>
    <col min="12553" max="12800" width="9.140625" style="821"/>
    <col min="12801" max="12801" width="5.85546875" style="821" customWidth="1"/>
    <col min="12802" max="12802" width="3.42578125" style="821" customWidth="1"/>
    <col min="12803" max="12803" width="41" style="821" customWidth="1"/>
    <col min="12804" max="12804" width="6.140625" style="821" customWidth="1"/>
    <col min="12805" max="12805" width="5" style="821" customWidth="1"/>
    <col min="12806" max="12807" width="8.5703125" style="821" customWidth="1"/>
    <col min="12808" max="12808" width="11" style="821" customWidth="1"/>
    <col min="12809" max="13056" width="9.140625" style="821"/>
    <col min="13057" max="13057" width="5.85546875" style="821" customWidth="1"/>
    <col min="13058" max="13058" width="3.42578125" style="821" customWidth="1"/>
    <col min="13059" max="13059" width="41" style="821" customWidth="1"/>
    <col min="13060" max="13060" width="6.140625" style="821" customWidth="1"/>
    <col min="13061" max="13061" width="5" style="821" customWidth="1"/>
    <col min="13062" max="13063" width="8.5703125" style="821" customWidth="1"/>
    <col min="13064" max="13064" width="11" style="821" customWidth="1"/>
    <col min="13065" max="13312" width="9.140625" style="821"/>
    <col min="13313" max="13313" width="5.85546875" style="821" customWidth="1"/>
    <col min="13314" max="13314" width="3.42578125" style="821" customWidth="1"/>
    <col min="13315" max="13315" width="41" style="821" customWidth="1"/>
    <col min="13316" max="13316" width="6.140625" style="821" customWidth="1"/>
    <col min="13317" max="13317" width="5" style="821" customWidth="1"/>
    <col min="13318" max="13319" width="8.5703125" style="821" customWidth="1"/>
    <col min="13320" max="13320" width="11" style="821" customWidth="1"/>
    <col min="13321" max="13568" width="9.140625" style="821"/>
    <col min="13569" max="13569" width="5.85546875" style="821" customWidth="1"/>
    <col min="13570" max="13570" width="3.42578125" style="821" customWidth="1"/>
    <col min="13571" max="13571" width="41" style="821" customWidth="1"/>
    <col min="13572" max="13572" width="6.140625" style="821" customWidth="1"/>
    <col min="13573" max="13573" width="5" style="821" customWidth="1"/>
    <col min="13574" max="13575" width="8.5703125" style="821" customWidth="1"/>
    <col min="13576" max="13576" width="11" style="821" customWidth="1"/>
    <col min="13577" max="13824" width="9.140625" style="821"/>
    <col min="13825" max="13825" width="5.85546875" style="821" customWidth="1"/>
    <col min="13826" max="13826" width="3.42578125" style="821" customWidth="1"/>
    <col min="13827" max="13827" width="41" style="821" customWidth="1"/>
    <col min="13828" max="13828" width="6.140625" style="821" customWidth="1"/>
    <col min="13829" max="13829" width="5" style="821" customWidth="1"/>
    <col min="13830" max="13831" width="8.5703125" style="821" customWidth="1"/>
    <col min="13832" max="13832" width="11" style="821" customWidth="1"/>
    <col min="13833" max="14080" width="9.140625" style="821"/>
    <col min="14081" max="14081" width="5.85546875" style="821" customWidth="1"/>
    <col min="14082" max="14082" width="3.42578125" style="821" customWidth="1"/>
    <col min="14083" max="14083" width="41" style="821" customWidth="1"/>
    <col min="14084" max="14084" width="6.140625" style="821" customWidth="1"/>
    <col min="14085" max="14085" width="5" style="821" customWidth="1"/>
    <col min="14086" max="14087" width="8.5703125" style="821" customWidth="1"/>
    <col min="14088" max="14088" width="11" style="821" customWidth="1"/>
    <col min="14089" max="14336" width="9.140625" style="821"/>
    <col min="14337" max="14337" width="5.85546875" style="821" customWidth="1"/>
    <col min="14338" max="14338" width="3.42578125" style="821" customWidth="1"/>
    <col min="14339" max="14339" width="41" style="821" customWidth="1"/>
    <col min="14340" max="14340" width="6.140625" style="821" customWidth="1"/>
    <col min="14341" max="14341" width="5" style="821" customWidth="1"/>
    <col min="14342" max="14343" width="8.5703125" style="821" customWidth="1"/>
    <col min="14344" max="14344" width="11" style="821" customWidth="1"/>
    <col min="14345" max="14592" width="9.140625" style="821"/>
    <col min="14593" max="14593" width="5.85546875" style="821" customWidth="1"/>
    <col min="14594" max="14594" width="3.42578125" style="821" customWidth="1"/>
    <col min="14595" max="14595" width="41" style="821" customWidth="1"/>
    <col min="14596" max="14596" width="6.140625" style="821" customWidth="1"/>
    <col min="14597" max="14597" width="5" style="821" customWidth="1"/>
    <col min="14598" max="14599" width="8.5703125" style="821" customWidth="1"/>
    <col min="14600" max="14600" width="11" style="821" customWidth="1"/>
    <col min="14601" max="14848" width="9.140625" style="821"/>
    <col min="14849" max="14849" width="5.85546875" style="821" customWidth="1"/>
    <col min="14850" max="14850" width="3.42578125" style="821" customWidth="1"/>
    <col min="14851" max="14851" width="41" style="821" customWidth="1"/>
    <col min="14852" max="14852" width="6.140625" style="821" customWidth="1"/>
    <col min="14853" max="14853" width="5" style="821" customWidth="1"/>
    <col min="14854" max="14855" width="8.5703125" style="821" customWidth="1"/>
    <col min="14856" max="14856" width="11" style="821" customWidth="1"/>
    <col min="14857" max="15104" width="9.140625" style="821"/>
    <col min="15105" max="15105" width="5.85546875" style="821" customWidth="1"/>
    <col min="15106" max="15106" width="3.42578125" style="821" customWidth="1"/>
    <col min="15107" max="15107" width="41" style="821" customWidth="1"/>
    <col min="15108" max="15108" width="6.140625" style="821" customWidth="1"/>
    <col min="15109" max="15109" width="5" style="821" customWidth="1"/>
    <col min="15110" max="15111" width="8.5703125" style="821" customWidth="1"/>
    <col min="15112" max="15112" width="11" style="821" customWidth="1"/>
    <col min="15113" max="15360" width="9.140625" style="821"/>
    <col min="15361" max="15361" width="5.85546875" style="821" customWidth="1"/>
    <col min="15362" max="15362" width="3.42578125" style="821" customWidth="1"/>
    <col min="15363" max="15363" width="41" style="821" customWidth="1"/>
    <col min="15364" max="15364" width="6.140625" style="821" customWidth="1"/>
    <col min="15365" max="15365" width="5" style="821" customWidth="1"/>
    <col min="15366" max="15367" width="8.5703125" style="821" customWidth="1"/>
    <col min="15368" max="15368" width="11" style="821" customWidth="1"/>
    <col min="15369" max="15616" width="9.140625" style="821"/>
    <col min="15617" max="15617" width="5.85546875" style="821" customWidth="1"/>
    <col min="15618" max="15618" width="3.42578125" style="821" customWidth="1"/>
    <col min="15619" max="15619" width="41" style="821" customWidth="1"/>
    <col min="15620" max="15620" width="6.140625" style="821" customWidth="1"/>
    <col min="15621" max="15621" width="5" style="821" customWidth="1"/>
    <col min="15622" max="15623" width="8.5703125" style="821" customWidth="1"/>
    <col min="15624" max="15624" width="11" style="821" customWidth="1"/>
    <col min="15625" max="15872" width="9.140625" style="821"/>
    <col min="15873" max="15873" width="5.85546875" style="821" customWidth="1"/>
    <col min="15874" max="15874" width="3.42578125" style="821" customWidth="1"/>
    <col min="15875" max="15875" width="41" style="821" customWidth="1"/>
    <col min="15876" max="15876" width="6.140625" style="821" customWidth="1"/>
    <col min="15877" max="15877" width="5" style="821" customWidth="1"/>
    <col min="15878" max="15879" width="8.5703125" style="821" customWidth="1"/>
    <col min="15880" max="15880" width="11" style="821" customWidth="1"/>
    <col min="15881" max="16128" width="9.140625" style="821"/>
    <col min="16129" max="16129" width="5.85546875" style="821" customWidth="1"/>
    <col min="16130" max="16130" width="3.42578125" style="821" customWidth="1"/>
    <col min="16131" max="16131" width="41" style="821" customWidth="1"/>
    <col min="16132" max="16132" width="6.140625" style="821" customWidth="1"/>
    <col min="16133" max="16133" width="5" style="821" customWidth="1"/>
    <col min="16134" max="16135" width="8.5703125" style="821" customWidth="1"/>
    <col min="16136" max="16136" width="11" style="821" customWidth="1"/>
    <col min="16137" max="16384" width="9.140625" style="821"/>
  </cols>
  <sheetData>
    <row r="1" spans="1:8" ht="19.5" hidden="1" x14ac:dyDescent="0.3">
      <c r="A1" s="820" t="s">
        <v>741</v>
      </c>
      <c r="B1" s="820"/>
      <c r="C1" s="820"/>
      <c r="D1" s="820"/>
      <c r="E1" s="820"/>
      <c r="F1" s="820"/>
      <c r="G1" s="820"/>
      <c r="H1" s="820"/>
    </row>
    <row r="2" spans="1:8" ht="21.75" hidden="1" thickBot="1" x14ac:dyDescent="0.35">
      <c r="A2" s="822" t="s">
        <v>742</v>
      </c>
      <c r="B2" s="822"/>
      <c r="C2" s="822"/>
      <c r="D2" s="822"/>
      <c r="E2" s="822"/>
      <c r="F2" s="822"/>
      <c r="G2" s="822"/>
      <c r="H2" s="822"/>
    </row>
    <row r="3" spans="1:8" hidden="1" x14ac:dyDescent="0.3">
      <c r="A3" s="823" t="s">
        <v>424</v>
      </c>
      <c r="B3" s="824" t="s">
        <v>1</v>
      </c>
      <c r="C3" s="825"/>
      <c r="D3" s="826" t="s">
        <v>24</v>
      </c>
      <c r="E3" s="826" t="s">
        <v>25</v>
      </c>
      <c r="F3" s="827" t="s">
        <v>390</v>
      </c>
      <c r="G3" s="828" t="s">
        <v>743</v>
      </c>
      <c r="H3" s="829" t="s">
        <v>20</v>
      </c>
    </row>
    <row r="4" spans="1:8" hidden="1" x14ac:dyDescent="0.3">
      <c r="A4" s="830"/>
      <c r="B4" s="831"/>
      <c r="C4" s="832"/>
      <c r="D4" s="833"/>
      <c r="E4" s="833"/>
      <c r="F4" s="834" t="s">
        <v>31</v>
      </c>
      <c r="G4" s="835" t="s">
        <v>31</v>
      </c>
      <c r="H4" s="836"/>
    </row>
    <row r="5" spans="1:8" s="844" customFormat="1" ht="19.5" hidden="1" x14ac:dyDescent="0.3">
      <c r="A5" s="837">
        <v>1</v>
      </c>
      <c r="B5" s="838" t="s">
        <v>744</v>
      </c>
      <c r="C5" s="839"/>
      <c r="D5" s="840"/>
      <c r="E5" s="840"/>
      <c r="F5" s="841"/>
      <c r="G5" s="842" t="s">
        <v>745</v>
      </c>
      <c r="H5" s="843"/>
    </row>
    <row r="6" spans="1:8" hidden="1" x14ac:dyDescent="0.3">
      <c r="A6" s="845">
        <v>1.1000000000000001</v>
      </c>
      <c r="B6" s="846" t="s">
        <v>746</v>
      </c>
      <c r="C6" s="847"/>
      <c r="D6" s="847"/>
      <c r="E6" s="847"/>
      <c r="F6" s="848"/>
      <c r="G6" s="849" t="s">
        <v>745</v>
      </c>
      <c r="H6" s="850"/>
    </row>
    <row r="7" spans="1:8" hidden="1" x14ac:dyDescent="0.3">
      <c r="A7" s="851"/>
      <c r="B7" s="852" t="s">
        <v>1346</v>
      </c>
      <c r="C7" s="853"/>
      <c r="D7" s="854">
        <v>260</v>
      </c>
      <c r="E7" s="855" t="s">
        <v>399</v>
      </c>
      <c r="F7" s="856"/>
      <c r="G7" s="857">
        <f>D7*F7</f>
        <v>0</v>
      </c>
      <c r="H7" s="858" t="s">
        <v>747</v>
      </c>
    </row>
    <row r="8" spans="1:8" hidden="1" x14ac:dyDescent="0.3">
      <c r="A8" s="851"/>
      <c r="B8" s="852" t="s">
        <v>748</v>
      </c>
      <c r="C8" s="853"/>
      <c r="D8" s="859">
        <v>0.62</v>
      </c>
      <c r="E8" s="855" t="s">
        <v>34</v>
      </c>
      <c r="F8" s="856"/>
      <c r="G8" s="857">
        <f>D8*F8</f>
        <v>0</v>
      </c>
      <c r="H8" s="850"/>
    </row>
    <row r="9" spans="1:8" hidden="1" x14ac:dyDescent="0.3">
      <c r="A9" s="851"/>
      <c r="B9" s="852" t="s">
        <v>749</v>
      </c>
      <c r="C9" s="853"/>
      <c r="D9" s="859">
        <v>1.03</v>
      </c>
      <c r="E9" s="855" t="s">
        <v>34</v>
      </c>
      <c r="F9" s="856"/>
      <c r="G9" s="857">
        <f>D9*F9</f>
        <v>0</v>
      </c>
      <c r="H9" s="850"/>
    </row>
    <row r="10" spans="1:8" hidden="1" x14ac:dyDescent="0.3">
      <c r="A10" s="851"/>
      <c r="B10" s="852" t="s">
        <v>750</v>
      </c>
      <c r="C10" s="853"/>
      <c r="D10" s="854">
        <v>180</v>
      </c>
      <c r="E10" s="855" t="s">
        <v>540</v>
      </c>
      <c r="F10" s="860"/>
      <c r="G10" s="857">
        <f>D10*F10</f>
        <v>0</v>
      </c>
      <c r="H10" s="850"/>
    </row>
    <row r="11" spans="1:8" hidden="1" x14ac:dyDescent="0.3">
      <c r="A11" s="861"/>
      <c r="B11" s="862"/>
      <c r="C11" s="863" t="s">
        <v>751</v>
      </c>
      <c r="D11" s="864">
        <v>1</v>
      </c>
      <c r="E11" s="865" t="s">
        <v>34</v>
      </c>
      <c r="F11" s="866" t="s">
        <v>6</v>
      </c>
      <c r="G11" s="867">
        <f>SUM(G7:G10)</f>
        <v>0</v>
      </c>
      <c r="H11" s="868" t="s">
        <v>752</v>
      </c>
    </row>
    <row r="12" spans="1:8" hidden="1" x14ac:dyDescent="0.3">
      <c r="A12" s="869">
        <v>1.2</v>
      </c>
      <c r="B12" s="846" t="s">
        <v>746</v>
      </c>
      <c r="C12" s="847"/>
      <c r="D12" s="870"/>
      <c r="E12" s="870"/>
      <c r="F12" s="871"/>
      <c r="G12" s="872" t="s">
        <v>745</v>
      </c>
      <c r="H12" s="873"/>
    </row>
    <row r="13" spans="1:8" hidden="1" x14ac:dyDescent="0.3">
      <c r="A13" s="851"/>
      <c r="B13" s="852" t="s">
        <v>1347</v>
      </c>
      <c r="C13" s="853"/>
      <c r="D13" s="854">
        <v>260</v>
      </c>
      <c r="E13" s="855" t="s">
        <v>399</v>
      </c>
      <c r="F13" s="874">
        <v>2.24099</v>
      </c>
      <c r="G13" s="857">
        <f>D13*F13</f>
        <v>582.65740000000005</v>
      </c>
      <c r="H13" s="858" t="s">
        <v>753</v>
      </c>
    </row>
    <row r="14" spans="1:8" hidden="1" x14ac:dyDescent="0.3">
      <c r="A14" s="851"/>
      <c r="B14" s="852" t="s">
        <v>748</v>
      </c>
      <c r="C14" s="853"/>
      <c r="D14" s="859">
        <v>0.62</v>
      </c>
      <c r="E14" s="855" t="s">
        <v>34</v>
      </c>
      <c r="F14" s="856">
        <v>514.02</v>
      </c>
      <c r="G14" s="857">
        <f>D14*F14</f>
        <v>318.69239999999996</v>
      </c>
      <c r="H14" s="850"/>
    </row>
    <row r="15" spans="1:8" hidden="1" x14ac:dyDescent="0.3">
      <c r="A15" s="851"/>
      <c r="B15" s="852" t="s">
        <v>749</v>
      </c>
      <c r="C15" s="853"/>
      <c r="D15" s="859">
        <v>1.03</v>
      </c>
      <c r="E15" s="855" t="s">
        <v>34</v>
      </c>
      <c r="F15" s="856">
        <v>607.48</v>
      </c>
      <c r="G15" s="857">
        <f>D15*F15</f>
        <v>625.70440000000008</v>
      </c>
      <c r="H15" s="850"/>
    </row>
    <row r="16" spans="1:8" hidden="1" x14ac:dyDescent="0.3">
      <c r="A16" s="851"/>
      <c r="B16" s="852" t="s">
        <v>750</v>
      </c>
      <c r="C16" s="853"/>
      <c r="D16" s="854">
        <v>180</v>
      </c>
      <c r="E16" s="855" t="s">
        <v>540</v>
      </c>
      <c r="F16" s="860"/>
      <c r="G16" s="857">
        <f>D16*F16</f>
        <v>0</v>
      </c>
      <c r="H16" s="850"/>
    </row>
    <row r="17" spans="1:8" hidden="1" x14ac:dyDescent="0.3">
      <c r="A17" s="861"/>
      <c r="B17" s="862"/>
      <c r="C17" s="863" t="s">
        <v>751</v>
      </c>
      <c r="D17" s="864">
        <v>1</v>
      </c>
      <c r="E17" s="865" t="s">
        <v>34</v>
      </c>
      <c r="F17" s="866" t="s">
        <v>6</v>
      </c>
      <c r="G17" s="867">
        <f>SUM(G13:G16)</f>
        <v>1527.0542</v>
      </c>
      <c r="H17" s="868" t="s">
        <v>752</v>
      </c>
    </row>
    <row r="18" spans="1:8" hidden="1" x14ac:dyDescent="0.3">
      <c r="A18" s="869">
        <v>1.3</v>
      </c>
      <c r="B18" s="846" t="s">
        <v>754</v>
      </c>
      <c r="C18" s="847"/>
      <c r="D18" s="870"/>
      <c r="E18" s="870"/>
      <c r="F18" s="871"/>
      <c r="G18" s="872" t="s">
        <v>745</v>
      </c>
      <c r="H18" s="873"/>
    </row>
    <row r="19" spans="1:8" hidden="1" x14ac:dyDescent="0.3">
      <c r="A19" s="851"/>
      <c r="B19" s="852" t="s">
        <v>1346</v>
      </c>
      <c r="C19" s="853"/>
      <c r="D19" s="854">
        <v>342</v>
      </c>
      <c r="E19" s="855" t="s">
        <v>399</v>
      </c>
      <c r="F19" s="874">
        <v>2.24099</v>
      </c>
      <c r="G19" s="857">
        <f>D19*F19</f>
        <v>766.41858000000002</v>
      </c>
      <c r="H19" s="858" t="s">
        <v>747</v>
      </c>
    </row>
    <row r="20" spans="1:8" hidden="1" x14ac:dyDescent="0.3">
      <c r="A20" s="851"/>
      <c r="B20" s="852" t="s">
        <v>748</v>
      </c>
      <c r="C20" s="853"/>
      <c r="D20" s="859">
        <v>0.56999999999999995</v>
      </c>
      <c r="E20" s="855" t="s">
        <v>34</v>
      </c>
      <c r="F20" s="856">
        <v>514.02</v>
      </c>
      <c r="G20" s="857">
        <f>D20*F20</f>
        <v>292.99139999999994</v>
      </c>
      <c r="H20" s="850"/>
    </row>
    <row r="21" spans="1:8" hidden="1" x14ac:dyDescent="0.3">
      <c r="A21" s="851"/>
      <c r="B21" s="852" t="s">
        <v>749</v>
      </c>
      <c r="C21" s="853"/>
      <c r="D21" s="859">
        <v>1.0900000000000001</v>
      </c>
      <c r="E21" s="855" t="s">
        <v>34</v>
      </c>
      <c r="F21" s="856">
        <v>420.56</v>
      </c>
      <c r="G21" s="857">
        <f>D21*F21</f>
        <v>458.41040000000004</v>
      </c>
      <c r="H21" s="850"/>
    </row>
    <row r="22" spans="1:8" hidden="1" x14ac:dyDescent="0.3">
      <c r="A22" s="851"/>
      <c r="B22" s="852" t="s">
        <v>750</v>
      </c>
      <c r="C22" s="853"/>
      <c r="D22" s="854">
        <v>180</v>
      </c>
      <c r="E22" s="855" t="s">
        <v>540</v>
      </c>
      <c r="F22" s="860"/>
      <c r="G22" s="857">
        <f>D22*F22</f>
        <v>0</v>
      </c>
      <c r="H22" s="850"/>
    </row>
    <row r="23" spans="1:8" hidden="1" x14ac:dyDescent="0.3">
      <c r="A23" s="861"/>
      <c r="B23" s="862"/>
      <c r="C23" s="863" t="s">
        <v>755</v>
      </c>
      <c r="D23" s="864">
        <v>1</v>
      </c>
      <c r="E23" s="865" t="s">
        <v>34</v>
      </c>
      <c r="F23" s="866" t="s">
        <v>6</v>
      </c>
      <c r="G23" s="867">
        <f>SUM(G19:G22)</f>
        <v>1517.8203799999999</v>
      </c>
      <c r="H23" s="868" t="s">
        <v>752</v>
      </c>
    </row>
    <row r="24" spans="1:8" hidden="1" x14ac:dyDescent="0.3">
      <c r="A24" s="869">
        <v>1.4</v>
      </c>
      <c r="B24" s="846" t="s">
        <v>754</v>
      </c>
      <c r="C24" s="847"/>
      <c r="D24" s="870"/>
      <c r="E24" s="870"/>
      <c r="F24" s="871"/>
      <c r="G24" s="872" t="s">
        <v>745</v>
      </c>
      <c r="H24" s="873"/>
    </row>
    <row r="25" spans="1:8" hidden="1" x14ac:dyDescent="0.3">
      <c r="A25" s="851"/>
      <c r="B25" s="852" t="s">
        <v>1347</v>
      </c>
      <c r="C25" s="853"/>
      <c r="D25" s="854">
        <v>342</v>
      </c>
      <c r="E25" s="855" t="s">
        <v>399</v>
      </c>
      <c r="F25" s="874">
        <v>2.73271</v>
      </c>
      <c r="G25" s="857">
        <f>D25*F25</f>
        <v>934.58681999999999</v>
      </c>
      <c r="H25" s="858" t="s">
        <v>753</v>
      </c>
    </row>
    <row r="26" spans="1:8" hidden="1" x14ac:dyDescent="0.3">
      <c r="A26" s="851"/>
      <c r="B26" s="852" t="s">
        <v>748</v>
      </c>
      <c r="C26" s="853"/>
      <c r="D26" s="859">
        <v>0.56999999999999995</v>
      </c>
      <c r="E26" s="855" t="s">
        <v>34</v>
      </c>
      <c r="F26" s="856">
        <v>514.02</v>
      </c>
      <c r="G26" s="857">
        <f>D26*F26</f>
        <v>292.99139999999994</v>
      </c>
      <c r="H26" s="850"/>
    </row>
    <row r="27" spans="1:8" hidden="1" x14ac:dyDescent="0.3">
      <c r="A27" s="851"/>
      <c r="B27" s="852" t="s">
        <v>749</v>
      </c>
      <c r="C27" s="853"/>
      <c r="D27" s="859">
        <v>1.0900000000000001</v>
      </c>
      <c r="E27" s="855" t="s">
        <v>34</v>
      </c>
      <c r="F27" s="856">
        <v>420.56</v>
      </c>
      <c r="G27" s="857">
        <f>D27*F27</f>
        <v>458.41040000000004</v>
      </c>
      <c r="H27" s="850"/>
    </row>
    <row r="28" spans="1:8" hidden="1" x14ac:dyDescent="0.3">
      <c r="A28" s="851"/>
      <c r="B28" s="852" t="s">
        <v>750</v>
      </c>
      <c r="C28" s="853"/>
      <c r="D28" s="854">
        <v>180</v>
      </c>
      <c r="E28" s="855" t="s">
        <v>540</v>
      </c>
      <c r="F28" s="860"/>
      <c r="G28" s="857">
        <f>D28*F28</f>
        <v>0</v>
      </c>
      <c r="H28" s="850"/>
    </row>
    <row r="29" spans="1:8" hidden="1" x14ac:dyDescent="0.3">
      <c r="A29" s="861"/>
      <c r="B29" s="862"/>
      <c r="C29" s="863" t="s">
        <v>755</v>
      </c>
      <c r="D29" s="864">
        <v>1</v>
      </c>
      <c r="E29" s="865" t="s">
        <v>34</v>
      </c>
      <c r="F29" s="866" t="s">
        <v>6</v>
      </c>
      <c r="G29" s="867">
        <f>SUM(G25:G28)</f>
        <v>1685.9886199999999</v>
      </c>
      <c r="H29" s="868" t="s">
        <v>752</v>
      </c>
    </row>
    <row r="30" spans="1:8" hidden="1" x14ac:dyDescent="0.3">
      <c r="A30" s="869">
        <v>1.5</v>
      </c>
      <c r="B30" s="846" t="s">
        <v>754</v>
      </c>
      <c r="C30" s="847"/>
      <c r="D30" s="870"/>
      <c r="E30" s="870"/>
      <c r="F30" s="871"/>
      <c r="G30" s="872" t="s">
        <v>745</v>
      </c>
      <c r="H30" s="873"/>
    </row>
    <row r="31" spans="1:8" hidden="1" x14ac:dyDescent="0.3">
      <c r="A31" s="851"/>
      <c r="B31" s="852" t="s">
        <v>1348</v>
      </c>
      <c r="C31" s="853"/>
      <c r="D31" s="854">
        <v>342</v>
      </c>
      <c r="E31" s="855" t="s">
        <v>399</v>
      </c>
      <c r="F31" s="856">
        <v>3.25</v>
      </c>
      <c r="G31" s="857">
        <f>D31*F31</f>
        <v>1111.5</v>
      </c>
      <c r="H31" s="858" t="s">
        <v>745</v>
      </c>
    </row>
    <row r="32" spans="1:8" hidden="1" x14ac:dyDescent="0.3">
      <c r="A32" s="851"/>
      <c r="B32" s="852" t="s">
        <v>748</v>
      </c>
      <c r="C32" s="853"/>
      <c r="D32" s="859">
        <v>0.56999999999999995</v>
      </c>
      <c r="E32" s="855" t="s">
        <v>34</v>
      </c>
      <c r="F32" s="856">
        <v>287.5</v>
      </c>
      <c r="G32" s="857">
        <f>D32*F32</f>
        <v>163.875</v>
      </c>
      <c r="H32" s="850"/>
    </row>
    <row r="33" spans="1:8" hidden="1" x14ac:dyDescent="0.3">
      <c r="A33" s="851"/>
      <c r="B33" s="852" t="s">
        <v>749</v>
      </c>
      <c r="C33" s="853"/>
      <c r="D33" s="859">
        <v>1.0900000000000001</v>
      </c>
      <c r="E33" s="855" t="s">
        <v>34</v>
      </c>
      <c r="F33" s="856">
        <v>362.5</v>
      </c>
      <c r="G33" s="857">
        <f>D33*F33</f>
        <v>395.12500000000006</v>
      </c>
      <c r="H33" s="850"/>
    </row>
    <row r="34" spans="1:8" hidden="1" x14ac:dyDescent="0.3">
      <c r="A34" s="851"/>
      <c r="B34" s="852" t="s">
        <v>750</v>
      </c>
      <c r="C34" s="853"/>
      <c r="D34" s="854">
        <v>180</v>
      </c>
      <c r="E34" s="855" t="s">
        <v>540</v>
      </c>
      <c r="F34" s="860">
        <f>$F$10</f>
        <v>0</v>
      </c>
      <c r="G34" s="857">
        <f>D34*F34</f>
        <v>0</v>
      </c>
      <c r="H34" s="850"/>
    </row>
    <row r="35" spans="1:8" hidden="1" x14ac:dyDescent="0.3">
      <c r="A35" s="851"/>
      <c r="B35" s="875"/>
      <c r="C35" s="852" t="s">
        <v>755</v>
      </c>
      <c r="D35" s="854">
        <v>1</v>
      </c>
      <c r="E35" s="855" t="s">
        <v>34</v>
      </c>
      <c r="F35" s="876" t="s">
        <v>6</v>
      </c>
      <c r="G35" s="877">
        <f>SUM(G31:G34)</f>
        <v>1670.5</v>
      </c>
      <c r="H35" s="878" t="s">
        <v>752</v>
      </c>
    </row>
    <row r="36" spans="1:8" ht="19.5" hidden="1" thickBot="1" x14ac:dyDescent="0.35">
      <c r="A36" s="879"/>
      <c r="B36" s="880"/>
      <c r="C36" s="881" t="s">
        <v>745</v>
      </c>
      <c r="D36" s="882" t="s">
        <v>745</v>
      </c>
      <c r="E36" s="883" t="s">
        <v>745</v>
      </c>
      <c r="F36" s="884" t="s">
        <v>745</v>
      </c>
      <c r="G36" s="883" t="s">
        <v>745</v>
      </c>
      <c r="H36" s="885" t="s">
        <v>745</v>
      </c>
    </row>
    <row r="37" spans="1:8" hidden="1" x14ac:dyDescent="0.3">
      <c r="D37" s="886"/>
      <c r="G37" s="888" t="s">
        <v>756</v>
      </c>
      <c r="H37" s="888"/>
    </row>
    <row r="38" spans="1:8" ht="19.5" hidden="1" x14ac:dyDescent="0.3">
      <c r="A38" s="820" t="s">
        <v>757</v>
      </c>
      <c r="B38" s="820"/>
      <c r="C38" s="820"/>
      <c r="D38" s="820"/>
      <c r="E38" s="820"/>
      <c r="F38" s="820"/>
      <c r="G38" s="820"/>
      <c r="H38" s="820"/>
    </row>
    <row r="39" spans="1:8" ht="20.25" hidden="1" thickBot="1" x14ac:dyDescent="0.35">
      <c r="A39" s="889" t="s">
        <v>758</v>
      </c>
      <c r="B39" s="889"/>
      <c r="C39" s="889"/>
      <c r="D39" s="889"/>
      <c r="E39" s="889"/>
      <c r="F39" s="889"/>
      <c r="G39" s="889"/>
      <c r="H39" s="889"/>
    </row>
    <row r="40" spans="1:8" hidden="1" x14ac:dyDescent="0.3">
      <c r="A40" s="823" t="s">
        <v>424</v>
      </c>
      <c r="B40" s="824" t="s">
        <v>1</v>
      </c>
      <c r="C40" s="825"/>
      <c r="D40" s="826" t="s">
        <v>24</v>
      </c>
      <c r="E40" s="826" t="s">
        <v>25</v>
      </c>
      <c r="F40" s="827" t="s">
        <v>390</v>
      </c>
      <c r="G40" s="828" t="s">
        <v>743</v>
      </c>
      <c r="H40" s="829" t="s">
        <v>20</v>
      </c>
    </row>
    <row r="41" spans="1:8" hidden="1" x14ac:dyDescent="0.3">
      <c r="A41" s="830"/>
      <c r="B41" s="831"/>
      <c r="C41" s="832"/>
      <c r="D41" s="833"/>
      <c r="E41" s="833"/>
      <c r="F41" s="834" t="s">
        <v>31</v>
      </c>
      <c r="G41" s="835" t="s">
        <v>31</v>
      </c>
      <c r="H41" s="836"/>
    </row>
    <row r="42" spans="1:8" s="844" customFormat="1" ht="19.5" hidden="1" x14ac:dyDescent="0.3">
      <c r="A42" s="837">
        <v>2</v>
      </c>
      <c r="B42" s="838" t="s">
        <v>759</v>
      </c>
      <c r="C42" s="890"/>
      <c r="D42" s="840"/>
      <c r="E42" s="840"/>
      <c r="F42" s="841"/>
      <c r="G42" s="842" t="s">
        <v>745</v>
      </c>
      <c r="H42" s="843"/>
    </row>
    <row r="43" spans="1:8" hidden="1" x14ac:dyDescent="0.3">
      <c r="A43" s="869">
        <v>2.1</v>
      </c>
      <c r="B43" s="846" t="s">
        <v>1349</v>
      </c>
      <c r="C43" s="853"/>
      <c r="D43" s="870"/>
      <c r="E43" s="870"/>
      <c r="F43" s="871"/>
      <c r="G43" s="872" t="s">
        <v>745</v>
      </c>
      <c r="H43" s="873"/>
    </row>
    <row r="44" spans="1:8" hidden="1" x14ac:dyDescent="0.3">
      <c r="A44" s="851"/>
      <c r="B44" s="852" t="s">
        <v>1347</v>
      </c>
      <c r="C44" s="853"/>
      <c r="D44" s="854">
        <v>304</v>
      </c>
      <c r="E44" s="855" t="s">
        <v>399</v>
      </c>
      <c r="F44" s="874">
        <v>2.4672900000000002</v>
      </c>
      <c r="G44" s="857">
        <f>D44*F44</f>
        <v>750.05616000000009</v>
      </c>
      <c r="H44" s="858" t="s">
        <v>753</v>
      </c>
    </row>
    <row r="45" spans="1:8" hidden="1" x14ac:dyDescent="0.3">
      <c r="A45" s="851"/>
      <c r="B45" s="852" t="s">
        <v>748</v>
      </c>
      <c r="C45" s="853"/>
      <c r="D45" s="859">
        <v>0.43</v>
      </c>
      <c r="E45" s="855" t="s">
        <v>34</v>
      </c>
      <c r="F45" s="856">
        <v>545.16999999999996</v>
      </c>
      <c r="G45" s="857">
        <f>D45*F45</f>
        <v>234.42309999999998</v>
      </c>
      <c r="H45" s="850"/>
    </row>
    <row r="46" spans="1:8" hidden="1" x14ac:dyDescent="0.3">
      <c r="A46" s="851"/>
      <c r="B46" s="852" t="s">
        <v>749</v>
      </c>
      <c r="C46" s="853"/>
      <c r="D46" s="859">
        <v>0.99</v>
      </c>
      <c r="E46" s="855" t="s">
        <v>34</v>
      </c>
      <c r="F46" s="856">
        <v>638.63</v>
      </c>
      <c r="G46" s="857">
        <f>D46*F46</f>
        <v>632.24369999999999</v>
      </c>
      <c r="H46" s="850"/>
    </row>
    <row r="47" spans="1:8" hidden="1" x14ac:dyDescent="0.3">
      <c r="A47" s="851"/>
      <c r="B47" s="852" t="s">
        <v>750</v>
      </c>
      <c r="C47" s="853"/>
      <c r="D47" s="854">
        <v>180</v>
      </c>
      <c r="E47" s="855" t="s">
        <v>540</v>
      </c>
      <c r="F47" s="860">
        <f>$F$10</f>
        <v>0</v>
      </c>
      <c r="G47" s="857">
        <f>D47*F47</f>
        <v>0</v>
      </c>
      <c r="H47" s="850"/>
    </row>
    <row r="48" spans="1:8" hidden="1" x14ac:dyDescent="0.3">
      <c r="A48" s="861"/>
      <c r="B48" s="862"/>
      <c r="C48" s="863" t="s">
        <v>760</v>
      </c>
      <c r="D48" s="864">
        <v>1</v>
      </c>
      <c r="E48" s="865" t="s">
        <v>34</v>
      </c>
      <c r="F48" s="866" t="s">
        <v>6</v>
      </c>
      <c r="G48" s="867">
        <f>SUM(G44:G47)</f>
        <v>1616.7229600000001</v>
      </c>
      <c r="H48" s="868" t="s">
        <v>752</v>
      </c>
    </row>
    <row r="49" spans="1:8" hidden="1" x14ac:dyDescent="0.3">
      <c r="A49" s="869">
        <v>2.2000000000000002</v>
      </c>
      <c r="B49" s="846" t="s">
        <v>1350</v>
      </c>
      <c r="C49" s="853"/>
      <c r="D49" s="870"/>
      <c r="E49" s="870"/>
      <c r="F49" s="871"/>
      <c r="G49" s="872" t="s">
        <v>745</v>
      </c>
      <c r="H49" s="873"/>
    </row>
    <row r="50" spans="1:8" hidden="1" x14ac:dyDescent="0.3">
      <c r="A50" s="851"/>
      <c r="B50" s="852" t="s">
        <v>1347</v>
      </c>
      <c r="C50" s="853"/>
      <c r="D50" s="854">
        <v>336</v>
      </c>
      <c r="E50" s="855" t="s">
        <v>399</v>
      </c>
      <c r="F50" s="874">
        <v>2.4672900000000002</v>
      </c>
      <c r="G50" s="857">
        <f>D50*F50</f>
        <v>829.00944000000004</v>
      </c>
      <c r="H50" s="858" t="s">
        <v>753</v>
      </c>
    </row>
    <row r="51" spans="1:8" hidden="1" x14ac:dyDescent="0.3">
      <c r="A51" s="851"/>
      <c r="B51" s="852" t="s">
        <v>748</v>
      </c>
      <c r="C51" s="853"/>
      <c r="D51" s="859">
        <v>0.6</v>
      </c>
      <c r="E51" s="855" t="s">
        <v>34</v>
      </c>
      <c r="F51" s="856">
        <v>545.16999999999996</v>
      </c>
      <c r="G51" s="857">
        <f>D51*F51</f>
        <v>327.10199999999998</v>
      </c>
      <c r="H51" s="850"/>
    </row>
    <row r="52" spans="1:8" hidden="1" x14ac:dyDescent="0.3">
      <c r="A52" s="851"/>
      <c r="B52" s="852" t="s">
        <v>749</v>
      </c>
      <c r="C52" s="853"/>
      <c r="D52" s="859">
        <v>1.0900000000000001</v>
      </c>
      <c r="E52" s="855" t="s">
        <v>34</v>
      </c>
      <c r="F52" s="856">
        <v>638.63</v>
      </c>
      <c r="G52" s="857">
        <f>D52*F52</f>
        <v>696.10670000000005</v>
      </c>
      <c r="H52" s="850"/>
    </row>
    <row r="53" spans="1:8" hidden="1" x14ac:dyDescent="0.3">
      <c r="A53" s="851"/>
      <c r="B53" s="852" t="s">
        <v>750</v>
      </c>
      <c r="C53" s="853"/>
      <c r="D53" s="854">
        <v>180</v>
      </c>
      <c r="E53" s="855" t="s">
        <v>540</v>
      </c>
      <c r="F53" s="860">
        <f>$F$10</f>
        <v>0</v>
      </c>
      <c r="G53" s="857">
        <f>D53*F53</f>
        <v>0</v>
      </c>
      <c r="H53" s="850"/>
    </row>
    <row r="54" spans="1:8" hidden="1" x14ac:dyDescent="0.3">
      <c r="A54" s="861"/>
      <c r="B54" s="862"/>
      <c r="C54" s="863" t="s">
        <v>761</v>
      </c>
      <c r="D54" s="864">
        <v>1</v>
      </c>
      <c r="E54" s="865" t="s">
        <v>34</v>
      </c>
      <c r="F54" s="866" t="s">
        <v>6</v>
      </c>
      <c r="G54" s="867">
        <f>SUM(G50:G53)</f>
        <v>1852.2181400000002</v>
      </c>
      <c r="H54" s="868" t="s">
        <v>752</v>
      </c>
    </row>
    <row r="55" spans="1:8" hidden="1" x14ac:dyDescent="0.3">
      <c r="A55" s="869">
        <v>2.2999999999999998</v>
      </c>
      <c r="B55" s="846" t="s">
        <v>1351</v>
      </c>
      <c r="C55" s="853"/>
      <c r="D55" s="870"/>
      <c r="E55" s="870"/>
      <c r="F55" s="871"/>
      <c r="G55" s="872" t="s">
        <v>745</v>
      </c>
      <c r="H55" s="873"/>
    </row>
    <row r="56" spans="1:8" hidden="1" x14ac:dyDescent="0.3">
      <c r="A56" s="851"/>
      <c r="B56" s="852" t="s">
        <v>1347</v>
      </c>
      <c r="C56" s="853"/>
      <c r="D56" s="854">
        <v>367</v>
      </c>
      <c r="E56" s="855" t="s">
        <v>399</v>
      </c>
      <c r="F56" s="856">
        <v>2.42</v>
      </c>
      <c r="G56" s="857">
        <f>D56*F56</f>
        <v>888.14</v>
      </c>
      <c r="H56" s="858" t="s">
        <v>753</v>
      </c>
    </row>
    <row r="57" spans="1:8" hidden="1" x14ac:dyDescent="0.3">
      <c r="A57" s="851"/>
      <c r="B57" s="852" t="s">
        <v>748</v>
      </c>
      <c r="C57" s="853"/>
      <c r="D57" s="859">
        <v>0.66</v>
      </c>
      <c r="E57" s="855" t="s">
        <v>34</v>
      </c>
      <c r="F57" s="856">
        <v>287.5</v>
      </c>
      <c r="G57" s="857">
        <f>D57*F57</f>
        <v>189.75</v>
      </c>
      <c r="H57" s="850"/>
    </row>
    <row r="58" spans="1:8" hidden="1" x14ac:dyDescent="0.3">
      <c r="A58" s="851"/>
      <c r="B58" s="852" t="s">
        <v>749</v>
      </c>
      <c r="C58" s="853"/>
      <c r="D58" s="859">
        <v>0.92</v>
      </c>
      <c r="E58" s="855" t="s">
        <v>34</v>
      </c>
      <c r="F58" s="856">
        <v>362.5</v>
      </c>
      <c r="G58" s="857">
        <f>D58*F58</f>
        <v>333.5</v>
      </c>
      <c r="H58" s="850"/>
    </row>
    <row r="59" spans="1:8" hidden="1" x14ac:dyDescent="0.3">
      <c r="A59" s="851"/>
      <c r="B59" s="852" t="s">
        <v>750</v>
      </c>
      <c r="C59" s="853"/>
      <c r="D59" s="854">
        <v>180</v>
      </c>
      <c r="E59" s="855" t="s">
        <v>540</v>
      </c>
      <c r="F59" s="860">
        <f>$F$10</f>
        <v>0</v>
      </c>
      <c r="G59" s="857">
        <f>D59*F59</f>
        <v>0</v>
      </c>
      <c r="H59" s="850"/>
    </row>
    <row r="60" spans="1:8" hidden="1" x14ac:dyDescent="0.3">
      <c r="A60" s="861"/>
      <c r="B60" s="862"/>
      <c r="C60" s="863" t="s">
        <v>762</v>
      </c>
      <c r="D60" s="864">
        <v>1</v>
      </c>
      <c r="E60" s="865" t="s">
        <v>34</v>
      </c>
      <c r="F60" s="866" t="s">
        <v>6</v>
      </c>
      <c r="G60" s="867">
        <f>SUM(G56:G59)</f>
        <v>1411.3899999999999</v>
      </c>
      <c r="H60" s="868" t="s">
        <v>752</v>
      </c>
    </row>
    <row r="61" spans="1:8" hidden="1" x14ac:dyDescent="0.3">
      <c r="A61" s="869">
        <v>2.4</v>
      </c>
      <c r="B61" s="846" t="s">
        <v>1352</v>
      </c>
      <c r="C61" s="853"/>
      <c r="D61" s="870"/>
      <c r="E61" s="870"/>
      <c r="F61" s="871"/>
      <c r="G61" s="872" t="s">
        <v>745</v>
      </c>
      <c r="H61" s="873"/>
    </row>
    <row r="62" spans="1:8" hidden="1" x14ac:dyDescent="0.3">
      <c r="A62" s="851"/>
      <c r="B62" s="852" t="s">
        <v>1347</v>
      </c>
      <c r="C62" s="853"/>
      <c r="D62" s="854">
        <v>419</v>
      </c>
      <c r="E62" s="855" t="s">
        <v>399</v>
      </c>
      <c r="F62" s="856">
        <v>2.42</v>
      </c>
      <c r="G62" s="857">
        <f>D62*F62</f>
        <v>1013.98</v>
      </c>
      <c r="H62" s="858" t="s">
        <v>753</v>
      </c>
    </row>
    <row r="63" spans="1:8" hidden="1" x14ac:dyDescent="0.3">
      <c r="A63" s="851"/>
      <c r="B63" s="852" t="s">
        <v>748</v>
      </c>
      <c r="C63" s="853"/>
      <c r="D63" s="859">
        <v>0.5</v>
      </c>
      <c r="E63" s="855" t="s">
        <v>34</v>
      </c>
      <c r="F63" s="856">
        <v>287.5</v>
      </c>
      <c r="G63" s="857">
        <f>D63*F63</f>
        <v>143.75</v>
      </c>
      <c r="H63" s="850"/>
    </row>
    <row r="64" spans="1:8" hidden="1" x14ac:dyDescent="0.3">
      <c r="A64" s="851"/>
      <c r="B64" s="852" t="s">
        <v>749</v>
      </c>
      <c r="C64" s="853"/>
      <c r="D64" s="859">
        <v>0.97</v>
      </c>
      <c r="E64" s="855" t="s">
        <v>34</v>
      </c>
      <c r="F64" s="856">
        <v>362.5</v>
      </c>
      <c r="G64" s="857">
        <f>D64*F64</f>
        <v>351.625</v>
      </c>
      <c r="H64" s="850"/>
    </row>
    <row r="65" spans="1:8" hidden="1" x14ac:dyDescent="0.3">
      <c r="A65" s="851"/>
      <c r="B65" s="852" t="s">
        <v>750</v>
      </c>
      <c r="C65" s="853"/>
      <c r="D65" s="854">
        <v>180</v>
      </c>
      <c r="E65" s="855" t="s">
        <v>540</v>
      </c>
      <c r="F65" s="860">
        <f>$F$10</f>
        <v>0</v>
      </c>
      <c r="G65" s="857">
        <f>D65*F65</f>
        <v>0</v>
      </c>
      <c r="H65" s="850"/>
    </row>
    <row r="66" spans="1:8" hidden="1" x14ac:dyDescent="0.3">
      <c r="A66" s="861"/>
      <c r="B66" s="862"/>
      <c r="C66" s="863" t="s">
        <v>763</v>
      </c>
      <c r="D66" s="864">
        <v>1</v>
      </c>
      <c r="E66" s="865" t="s">
        <v>34</v>
      </c>
      <c r="F66" s="866" t="s">
        <v>6</v>
      </c>
      <c r="G66" s="867">
        <f>SUM(G62:G65)</f>
        <v>1509.355</v>
      </c>
      <c r="H66" s="868" t="s">
        <v>752</v>
      </c>
    </row>
    <row r="67" spans="1:8" hidden="1" x14ac:dyDescent="0.3">
      <c r="A67" s="869">
        <v>2.5</v>
      </c>
      <c r="B67" s="846" t="s">
        <v>1350</v>
      </c>
      <c r="C67" s="853"/>
      <c r="D67" s="870"/>
      <c r="E67" s="870"/>
      <c r="F67" s="871"/>
      <c r="G67" s="872" t="s">
        <v>745</v>
      </c>
      <c r="H67" s="873"/>
    </row>
    <row r="68" spans="1:8" hidden="1" x14ac:dyDescent="0.3">
      <c r="A68" s="851"/>
      <c r="B68" s="852" t="s">
        <v>1348</v>
      </c>
      <c r="C68" s="853"/>
      <c r="D68" s="854">
        <v>336</v>
      </c>
      <c r="E68" s="855" t="s">
        <v>399</v>
      </c>
      <c r="F68" s="856">
        <v>3.25</v>
      </c>
      <c r="G68" s="857">
        <f>D68*F68</f>
        <v>1092</v>
      </c>
      <c r="H68" s="858" t="s">
        <v>745</v>
      </c>
    </row>
    <row r="69" spans="1:8" hidden="1" x14ac:dyDescent="0.3">
      <c r="A69" s="851"/>
      <c r="B69" s="852" t="s">
        <v>748</v>
      </c>
      <c r="C69" s="853"/>
      <c r="D69" s="859">
        <v>0.6</v>
      </c>
      <c r="E69" s="855" t="s">
        <v>34</v>
      </c>
      <c r="F69" s="856">
        <v>287.5</v>
      </c>
      <c r="G69" s="857">
        <f>D69*F69</f>
        <v>172.5</v>
      </c>
      <c r="H69" s="850"/>
    </row>
    <row r="70" spans="1:8" hidden="1" x14ac:dyDescent="0.3">
      <c r="A70" s="851"/>
      <c r="B70" s="852" t="s">
        <v>749</v>
      </c>
      <c r="C70" s="853"/>
      <c r="D70" s="859">
        <v>1.0900000000000001</v>
      </c>
      <c r="E70" s="855" t="s">
        <v>34</v>
      </c>
      <c r="F70" s="856">
        <v>362.5</v>
      </c>
      <c r="G70" s="857">
        <f>D70*F70</f>
        <v>395.12500000000006</v>
      </c>
      <c r="H70" s="850"/>
    </row>
    <row r="71" spans="1:8" hidden="1" x14ac:dyDescent="0.3">
      <c r="A71" s="851"/>
      <c r="B71" s="852" t="s">
        <v>750</v>
      </c>
      <c r="C71" s="853"/>
      <c r="D71" s="854">
        <v>180</v>
      </c>
      <c r="E71" s="855" t="s">
        <v>540</v>
      </c>
      <c r="F71" s="860">
        <f>$F$10</f>
        <v>0</v>
      </c>
      <c r="G71" s="857">
        <f>D71*F71</f>
        <v>0</v>
      </c>
      <c r="H71" s="850"/>
    </row>
    <row r="72" spans="1:8" hidden="1" x14ac:dyDescent="0.3">
      <c r="A72" s="851"/>
      <c r="B72" s="875"/>
      <c r="C72" s="852" t="s">
        <v>761</v>
      </c>
      <c r="D72" s="854">
        <v>1</v>
      </c>
      <c r="E72" s="855" t="s">
        <v>34</v>
      </c>
      <c r="F72" s="876" t="s">
        <v>6</v>
      </c>
      <c r="G72" s="877">
        <f>SUM(G68:G71)</f>
        <v>1659.625</v>
      </c>
      <c r="H72" s="878" t="s">
        <v>752</v>
      </c>
    </row>
    <row r="73" spans="1:8" ht="19.5" hidden="1" thickBot="1" x14ac:dyDescent="0.35">
      <c r="A73" s="879"/>
      <c r="B73" s="880"/>
      <c r="C73" s="881"/>
      <c r="D73" s="883"/>
      <c r="E73" s="883"/>
      <c r="F73" s="884"/>
      <c r="G73" s="891" t="s">
        <v>745</v>
      </c>
      <c r="H73" s="885"/>
    </row>
    <row r="74" spans="1:8" hidden="1" x14ac:dyDescent="0.3">
      <c r="G74" s="888" t="str">
        <f>$G$37</f>
        <v xml:space="preserve"> เมษายน 2549</v>
      </c>
      <c r="H74" s="888"/>
    </row>
    <row r="75" spans="1:8" ht="19.5" hidden="1" x14ac:dyDescent="0.3">
      <c r="A75" s="892" t="s">
        <v>764</v>
      </c>
      <c r="B75" s="892"/>
      <c r="C75" s="892"/>
      <c r="D75" s="892"/>
      <c r="E75" s="892"/>
      <c r="F75" s="892"/>
      <c r="G75" s="892"/>
      <c r="H75" s="892"/>
    </row>
    <row r="76" spans="1:8" ht="20.25" hidden="1" thickBot="1" x14ac:dyDescent="0.35">
      <c r="A76" s="889" t="s">
        <v>758</v>
      </c>
      <c r="B76" s="889"/>
      <c r="C76" s="889"/>
      <c r="D76" s="889"/>
      <c r="E76" s="889"/>
      <c r="F76" s="889"/>
      <c r="G76" s="889"/>
      <c r="H76" s="889"/>
    </row>
    <row r="77" spans="1:8" hidden="1" x14ac:dyDescent="0.3">
      <c r="A77" s="823" t="s">
        <v>424</v>
      </c>
      <c r="B77" s="824" t="s">
        <v>1</v>
      </c>
      <c r="C77" s="825"/>
      <c r="D77" s="826" t="s">
        <v>24</v>
      </c>
      <c r="E77" s="826" t="s">
        <v>25</v>
      </c>
      <c r="F77" s="827" t="s">
        <v>390</v>
      </c>
      <c r="G77" s="828" t="s">
        <v>743</v>
      </c>
      <c r="H77" s="829" t="s">
        <v>20</v>
      </c>
    </row>
    <row r="78" spans="1:8" hidden="1" x14ac:dyDescent="0.3">
      <c r="A78" s="830"/>
      <c r="B78" s="831"/>
      <c r="C78" s="832"/>
      <c r="D78" s="833"/>
      <c r="E78" s="833"/>
      <c r="F78" s="834" t="s">
        <v>31</v>
      </c>
      <c r="G78" s="835" t="s">
        <v>31</v>
      </c>
      <c r="H78" s="836"/>
    </row>
    <row r="79" spans="1:8" s="844" customFormat="1" ht="19.5" hidden="1" x14ac:dyDescent="0.3">
      <c r="A79" s="837">
        <v>3</v>
      </c>
      <c r="B79" s="838" t="s">
        <v>765</v>
      </c>
      <c r="C79" s="890"/>
      <c r="D79" s="840"/>
      <c r="E79" s="840"/>
      <c r="F79" s="841"/>
      <c r="G79" s="842" t="s">
        <v>745</v>
      </c>
      <c r="H79" s="893" t="s">
        <v>766</v>
      </c>
    </row>
    <row r="80" spans="1:8" hidden="1" x14ac:dyDescent="0.3">
      <c r="A80" s="869">
        <v>3.1</v>
      </c>
      <c r="B80" s="894" t="s">
        <v>767</v>
      </c>
      <c r="C80" s="852"/>
      <c r="D80" s="870"/>
      <c r="E80" s="870"/>
      <c r="F80" s="871"/>
      <c r="G80" s="872" t="s">
        <v>745</v>
      </c>
      <c r="H80" s="895" t="s">
        <v>768</v>
      </c>
    </row>
    <row r="81" spans="1:8" hidden="1" x14ac:dyDescent="0.3">
      <c r="A81" s="851"/>
      <c r="B81" s="896" t="s">
        <v>769</v>
      </c>
      <c r="C81" s="852"/>
      <c r="D81" s="897">
        <v>1</v>
      </c>
      <c r="E81" s="898" t="s">
        <v>34</v>
      </c>
      <c r="F81" s="876" t="s">
        <v>6</v>
      </c>
      <c r="G81" s="899">
        <v>2100</v>
      </c>
      <c r="H81" s="900" t="s">
        <v>770</v>
      </c>
    </row>
    <row r="82" spans="1:8" hidden="1" x14ac:dyDescent="0.3">
      <c r="A82" s="851"/>
      <c r="B82" s="896" t="s">
        <v>771</v>
      </c>
      <c r="C82" s="852"/>
      <c r="D82" s="897">
        <v>1</v>
      </c>
      <c r="E82" s="898" t="s">
        <v>34</v>
      </c>
      <c r="F82" s="876" t="s">
        <v>6</v>
      </c>
      <c r="G82" s="899">
        <v>2140</v>
      </c>
      <c r="H82" s="901" t="s">
        <v>772</v>
      </c>
    </row>
    <row r="83" spans="1:8" hidden="1" x14ac:dyDescent="0.3">
      <c r="A83" s="851"/>
      <c r="B83" s="896" t="s">
        <v>773</v>
      </c>
      <c r="C83" s="852"/>
      <c r="D83" s="897">
        <v>1</v>
      </c>
      <c r="E83" s="898" t="s">
        <v>34</v>
      </c>
      <c r="F83" s="876" t="s">
        <v>6</v>
      </c>
      <c r="G83" s="899">
        <v>2180</v>
      </c>
      <c r="H83" s="901" t="s">
        <v>774</v>
      </c>
    </row>
    <row r="84" spans="1:8" hidden="1" x14ac:dyDescent="0.3">
      <c r="A84" s="851"/>
      <c r="B84" s="896" t="s">
        <v>775</v>
      </c>
      <c r="C84" s="852"/>
      <c r="D84" s="897">
        <v>1</v>
      </c>
      <c r="E84" s="898" t="s">
        <v>34</v>
      </c>
      <c r="F84" s="876" t="s">
        <v>6</v>
      </c>
      <c r="G84" s="899">
        <v>2220</v>
      </c>
      <c r="H84" s="901" t="s">
        <v>774</v>
      </c>
    </row>
    <row r="85" spans="1:8" hidden="1" x14ac:dyDescent="0.3">
      <c r="A85" s="851"/>
      <c r="B85" s="896" t="s">
        <v>776</v>
      </c>
      <c r="C85" s="852"/>
      <c r="D85" s="897">
        <v>1</v>
      </c>
      <c r="E85" s="898" t="s">
        <v>34</v>
      </c>
      <c r="F85" s="876" t="s">
        <v>6</v>
      </c>
      <c r="G85" s="899">
        <v>2300</v>
      </c>
      <c r="H85" s="901" t="s">
        <v>774</v>
      </c>
    </row>
    <row r="86" spans="1:8" hidden="1" x14ac:dyDescent="0.3">
      <c r="A86" s="851"/>
      <c r="B86" s="896" t="s">
        <v>777</v>
      </c>
      <c r="C86" s="852"/>
      <c r="D86" s="897">
        <v>1</v>
      </c>
      <c r="E86" s="898" t="s">
        <v>34</v>
      </c>
      <c r="F86" s="876" t="s">
        <v>6</v>
      </c>
      <c r="G86" s="899">
        <v>2350</v>
      </c>
      <c r="H86" s="901" t="s">
        <v>774</v>
      </c>
    </row>
    <row r="87" spans="1:8" hidden="1" x14ac:dyDescent="0.3">
      <c r="A87" s="851"/>
      <c r="B87" s="896" t="s">
        <v>778</v>
      </c>
      <c r="C87" s="852"/>
      <c r="D87" s="897">
        <v>1</v>
      </c>
      <c r="E87" s="898" t="s">
        <v>34</v>
      </c>
      <c r="F87" s="876" t="s">
        <v>6</v>
      </c>
      <c r="G87" s="899">
        <v>2410</v>
      </c>
      <c r="H87" s="901" t="s">
        <v>774</v>
      </c>
    </row>
    <row r="88" spans="1:8" hidden="1" x14ac:dyDescent="0.3">
      <c r="A88" s="861"/>
      <c r="B88" s="902" t="s">
        <v>779</v>
      </c>
      <c r="C88" s="863"/>
      <c r="D88" s="903">
        <v>1</v>
      </c>
      <c r="E88" s="904" t="s">
        <v>34</v>
      </c>
      <c r="F88" s="866" t="s">
        <v>6</v>
      </c>
      <c r="G88" s="899">
        <v>2480</v>
      </c>
      <c r="H88" s="905" t="s">
        <v>774</v>
      </c>
    </row>
    <row r="89" spans="1:8" s="844" customFormat="1" ht="19.5" hidden="1" x14ac:dyDescent="0.3">
      <c r="A89" s="837">
        <v>4</v>
      </c>
      <c r="B89" s="838" t="s">
        <v>780</v>
      </c>
      <c r="C89" s="890"/>
      <c r="D89" s="906"/>
      <c r="E89" s="907"/>
      <c r="F89" s="908"/>
      <c r="G89" s="842"/>
      <c r="H89" s="909"/>
    </row>
    <row r="90" spans="1:8" hidden="1" x14ac:dyDescent="0.3">
      <c r="A90" s="869">
        <v>4.0999999999999996</v>
      </c>
      <c r="B90" s="894" t="s">
        <v>1353</v>
      </c>
      <c r="C90" s="852"/>
      <c r="D90" s="897"/>
      <c r="E90" s="898"/>
      <c r="F90" s="876"/>
      <c r="G90" s="849"/>
      <c r="H90" s="910"/>
    </row>
    <row r="91" spans="1:8" hidden="1" x14ac:dyDescent="0.3">
      <c r="A91" s="851"/>
      <c r="B91" s="852" t="s">
        <v>1347</v>
      </c>
      <c r="C91" s="853"/>
      <c r="D91" s="854">
        <v>17</v>
      </c>
      <c r="E91" s="855" t="s">
        <v>399</v>
      </c>
      <c r="F91" s="856">
        <v>3.0459999999999998</v>
      </c>
      <c r="G91" s="857">
        <f>D91*F91</f>
        <v>51.781999999999996</v>
      </c>
      <c r="H91" s="858" t="s">
        <v>753</v>
      </c>
    </row>
    <row r="92" spans="1:8" hidden="1" x14ac:dyDescent="0.3">
      <c r="A92" s="851"/>
      <c r="B92" s="852" t="s">
        <v>748</v>
      </c>
      <c r="C92" s="853"/>
      <c r="D92" s="859">
        <v>0.04</v>
      </c>
      <c r="E92" s="855" t="s">
        <v>34</v>
      </c>
      <c r="F92" s="856">
        <v>543.62</v>
      </c>
      <c r="G92" s="857">
        <f>D92*F92</f>
        <v>21.744800000000001</v>
      </c>
      <c r="H92" s="910"/>
    </row>
    <row r="93" spans="1:8" hidden="1" x14ac:dyDescent="0.3">
      <c r="A93" s="851"/>
      <c r="B93" s="852" t="s">
        <v>749</v>
      </c>
      <c r="C93" s="853"/>
      <c r="D93" s="859">
        <v>0.05</v>
      </c>
      <c r="E93" s="855" t="s">
        <v>34</v>
      </c>
      <c r="F93" s="856">
        <v>443.93</v>
      </c>
      <c r="G93" s="857">
        <f>D93*F93</f>
        <v>22.1965</v>
      </c>
      <c r="H93" s="910"/>
    </row>
    <row r="94" spans="1:8" hidden="1" x14ac:dyDescent="0.3">
      <c r="A94" s="851"/>
      <c r="B94" s="852" t="s">
        <v>750</v>
      </c>
      <c r="C94" s="853"/>
      <c r="D94" s="854">
        <v>10</v>
      </c>
      <c r="E94" s="855" t="s">
        <v>540</v>
      </c>
      <c r="F94" s="860">
        <f>$F$10</f>
        <v>0</v>
      </c>
      <c r="G94" s="857">
        <f>D94*F94</f>
        <v>0</v>
      </c>
      <c r="H94" s="910"/>
    </row>
    <row r="95" spans="1:8" hidden="1" x14ac:dyDescent="0.3">
      <c r="A95" s="861" t="s">
        <v>745</v>
      </c>
      <c r="B95" s="862" t="s">
        <v>745</v>
      </c>
      <c r="C95" s="863" t="s">
        <v>781</v>
      </c>
      <c r="D95" s="864">
        <v>1</v>
      </c>
      <c r="E95" s="865" t="s">
        <v>33</v>
      </c>
      <c r="F95" s="866" t="s">
        <v>6</v>
      </c>
      <c r="G95" s="911">
        <f>SUM(G91:G94)</f>
        <v>95.723299999999995</v>
      </c>
      <c r="H95" s="912" t="s">
        <v>745</v>
      </c>
    </row>
    <row r="96" spans="1:8" hidden="1" x14ac:dyDescent="0.3">
      <c r="A96" s="869">
        <v>4.2</v>
      </c>
      <c r="B96" s="894" t="s">
        <v>1354</v>
      </c>
      <c r="C96" s="852"/>
      <c r="D96" s="897"/>
      <c r="E96" s="898"/>
      <c r="F96" s="876"/>
      <c r="G96" s="849"/>
      <c r="H96" s="910"/>
    </row>
    <row r="97" spans="1:8" hidden="1" x14ac:dyDescent="0.3">
      <c r="A97" s="851"/>
      <c r="B97" s="852" t="s">
        <v>1347</v>
      </c>
      <c r="C97" s="853"/>
      <c r="D97" s="854">
        <v>17</v>
      </c>
      <c r="E97" s="855" t="s">
        <v>399</v>
      </c>
      <c r="F97" s="856">
        <v>2.42</v>
      </c>
      <c r="G97" s="857">
        <f t="shared" ref="G97:G102" si="0">D97*F97</f>
        <v>41.14</v>
      </c>
      <c r="H97" s="858" t="s">
        <v>753</v>
      </c>
    </row>
    <row r="98" spans="1:8" hidden="1" x14ac:dyDescent="0.3">
      <c r="A98" s="851"/>
      <c r="B98" s="852" t="s">
        <v>748</v>
      </c>
      <c r="C98" s="853"/>
      <c r="D98" s="859">
        <v>0.04</v>
      </c>
      <c r="E98" s="855" t="s">
        <v>34</v>
      </c>
      <c r="F98" s="856">
        <v>287.5</v>
      </c>
      <c r="G98" s="857">
        <f t="shared" si="0"/>
        <v>11.5</v>
      </c>
      <c r="H98" s="910"/>
    </row>
    <row r="99" spans="1:8" hidden="1" x14ac:dyDescent="0.3">
      <c r="A99" s="851"/>
      <c r="B99" s="852" t="s">
        <v>749</v>
      </c>
      <c r="C99" s="853"/>
      <c r="D99" s="859">
        <v>0.05</v>
      </c>
      <c r="E99" s="855" t="s">
        <v>34</v>
      </c>
      <c r="F99" s="856">
        <v>362.5</v>
      </c>
      <c r="G99" s="857">
        <f t="shared" si="0"/>
        <v>18.125</v>
      </c>
      <c r="H99" s="910"/>
    </row>
    <row r="100" spans="1:8" hidden="1" x14ac:dyDescent="0.3">
      <c r="A100" s="851"/>
      <c r="B100" s="852" t="s">
        <v>782</v>
      </c>
      <c r="C100" s="853"/>
      <c r="D100" s="859">
        <v>2.2200000000000002</v>
      </c>
      <c r="E100" s="855" t="s">
        <v>399</v>
      </c>
      <c r="F100" s="913">
        <v>22.88</v>
      </c>
      <c r="G100" s="857">
        <f t="shared" si="0"/>
        <v>50.793600000000005</v>
      </c>
      <c r="H100" s="910"/>
    </row>
    <row r="101" spans="1:8" hidden="1" x14ac:dyDescent="0.3">
      <c r="A101" s="851"/>
      <c r="B101" s="852" t="s">
        <v>783</v>
      </c>
      <c r="C101" s="853"/>
      <c r="D101" s="859">
        <v>7.0000000000000007E-2</v>
      </c>
      <c r="E101" s="855" t="s">
        <v>399</v>
      </c>
      <c r="F101" s="914">
        <v>16.149999999999999</v>
      </c>
      <c r="G101" s="857">
        <f t="shared" si="0"/>
        <v>1.1305000000000001</v>
      </c>
      <c r="H101" s="910"/>
    </row>
    <row r="102" spans="1:8" hidden="1" x14ac:dyDescent="0.3">
      <c r="A102" s="851"/>
      <c r="B102" s="852" t="s">
        <v>750</v>
      </c>
      <c r="C102" s="853"/>
      <c r="D102" s="854">
        <v>10</v>
      </c>
      <c r="E102" s="855" t="s">
        <v>540</v>
      </c>
      <c r="F102" s="860">
        <f>$F$10</f>
        <v>0</v>
      </c>
      <c r="G102" s="857">
        <f t="shared" si="0"/>
        <v>0</v>
      </c>
      <c r="H102" s="910"/>
    </row>
    <row r="103" spans="1:8" hidden="1" x14ac:dyDescent="0.3">
      <c r="A103" s="861" t="s">
        <v>745</v>
      </c>
      <c r="B103" s="862" t="s">
        <v>745</v>
      </c>
      <c r="C103" s="863" t="s">
        <v>784</v>
      </c>
      <c r="D103" s="864">
        <v>1</v>
      </c>
      <c r="E103" s="865" t="s">
        <v>33</v>
      </c>
      <c r="F103" s="866" t="s">
        <v>6</v>
      </c>
      <c r="G103" s="911">
        <f>SUM(G97:G102)</f>
        <v>122.68910000000001</v>
      </c>
      <c r="H103" s="912" t="s">
        <v>745</v>
      </c>
    </row>
    <row r="104" spans="1:8" hidden="1" x14ac:dyDescent="0.3">
      <c r="A104" s="869">
        <v>4.3</v>
      </c>
      <c r="B104" s="894" t="s">
        <v>1355</v>
      </c>
      <c r="C104" s="852"/>
      <c r="D104" s="897"/>
      <c r="E104" s="898"/>
      <c r="F104" s="876"/>
      <c r="G104" s="849"/>
      <c r="H104" s="910"/>
    </row>
    <row r="105" spans="1:8" hidden="1" x14ac:dyDescent="0.3">
      <c r="A105" s="851"/>
      <c r="B105" s="852" t="s">
        <v>1347</v>
      </c>
      <c r="C105" s="853"/>
      <c r="D105" s="854">
        <v>17</v>
      </c>
      <c r="E105" s="855" t="s">
        <v>399</v>
      </c>
      <c r="F105" s="856">
        <v>2.42</v>
      </c>
      <c r="G105" s="857">
        <f t="shared" ref="G105:G110" si="1">D105*F105</f>
        <v>41.14</v>
      </c>
      <c r="H105" s="858" t="s">
        <v>753</v>
      </c>
    </row>
    <row r="106" spans="1:8" hidden="1" x14ac:dyDescent="0.3">
      <c r="A106" s="851"/>
      <c r="B106" s="852" t="s">
        <v>748</v>
      </c>
      <c r="C106" s="853"/>
      <c r="D106" s="859">
        <v>0.04</v>
      </c>
      <c r="E106" s="855" t="s">
        <v>34</v>
      </c>
      <c r="F106" s="856">
        <v>287.5</v>
      </c>
      <c r="G106" s="857">
        <f t="shared" si="1"/>
        <v>11.5</v>
      </c>
      <c r="H106" s="910"/>
    </row>
    <row r="107" spans="1:8" hidden="1" x14ac:dyDescent="0.3">
      <c r="A107" s="851"/>
      <c r="B107" s="852" t="s">
        <v>749</v>
      </c>
      <c r="C107" s="853"/>
      <c r="D107" s="859">
        <v>0.05</v>
      </c>
      <c r="E107" s="855" t="s">
        <v>34</v>
      </c>
      <c r="F107" s="856">
        <v>362.5</v>
      </c>
      <c r="G107" s="857">
        <f t="shared" si="1"/>
        <v>18.125</v>
      </c>
      <c r="H107" s="910"/>
    </row>
    <row r="108" spans="1:8" hidden="1" x14ac:dyDescent="0.3">
      <c r="A108" s="851"/>
      <c r="B108" s="852" t="s">
        <v>785</v>
      </c>
      <c r="C108" s="853"/>
      <c r="D108" s="859">
        <v>4.99</v>
      </c>
      <c r="E108" s="855" t="s">
        <v>399</v>
      </c>
      <c r="F108" s="913">
        <v>21.98</v>
      </c>
      <c r="G108" s="857">
        <f t="shared" si="1"/>
        <v>109.68020000000001</v>
      </c>
      <c r="H108" s="910"/>
    </row>
    <row r="109" spans="1:8" hidden="1" x14ac:dyDescent="0.3">
      <c r="A109" s="851"/>
      <c r="B109" s="852" t="s">
        <v>783</v>
      </c>
      <c r="C109" s="853"/>
      <c r="D109" s="859">
        <v>7.0000000000000007E-2</v>
      </c>
      <c r="E109" s="855" t="s">
        <v>399</v>
      </c>
      <c r="F109" s="914">
        <v>16.149999999999999</v>
      </c>
      <c r="G109" s="857">
        <f t="shared" si="1"/>
        <v>1.1305000000000001</v>
      </c>
      <c r="H109" s="910"/>
    </row>
    <row r="110" spans="1:8" hidden="1" x14ac:dyDescent="0.3">
      <c r="A110" s="851"/>
      <c r="B110" s="852" t="s">
        <v>750</v>
      </c>
      <c r="C110" s="853"/>
      <c r="D110" s="854">
        <v>10</v>
      </c>
      <c r="E110" s="855" t="s">
        <v>540</v>
      </c>
      <c r="F110" s="860">
        <f>$F$10</f>
        <v>0</v>
      </c>
      <c r="G110" s="857">
        <f t="shared" si="1"/>
        <v>0</v>
      </c>
      <c r="H110" s="910"/>
    </row>
    <row r="111" spans="1:8" ht="19.5" hidden="1" thickBot="1" x14ac:dyDescent="0.35">
      <c r="A111" s="879" t="s">
        <v>745</v>
      </c>
      <c r="B111" s="880" t="s">
        <v>745</v>
      </c>
      <c r="C111" s="881" t="s">
        <v>784</v>
      </c>
      <c r="D111" s="882">
        <v>1</v>
      </c>
      <c r="E111" s="915" t="s">
        <v>33</v>
      </c>
      <c r="F111" s="916" t="s">
        <v>6</v>
      </c>
      <c r="G111" s="917">
        <f>SUM(G105:G110)</f>
        <v>181.57570000000001</v>
      </c>
      <c r="H111" s="885" t="s">
        <v>745</v>
      </c>
    </row>
    <row r="112" spans="1:8" hidden="1" x14ac:dyDescent="0.3">
      <c r="D112" s="886"/>
      <c r="E112" s="918"/>
      <c r="F112" s="919"/>
      <c r="G112" s="888" t="str">
        <f>$G$37</f>
        <v xml:space="preserve"> เมษายน 2549</v>
      </c>
      <c r="H112" s="888"/>
    </row>
    <row r="113" spans="1:8" ht="19.5" hidden="1" x14ac:dyDescent="0.3">
      <c r="A113" s="820" t="s">
        <v>786</v>
      </c>
      <c r="B113" s="820"/>
      <c r="C113" s="820"/>
      <c r="D113" s="820"/>
      <c r="E113" s="820"/>
      <c r="F113" s="820"/>
      <c r="G113" s="820"/>
      <c r="H113" s="820"/>
    </row>
    <row r="114" spans="1:8" s="844" customFormat="1" ht="20.25" hidden="1" thickBot="1" x14ac:dyDescent="0.35">
      <c r="A114" s="889" t="s">
        <v>758</v>
      </c>
      <c r="B114" s="889"/>
      <c r="C114" s="889"/>
      <c r="D114" s="889"/>
      <c r="E114" s="889"/>
      <c r="F114" s="889"/>
      <c r="G114" s="889"/>
      <c r="H114" s="889"/>
    </row>
    <row r="115" spans="1:8" hidden="1" x14ac:dyDescent="0.3">
      <c r="A115" s="823" t="s">
        <v>424</v>
      </c>
      <c r="B115" s="824" t="s">
        <v>1</v>
      </c>
      <c r="C115" s="825"/>
      <c r="D115" s="826" t="s">
        <v>24</v>
      </c>
      <c r="E115" s="826" t="s">
        <v>25</v>
      </c>
      <c r="F115" s="827" t="s">
        <v>390</v>
      </c>
      <c r="G115" s="828" t="s">
        <v>743</v>
      </c>
      <c r="H115" s="829" t="s">
        <v>20</v>
      </c>
    </row>
    <row r="116" spans="1:8" hidden="1" x14ac:dyDescent="0.3">
      <c r="A116" s="830"/>
      <c r="B116" s="831"/>
      <c r="C116" s="832"/>
      <c r="D116" s="833"/>
      <c r="E116" s="833"/>
      <c r="F116" s="834" t="s">
        <v>31</v>
      </c>
      <c r="G116" s="835" t="s">
        <v>31</v>
      </c>
      <c r="H116" s="836"/>
    </row>
    <row r="117" spans="1:8" s="844" customFormat="1" ht="19.5" hidden="1" x14ac:dyDescent="0.3">
      <c r="A117" s="837">
        <v>5</v>
      </c>
      <c r="B117" s="838" t="s">
        <v>787</v>
      </c>
      <c r="C117" s="890"/>
      <c r="D117" s="906"/>
      <c r="E117" s="907"/>
      <c r="F117" s="908"/>
      <c r="G117" s="842"/>
      <c r="H117" s="909"/>
    </row>
    <row r="118" spans="1:8" hidden="1" x14ac:dyDescent="0.3">
      <c r="A118" s="869">
        <v>5.0999999999999996</v>
      </c>
      <c r="B118" s="894" t="s">
        <v>1356</v>
      </c>
      <c r="C118" s="852"/>
      <c r="D118" s="897"/>
      <c r="E118" s="898"/>
      <c r="F118" s="876"/>
      <c r="G118" s="849"/>
      <c r="H118" s="910"/>
    </row>
    <row r="119" spans="1:8" hidden="1" x14ac:dyDescent="0.3">
      <c r="A119" s="851"/>
      <c r="B119" s="852" t="s">
        <v>788</v>
      </c>
      <c r="C119" s="853"/>
      <c r="D119" s="859">
        <v>3.36</v>
      </c>
      <c r="E119" s="855" t="s">
        <v>399</v>
      </c>
      <c r="F119" s="856">
        <v>2.33</v>
      </c>
      <c r="G119" s="857">
        <f t="shared" ref="G119:G126" si="2">D119*F119</f>
        <v>7.8288000000000002</v>
      </c>
      <c r="H119" s="858" t="s">
        <v>745</v>
      </c>
    </row>
    <row r="120" spans="1:8" hidden="1" x14ac:dyDescent="0.3">
      <c r="A120" s="851"/>
      <c r="B120" s="852" t="s">
        <v>748</v>
      </c>
      <c r="C120" s="853"/>
      <c r="D120" s="859">
        <v>0.01</v>
      </c>
      <c r="E120" s="855" t="s">
        <v>34</v>
      </c>
      <c r="F120" s="856">
        <v>487.54</v>
      </c>
      <c r="G120" s="857">
        <f t="shared" si="2"/>
        <v>4.8754</v>
      </c>
      <c r="H120" s="910"/>
    </row>
    <row r="121" spans="1:8" hidden="1" x14ac:dyDescent="0.3">
      <c r="A121" s="851"/>
      <c r="B121" s="852" t="s">
        <v>749</v>
      </c>
      <c r="C121" s="853"/>
      <c r="D121" s="859">
        <v>0.02</v>
      </c>
      <c r="E121" s="855" t="s">
        <v>34</v>
      </c>
      <c r="F121" s="856">
        <v>420.56</v>
      </c>
      <c r="G121" s="857">
        <f t="shared" si="2"/>
        <v>8.4112000000000009</v>
      </c>
      <c r="H121" s="910"/>
    </row>
    <row r="122" spans="1:8" hidden="1" x14ac:dyDescent="0.3">
      <c r="A122" s="851"/>
      <c r="B122" s="852" t="s">
        <v>750</v>
      </c>
      <c r="C122" s="853"/>
      <c r="D122" s="859">
        <v>1.8</v>
      </c>
      <c r="E122" s="855" t="s">
        <v>540</v>
      </c>
      <c r="F122" s="860"/>
      <c r="G122" s="857">
        <f t="shared" si="2"/>
        <v>0</v>
      </c>
      <c r="H122" s="910"/>
    </row>
    <row r="123" spans="1:8" hidden="1" x14ac:dyDescent="0.3">
      <c r="A123" s="851"/>
      <c r="B123" s="852" t="s">
        <v>789</v>
      </c>
      <c r="C123" s="853"/>
      <c r="D123" s="859">
        <v>0.25</v>
      </c>
      <c r="E123" s="855" t="s">
        <v>33</v>
      </c>
      <c r="F123" s="920"/>
      <c r="G123" s="857">
        <f t="shared" si="2"/>
        <v>0</v>
      </c>
      <c r="H123" s="910"/>
    </row>
    <row r="124" spans="1:8" hidden="1" x14ac:dyDescent="0.3">
      <c r="A124" s="851"/>
      <c r="B124" s="852" t="s">
        <v>782</v>
      </c>
      <c r="C124" s="853"/>
      <c r="D124" s="859">
        <v>0.56000000000000005</v>
      </c>
      <c r="E124" s="855" t="s">
        <v>399</v>
      </c>
      <c r="F124" s="913">
        <v>41.58</v>
      </c>
      <c r="G124" s="857">
        <f t="shared" si="2"/>
        <v>23.284800000000001</v>
      </c>
      <c r="H124" s="910"/>
    </row>
    <row r="125" spans="1:8" hidden="1" x14ac:dyDescent="0.3">
      <c r="A125" s="851"/>
      <c r="B125" s="852" t="s">
        <v>785</v>
      </c>
      <c r="C125" s="853"/>
      <c r="D125" s="859">
        <v>2</v>
      </c>
      <c r="E125" s="855" t="s">
        <v>399</v>
      </c>
      <c r="F125" s="913">
        <v>42.11</v>
      </c>
      <c r="G125" s="857">
        <f t="shared" si="2"/>
        <v>84.22</v>
      </c>
      <c r="H125" s="910"/>
    </row>
    <row r="126" spans="1:8" hidden="1" x14ac:dyDescent="0.3">
      <c r="A126" s="851"/>
      <c r="B126" s="852" t="s">
        <v>783</v>
      </c>
      <c r="C126" s="853"/>
      <c r="D126" s="859">
        <v>7.0000000000000007E-2</v>
      </c>
      <c r="E126" s="855" t="s">
        <v>399</v>
      </c>
      <c r="F126" s="914">
        <v>51.71</v>
      </c>
      <c r="G126" s="857">
        <f t="shared" si="2"/>
        <v>3.6197000000000004</v>
      </c>
      <c r="H126" s="910"/>
    </row>
    <row r="127" spans="1:8" hidden="1" x14ac:dyDescent="0.3">
      <c r="A127" s="861" t="s">
        <v>745</v>
      </c>
      <c r="B127" s="862" t="s">
        <v>745</v>
      </c>
      <c r="C127" s="863" t="s">
        <v>790</v>
      </c>
      <c r="D127" s="864">
        <v>1</v>
      </c>
      <c r="E127" s="865" t="s">
        <v>53</v>
      </c>
      <c r="F127" s="866" t="s">
        <v>6</v>
      </c>
      <c r="G127" s="911">
        <f>SUM(G119:G126)</f>
        <v>132.23990000000001</v>
      </c>
      <c r="H127" s="878" t="s">
        <v>752</v>
      </c>
    </row>
    <row r="128" spans="1:8" s="844" customFormat="1" ht="19.5" hidden="1" x14ac:dyDescent="0.3">
      <c r="A128" s="837">
        <v>6</v>
      </c>
      <c r="B128" s="838" t="s">
        <v>791</v>
      </c>
      <c r="C128" s="890"/>
      <c r="D128" s="906"/>
      <c r="E128" s="907"/>
      <c r="F128" s="908"/>
      <c r="G128" s="890"/>
      <c r="H128" s="843"/>
    </row>
    <row r="129" spans="1:8" hidden="1" x14ac:dyDescent="0.3">
      <c r="A129" s="845">
        <v>6.1</v>
      </c>
      <c r="B129" s="894" t="s">
        <v>792</v>
      </c>
      <c r="C129" s="852"/>
      <c r="D129" s="854"/>
      <c r="E129" s="855"/>
      <c r="F129" s="876"/>
      <c r="G129" s="852"/>
      <c r="H129" s="850"/>
    </row>
    <row r="130" spans="1:8" hidden="1" x14ac:dyDescent="0.3">
      <c r="A130" s="851"/>
      <c r="B130" s="852" t="s">
        <v>793</v>
      </c>
      <c r="C130" s="853"/>
      <c r="D130" s="859">
        <v>5.24</v>
      </c>
      <c r="E130" s="855" t="s">
        <v>540</v>
      </c>
      <c r="F130" s="920">
        <v>30</v>
      </c>
      <c r="G130" s="921">
        <f>D130*F130</f>
        <v>157.20000000000002</v>
      </c>
      <c r="H130" s="850"/>
    </row>
    <row r="131" spans="1:8" hidden="1" x14ac:dyDescent="0.3">
      <c r="A131" s="861"/>
      <c r="B131" s="862"/>
      <c r="C131" s="863" t="s">
        <v>794</v>
      </c>
      <c r="D131" s="864">
        <v>1</v>
      </c>
      <c r="E131" s="865" t="s">
        <v>34</v>
      </c>
      <c r="F131" s="866" t="s">
        <v>6</v>
      </c>
      <c r="G131" s="922">
        <f>SUM(G130)</f>
        <v>157.20000000000002</v>
      </c>
      <c r="H131" s="868" t="s">
        <v>752</v>
      </c>
    </row>
    <row r="132" spans="1:8" s="844" customFormat="1" ht="19.5" hidden="1" x14ac:dyDescent="0.3">
      <c r="A132" s="837">
        <v>7</v>
      </c>
      <c r="B132" s="838" t="s">
        <v>795</v>
      </c>
      <c r="C132" s="890"/>
      <c r="D132" s="906"/>
      <c r="E132" s="907"/>
      <c r="F132" s="908"/>
      <c r="G132" s="890"/>
      <c r="H132" s="843"/>
    </row>
    <row r="133" spans="1:8" hidden="1" x14ac:dyDescent="0.3">
      <c r="A133" s="845">
        <v>7.1</v>
      </c>
      <c r="B133" s="894" t="s">
        <v>796</v>
      </c>
      <c r="C133" s="852"/>
      <c r="D133" s="854"/>
      <c r="E133" s="855"/>
      <c r="F133" s="876"/>
      <c r="G133" s="852"/>
      <c r="H133" s="850"/>
    </row>
    <row r="134" spans="1:8" hidden="1" x14ac:dyDescent="0.3">
      <c r="A134" s="851"/>
      <c r="B134" s="852" t="s">
        <v>797</v>
      </c>
      <c r="C134" s="853"/>
      <c r="D134" s="859">
        <f>1*50%</f>
        <v>0.5</v>
      </c>
      <c r="E134" s="855" t="s">
        <v>396</v>
      </c>
      <c r="F134" s="920">
        <v>555</v>
      </c>
      <c r="G134" s="921">
        <f>D134*F134</f>
        <v>277.5</v>
      </c>
      <c r="H134" s="850"/>
    </row>
    <row r="135" spans="1:8" hidden="1" x14ac:dyDescent="0.3">
      <c r="A135" s="923"/>
      <c r="B135" s="852" t="s">
        <v>798</v>
      </c>
      <c r="C135" s="853"/>
      <c r="D135" s="859">
        <f>D134*30%</f>
        <v>0.15</v>
      </c>
      <c r="E135" s="855" t="s">
        <v>396</v>
      </c>
      <c r="F135" s="920">
        <v>514</v>
      </c>
      <c r="G135" s="921">
        <f>D135*F135</f>
        <v>77.099999999999994</v>
      </c>
      <c r="H135" s="924"/>
    </row>
    <row r="136" spans="1:8" hidden="1" x14ac:dyDescent="0.3">
      <c r="A136" s="923"/>
      <c r="B136" s="852" t="s">
        <v>799</v>
      </c>
      <c r="C136" s="853"/>
      <c r="D136" s="859">
        <f>D134*25%</f>
        <v>0.125</v>
      </c>
      <c r="E136" s="855" t="s">
        <v>399</v>
      </c>
      <c r="F136" s="925">
        <v>30.38</v>
      </c>
      <c r="G136" s="921">
        <f>D136*F136</f>
        <v>3.7974999999999999</v>
      </c>
      <c r="H136" s="924"/>
    </row>
    <row r="137" spans="1:8" hidden="1" x14ac:dyDescent="0.3">
      <c r="A137" s="861"/>
      <c r="B137" s="862"/>
      <c r="C137" s="863" t="s">
        <v>800</v>
      </c>
      <c r="D137" s="864">
        <v>1</v>
      </c>
      <c r="E137" s="865" t="s">
        <v>33</v>
      </c>
      <c r="F137" s="866" t="s">
        <v>6</v>
      </c>
      <c r="G137" s="922">
        <f>SUM(G134:G136)</f>
        <v>358.39750000000004</v>
      </c>
      <c r="H137" s="868" t="s">
        <v>752</v>
      </c>
    </row>
    <row r="138" spans="1:8" hidden="1" x14ac:dyDescent="0.3">
      <c r="A138" s="845">
        <v>7.2</v>
      </c>
      <c r="B138" s="894" t="s">
        <v>801</v>
      </c>
      <c r="C138" s="852"/>
      <c r="D138" s="854"/>
      <c r="E138" s="855"/>
      <c r="F138" s="876"/>
      <c r="G138" s="852"/>
      <c r="H138" s="850"/>
    </row>
    <row r="139" spans="1:8" hidden="1" x14ac:dyDescent="0.3">
      <c r="A139" s="851"/>
      <c r="B139" s="852" t="s">
        <v>797</v>
      </c>
      <c r="C139" s="853"/>
      <c r="D139" s="859">
        <f>1*60%</f>
        <v>0.6</v>
      </c>
      <c r="E139" s="855" t="s">
        <v>396</v>
      </c>
      <c r="F139" s="920">
        <v>475</v>
      </c>
      <c r="G139" s="921">
        <f>D139*F139</f>
        <v>285</v>
      </c>
      <c r="H139" s="850"/>
    </row>
    <row r="140" spans="1:8" hidden="1" x14ac:dyDescent="0.3">
      <c r="A140" s="923"/>
      <c r="B140" s="852" t="s">
        <v>798</v>
      </c>
      <c r="C140" s="853"/>
      <c r="D140" s="859">
        <f>D139*30%</f>
        <v>0.18</v>
      </c>
      <c r="E140" s="855" t="s">
        <v>396</v>
      </c>
      <c r="F140" s="920">
        <v>410</v>
      </c>
      <c r="G140" s="921">
        <f>D140*F140</f>
        <v>73.8</v>
      </c>
      <c r="H140" s="924"/>
    </row>
    <row r="141" spans="1:8" hidden="1" x14ac:dyDescent="0.3">
      <c r="A141" s="923"/>
      <c r="B141" s="852" t="s">
        <v>799</v>
      </c>
      <c r="C141" s="853"/>
      <c r="D141" s="859">
        <f>D139*25%</f>
        <v>0.15</v>
      </c>
      <c r="E141" s="855" t="s">
        <v>399</v>
      </c>
      <c r="F141" s="925">
        <v>12.92</v>
      </c>
      <c r="G141" s="921">
        <f>D141*F141</f>
        <v>1.9379999999999999</v>
      </c>
      <c r="H141" s="924"/>
    </row>
    <row r="142" spans="1:8" hidden="1" x14ac:dyDescent="0.3">
      <c r="A142" s="861"/>
      <c r="B142" s="862"/>
      <c r="C142" s="863" t="s">
        <v>802</v>
      </c>
      <c r="D142" s="864">
        <v>1</v>
      </c>
      <c r="E142" s="865" t="s">
        <v>33</v>
      </c>
      <c r="F142" s="866" t="s">
        <v>6</v>
      </c>
      <c r="G142" s="922">
        <f>SUM(G139:G141)</f>
        <v>360.738</v>
      </c>
      <c r="H142" s="868" t="s">
        <v>752</v>
      </c>
    </row>
    <row r="143" spans="1:8" hidden="1" x14ac:dyDescent="0.3">
      <c r="A143" s="845">
        <v>7.3</v>
      </c>
      <c r="B143" s="894" t="s">
        <v>803</v>
      </c>
      <c r="C143" s="852"/>
      <c r="D143" s="854"/>
      <c r="E143" s="855"/>
      <c r="F143" s="876"/>
      <c r="G143" s="852"/>
      <c r="H143" s="850"/>
    </row>
    <row r="144" spans="1:8" hidden="1" x14ac:dyDescent="0.3">
      <c r="A144" s="851"/>
      <c r="B144" s="852" t="s">
        <v>797</v>
      </c>
      <c r="C144" s="853"/>
      <c r="D144" s="859">
        <f>1*80%</f>
        <v>0.8</v>
      </c>
      <c r="E144" s="855" t="s">
        <v>396</v>
      </c>
      <c r="F144" s="920">
        <v>697.2</v>
      </c>
      <c r="G144" s="921">
        <f>D144*F144</f>
        <v>557.7600000000001</v>
      </c>
      <c r="H144" s="850"/>
    </row>
    <row r="145" spans="1:8" hidden="1" x14ac:dyDescent="0.3">
      <c r="A145" s="923"/>
      <c r="B145" s="852" t="s">
        <v>798</v>
      </c>
      <c r="C145" s="853"/>
      <c r="D145" s="859">
        <f>D144*30%</f>
        <v>0.24</v>
      </c>
      <c r="E145" s="855" t="s">
        <v>396</v>
      </c>
      <c r="F145" s="920">
        <v>546.73</v>
      </c>
      <c r="G145" s="921">
        <f>D145*F145</f>
        <v>131.21520000000001</v>
      </c>
      <c r="H145" s="924"/>
    </row>
    <row r="146" spans="1:8" hidden="1" x14ac:dyDescent="0.3">
      <c r="A146" s="923"/>
      <c r="B146" s="852" t="s">
        <v>799</v>
      </c>
      <c r="C146" s="853"/>
      <c r="D146" s="859">
        <f>D144*25%</f>
        <v>0.2</v>
      </c>
      <c r="E146" s="855" t="s">
        <v>399</v>
      </c>
      <c r="F146" s="925">
        <v>0</v>
      </c>
      <c r="G146" s="921">
        <f>D146*F146</f>
        <v>0</v>
      </c>
      <c r="H146" s="924"/>
    </row>
    <row r="147" spans="1:8" hidden="1" x14ac:dyDescent="0.3">
      <c r="A147" s="851"/>
      <c r="B147" s="875"/>
      <c r="C147" s="852" t="s">
        <v>804</v>
      </c>
      <c r="D147" s="854">
        <v>1</v>
      </c>
      <c r="E147" s="855" t="s">
        <v>33</v>
      </c>
      <c r="F147" s="876" t="s">
        <v>6</v>
      </c>
      <c r="G147" s="926">
        <f>SUM(G144:G146)</f>
        <v>688.97520000000009</v>
      </c>
      <c r="H147" s="878" t="s">
        <v>752</v>
      </c>
    </row>
    <row r="148" spans="1:8" ht="19.5" hidden="1" thickBot="1" x14ac:dyDescent="0.35">
      <c r="A148" s="879"/>
      <c r="B148" s="880"/>
      <c r="C148" s="881"/>
      <c r="D148" s="882"/>
      <c r="E148" s="915"/>
      <c r="F148" s="916"/>
      <c r="G148" s="881"/>
      <c r="H148" s="885"/>
    </row>
    <row r="149" spans="1:8" hidden="1" x14ac:dyDescent="0.3">
      <c r="D149" s="886"/>
      <c r="E149" s="918"/>
      <c r="F149" s="919"/>
      <c r="G149" s="888" t="str">
        <f>$G$37</f>
        <v xml:space="preserve"> เมษายน 2549</v>
      </c>
      <c r="H149" s="888"/>
    </row>
    <row r="150" spans="1:8" ht="19.5" hidden="1" x14ac:dyDescent="0.3">
      <c r="A150" s="820" t="s">
        <v>805</v>
      </c>
      <c r="B150" s="820"/>
      <c r="C150" s="820"/>
      <c r="D150" s="820"/>
      <c r="E150" s="820"/>
      <c r="F150" s="820"/>
      <c r="G150" s="820"/>
      <c r="H150" s="820"/>
    </row>
    <row r="151" spans="1:8" ht="20.25" hidden="1" thickBot="1" x14ac:dyDescent="0.35">
      <c r="A151" s="889" t="s">
        <v>758</v>
      </c>
      <c r="B151" s="889"/>
      <c r="C151" s="889"/>
      <c r="D151" s="889"/>
      <c r="E151" s="889"/>
      <c r="F151" s="889"/>
      <c r="G151" s="889"/>
      <c r="H151" s="889"/>
    </row>
    <row r="152" spans="1:8" hidden="1" x14ac:dyDescent="0.3">
      <c r="A152" s="823" t="s">
        <v>424</v>
      </c>
      <c r="B152" s="824" t="s">
        <v>1</v>
      </c>
      <c r="C152" s="825"/>
      <c r="D152" s="826" t="s">
        <v>24</v>
      </c>
      <c r="E152" s="826" t="s">
        <v>25</v>
      </c>
      <c r="F152" s="827" t="s">
        <v>390</v>
      </c>
      <c r="G152" s="828" t="s">
        <v>743</v>
      </c>
      <c r="H152" s="829" t="s">
        <v>20</v>
      </c>
    </row>
    <row r="153" spans="1:8" hidden="1" x14ac:dyDescent="0.3">
      <c r="A153" s="830"/>
      <c r="B153" s="831"/>
      <c r="C153" s="832"/>
      <c r="D153" s="833"/>
      <c r="E153" s="833"/>
      <c r="F153" s="834" t="s">
        <v>31</v>
      </c>
      <c r="G153" s="835" t="s">
        <v>31</v>
      </c>
      <c r="H153" s="836"/>
    </row>
    <row r="154" spans="1:8" s="844" customFormat="1" ht="19.5" hidden="1" x14ac:dyDescent="0.3">
      <c r="A154" s="927">
        <v>8</v>
      </c>
      <c r="B154" s="928" t="s">
        <v>806</v>
      </c>
      <c r="C154" s="929"/>
      <c r="D154" s="930"/>
      <c r="E154" s="930"/>
      <c r="F154" s="931"/>
      <c r="G154" s="932" t="s">
        <v>745</v>
      </c>
      <c r="H154" s="895" t="s">
        <v>807</v>
      </c>
    </row>
    <row r="155" spans="1:8" hidden="1" x14ac:dyDescent="0.3">
      <c r="A155" s="869">
        <v>8.1</v>
      </c>
      <c r="B155" s="846" t="s">
        <v>808</v>
      </c>
      <c r="C155" s="933"/>
      <c r="D155" s="870"/>
      <c r="E155" s="870"/>
      <c r="F155" s="871"/>
      <c r="G155" s="872" t="s">
        <v>745</v>
      </c>
      <c r="H155" s="895" t="s">
        <v>809</v>
      </c>
    </row>
    <row r="156" spans="1:8" hidden="1" x14ac:dyDescent="0.3">
      <c r="A156" s="851"/>
      <c r="B156" s="852" t="s">
        <v>810</v>
      </c>
      <c r="C156" s="847"/>
      <c r="D156" s="854">
        <v>138</v>
      </c>
      <c r="E156" s="855" t="s">
        <v>811</v>
      </c>
      <c r="F156" s="856">
        <v>1.2</v>
      </c>
      <c r="G156" s="857">
        <f>D156*F156</f>
        <v>165.6</v>
      </c>
      <c r="H156" s="850"/>
    </row>
    <row r="157" spans="1:8" hidden="1" x14ac:dyDescent="0.3">
      <c r="A157" s="851"/>
      <c r="B157" s="852" t="s">
        <v>788</v>
      </c>
      <c r="C157" s="853"/>
      <c r="D157" s="859">
        <v>16.010000000000002</v>
      </c>
      <c r="E157" s="855" t="s">
        <v>399</v>
      </c>
      <c r="F157" s="856">
        <v>2.67</v>
      </c>
      <c r="G157" s="857">
        <f>D157*F157</f>
        <v>42.746700000000004</v>
      </c>
      <c r="H157" s="900" t="s">
        <v>745</v>
      </c>
    </row>
    <row r="158" spans="1:8" hidden="1" x14ac:dyDescent="0.3">
      <c r="A158" s="851"/>
      <c r="B158" s="852" t="s">
        <v>812</v>
      </c>
      <c r="C158" s="853"/>
      <c r="D158" s="859">
        <v>10.29</v>
      </c>
      <c r="E158" s="855" t="s">
        <v>399</v>
      </c>
      <c r="F158" s="856">
        <v>0</v>
      </c>
      <c r="G158" s="857">
        <f>D158*F158</f>
        <v>0</v>
      </c>
      <c r="H158" s="850"/>
    </row>
    <row r="159" spans="1:8" hidden="1" x14ac:dyDescent="0.3">
      <c r="A159" s="851"/>
      <c r="B159" s="852" t="s">
        <v>748</v>
      </c>
      <c r="C159" s="853"/>
      <c r="D159" s="859">
        <v>0.05</v>
      </c>
      <c r="E159" s="855" t="s">
        <v>34</v>
      </c>
      <c r="F159" s="856">
        <v>543.62</v>
      </c>
      <c r="G159" s="857">
        <f>D159*F159</f>
        <v>27.181000000000001</v>
      </c>
      <c r="H159" s="850"/>
    </row>
    <row r="160" spans="1:8" hidden="1" x14ac:dyDescent="0.3">
      <c r="A160" s="851"/>
      <c r="B160" s="852" t="s">
        <v>750</v>
      </c>
      <c r="C160" s="853"/>
      <c r="D160" s="854">
        <v>10</v>
      </c>
      <c r="E160" s="855" t="s">
        <v>540</v>
      </c>
      <c r="F160" s="860"/>
      <c r="G160" s="857">
        <f>D160*F160</f>
        <v>0</v>
      </c>
      <c r="H160" s="850"/>
    </row>
    <row r="161" spans="1:8" hidden="1" x14ac:dyDescent="0.3">
      <c r="A161" s="861"/>
      <c r="B161" s="862"/>
      <c r="C161" s="863" t="s">
        <v>813</v>
      </c>
      <c r="D161" s="864">
        <v>1</v>
      </c>
      <c r="E161" s="865" t="s">
        <v>33</v>
      </c>
      <c r="F161" s="866" t="s">
        <v>6</v>
      </c>
      <c r="G161" s="867">
        <f>SUM(G156:G160)</f>
        <v>235.52770000000001</v>
      </c>
      <c r="H161" s="868" t="s">
        <v>752</v>
      </c>
    </row>
    <row r="162" spans="1:8" hidden="1" x14ac:dyDescent="0.3">
      <c r="A162" s="869">
        <v>8.1999999999999993</v>
      </c>
      <c r="B162" s="846" t="s">
        <v>814</v>
      </c>
      <c r="C162" s="934"/>
      <c r="D162" s="870"/>
      <c r="E162" s="870"/>
      <c r="F162" s="871"/>
      <c r="G162" s="872" t="s">
        <v>745</v>
      </c>
      <c r="H162" s="850"/>
    </row>
    <row r="163" spans="1:8" hidden="1" x14ac:dyDescent="0.3">
      <c r="A163" s="851"/>
      <c r="B163" s="852" t="s">
        <v>810</v>
      </c>
      <c r="C163" s="853"/>
      <c r="D163" s="854">
        <v>276</v>
      </c>
      <c r="E163" s="855" t="s">
        <v>811</v>
      </c>
      <c r="F163" s="856">
        <v>0.93</v>
      </c>
      <c r="G163" s="857">
        <f>D163*F163</f>
        <v>256.68</v>
      </c>
      <c r="H163" s="850"/>
    </row>
    <row r="164" spans="1:8" hidden="1" x14ac:dyDescent="0.3">
      <c r="A164" s="851"/>
      <c r="B164" s="852" t="s">
        <v>788</v>
      </c>
      <c r="C164" s="853"/>
      <c r="D164" s="859">
        <v>34</v>
      </c>
      <c r="E164" s="855" t="s">
        <v>399</v>
      </c>
      <c r="F164" s="856">
        <v>2.4470000000000001</v>
      </c>
      <c r="G164" s="857">
        <f>D164*F164</f>
        <v>83.198000000000008</v>
      </c>
      <c r="H164" s="900" t="s">
        <v>745</v>
      </c>
    </row>
    <row r="165" spans="1:8" hidden="1" x14ac:dyDescent="0.3">
      <c r="A165" s="851"/>
      <c r="B165" s="852" t="s">
        <v>812</v>
      </c>
      <c r="C165" s="853"/>
      <c r="D165" s="859">
        <v>20.59</v>
      </c>
      <c r="E165" s="855" t="s">
        <v>399</v>
      </c>
      <c r="F165" s="856">
        <v>0</v>
      </c>
      <c r="G165" s="857">
        <f>D165*F165</f>
        <v>0</v>
      </c>
      <c r="H165" s="850"/>
    </row>
    <row r="166" spans="1:8" hidden="1" x14ac:dyDescent="0.3">
      <c r="A166" s="851"/>
      <c r="B166" s="852" t="s">
        <v>748</v>
      </c>
      <c r="C166" s="853"/>
      <c r="D166" s="859">
        <v>0.12</v>
      </c>
      <c r="E166" s="855" t="s">
        <v>34</v>
      </c>
      <c r="F166" s="856">
        <v>545.16999999999996</v>
      </c>
      <c r="G166" s="857">
        <f>D166*F166</f>
        <v>65.420399999999987</v>
      </c>
      <c r="H166" s="850"/>
    </row>
    <row r="167" spans="1:8" hidden="1" x14ac:dyDescent="0.3">
      <c r="A167" s="851"/>
      <c r="B167" s="852" t="s">
        <v>750</v>
      </c>
      <c r="C167" s="853"/>
      <c r="D167" s="854">
        <v>20</v>
      </c>
      <c r="E167" s="855" t="s">
        <v>540</v>
      </c>
      <c r="F167" s="860"/>
      <c r="G167" s="857">
        <f>D167*F167</f>
        <v>0</v>
      </c>
      <c r="H167" s="850"/>
    </row>
    <row r="168" spans="1:8" hidden="1" x14ac:dyDescent="0.3">
      <c r="A168" s="861"/>
      <c r="B168" s="862"/>
      <c r="C168" s="863" t="s">
        <v>813</v>
      </c>
      <c r="D168" s="864">
        <v>1</v>
      </c>
      <c r="E168" s="865" t="s">
        <v>33</v>
      </c>
      <c r="F168" s="866" t="s">
        <v>6</v>
      </c>
      <c r="G168" s="867">
        <f>SUM(G163:G167)</f>
        <v>405.29840000000002</v>
      </c>
      <c r="H168" s="868" t="s">
        <v>752</v>
      </c>
    </row>
    <row r="169" spans="1:8" hidden="1" x14ac:dyDescent="0.3">
      <c r="A169" s="869">
        <v>8.3000000000000007</v>
      </c>
      <c r="B169" s="846" t="s">
        <v>815</v>
      </c>
      <c r="C169" s="934"/>
      <c r="D169" s="870"/>
      <c r="E169" s="870"/>
      <c r="F169" s="871"/>
      <c r="G169" s="872" t="s">
        <v>745</v>
      </c>
      <c r="H169" s="850"/>
    </row>
    <row r="170" spans="1:8" hidden="1" x14ac:dyDescent="0.3">
      <c r="A170" s="851"/>
      <c r="B170" s="852" t="s">
        <v>816</v>
      </c>
      <c r="C170" s="853"/>
      <c r="D170" s="854">
        <v>139.69999999999999</v>
      </c>
      <c r="E170" s="855" t="s">
        <v>811</v>
      </c>
      <c r="F170" s="856">
        <v>0.7</v>
      </c>
      <c r="G170" s="857">
        <f>D170*F170</f>
        <v>97.789999999999992</v>
      </c>
      <c r="H170" s="850"/>
    </row>
    <row r="171" spans="1:8" hidden="1" x14ac:dyDescent="0.3">
      <c r="A171" s="851"/>
      <c r="B171" s="852" t="s">
        <v>788</v>
      </c>
      <c r="C171" s="853"/>
      <c r="D171" s="859">
        <v>16</v>
      </c>
      <c r="E171" s="855" t="s">
        <v>399</v>
      </c>
      <c r="F171" s="856">
        <v>2.08</v>
      </c>
      <c r="G171" s="857">
        <f>D171*F171</f>
        <v>33.28</v>
      </c>
      <c r="H171" s="900" t="s">
        <v>745</v>
      </c>
    </row>
    <row r="172" spans="1:8" hidden="1" x14ac:dyDescent="0.3">
      <c r="A172" s="851"/>
      <c r="B172" s="852" t="s">
        <v>812</v>
      </c>
      <c r="C172" s="853"/>
      <c r="D172" s="859">
        <v>10.29</v>
      </c>
      <c r="E172" s="855" t="s">
        <v>399</v>
      </c>
      <c r="F172" s="856">
        <v>2</v>
      </c>
      <c r="G172" s="857">
        <f>D172*F172</f>
        <v>20.58</v>
      </c>
      <c r="H172" s="850"/>
    </row>
    <row r="173" spans="1:8" hidden="1" x14ac:dyDescent="0.3">
      <c r="A173" s="851"/>
      <c r="B173" s="852" t="s">
        <v>748</v>
      </c>
      <c r="C173" s="853"/>
      <c r="D173" s="859">
        <v>0.05</v>
      </c>
      <c r="E173" s="855" t="s">
        <v>34</v>
      </c>
      <c r="F173" s="856">
        <v>287.5</v>
      </c>
      <c r="G173" s="857">
        <f>D173*F173</f>
        <v>14.375</v>
      </c>
      <c r="H173" s="850"/>
    </row>
    <row r="174" spans="1:8" hidden="1" x14ac:dyDescent="0.3">
      <c r="A174" s="851"/>
      <c r="B174" s="852" t="s">
        <v>750</v>
      </c>
      <c r="C174" s="853"/>
      <c r="D174" s="854">
        <v>10</v>
      </c>
      <c r="E174" s="855" t="s">
        <v>540</v>
      </c>
      <c r="F174" s="860">
        <v>1.44E-2</v>
      </c>
      <c r="G174" s="857">
        <f>D174*F174</f>
        <v>0.14399999999999999</v>
      </c>
      <c r="H174" s="850"/>
    </row>
    <row r="175" spans="1:8" hidden="1" x14ac:dyDescent="0.3">
      <c r="A175" s="861"/>
      <c r="B175" s="862"/>
      <c r="C175" s="863" t="s">
        <v>817</v>
      </c>
      <c r="D175" s="864">
        <v>1</v>
      </c>
      <c r="E175" s="865" t="s">
        <v>33</v>
      </c>
      <c r="F175" s="866" t="s">
        <v>6</v>
      </c>
      <c r="G175" s="867">
        <f>SUM(G170:G174)</f>
        <v>166.16899999999998</v>
      </c>
      <c r="H175" s="868" t="s">
        <v>752</v>
      </c>
    </row>
    <row r="176" spans="1:8" hidden="1" x14ac:dyDescent="0.3">
      <c r="A176" s="869">
        <v>8.4</v>
      </c>
      <c r="B176" s="935" t="s">
        <v>818</v>
      </c>
      <c r="C176" s="934"/>
      <c r="D176" s="870"/>
      <c r="E176" s="870"/>
      <c r="F176" s="871"/>
      <c r="G176" s="872" t="s">
        <v>745</v>
      </c>
      <c r="H176" s="873"/>
    </row>
    <row r="177" spans="1:8" hidden="1" x14ac:dyDescent="0.3">
      <c r="A177" s="851"/>
      <c r="B177" s="852" t="s">
        <v>816</v>
      </c>
      <c r="C177" s="853"/>
      <c r="D177" s="854">
        <v>279.39999999999998</v>
      </c>
      <c r="E177" s="855" t="s">
        <v>811</v>
      </c>
      <c r="F177" s="856">
        <v>0.7</v>
      </c>
      <c r="G177" s="857">
        <f>D177*F177</f>
        <v>195.57999999999998</v>
      </c>
      <c r="H177" s="850"/>
    </row>
    <row r="178" spans="1:8" hidden="1" x14ac:dyDescent="0.3">
      <c r="A178" s="851"/>
      <c r="B178" s="852" t="s">
        <v>788</v>
      </c>
      <c r="C178" s="853"/>
      <c r="D178" s="859">
        <v>34</v>
      </c>
      <c r="E178" s="855" t="s">
        <v>399</v>
      </c>
      <c r="F178" s="856">
        <v>2.08</v>
      </c>
      <c r="G178" s="857">
        <f>D178*F178</f>
        <v>70.72</v>
      </c>
      <c r="H178" s="900" t="s">
        <v>745</v>
      </c>
    </row>
    <row r="179" spans="1:8" hidden="1" x14ac:dyDescent="0.3">
      <c r="A179" s="851"/>
      <c r="B179" s="852" t="s">
        <v>812</v>
      </c>
      <c r="C179" s="853"/>
      <c r="D179" s="859">
        <v>20.59</v>
      </c>
      <c r="E179" s="855" t="s">
        <v>399</v>
      </c>
      <c r="F179" s="856">
        <v>2</v>
      </c>
      <c r="G179" s="857">
        <f>D179*F179</f>
        <v>41.18</v>
      </c>
      <c r="H179" s="850"/>
    </row>
    <row r="180" spans="1:8" hidden="1" x14ac:dyDescent="0.3">
      <c r="A180" s="851"/>
      <c r="B180" s="852" t="s">
        <v>748</v>
      </c>
      <c r="C180" s="853"/>
      <c r="D180" s="859">
        <v>0.12</v>
      </c>
      <c r="E180" s="855" t="s">
        <v>34</v>
      </c>
      <c r="F180" s="856">
        <v>287.5</v>
      </c>
      <c r="G180" s="857">
        <f>D180*F180</f>
        <v>34.5</v>
      </c>
      <c r="H180" s="850"/>
    </row>
    <row r="181" spans="1:8" hidden="1" x14ac:dyDescent="0.3">
      <c r="A181" s="851"/>
      <c r="B181" s="852" t="s">
        <v>750</v>
      </c>
      <c r="C181" s="853"/>
      <c r="D181" s="854">
        <v>20</v>
      </c>
      <c r="E181" s="855" t="s">
        <v>540</v>
      </c>
      <c r="F181" s="860">
        <v>1.44E-2</v>
      </c>
      <c r="G181" s="857">
        <f>D181*F181</f>
        <v>0.28799999999999998</v>
      </c>
      <c r="H181" s="850"/>
    </row>
    <row r="182" spans="1:8" hidden="1" x14ac:dyDescent="0.3">
      <c r="A182" s="861"/>
      <c r="B182" s="862"/>
      <c r="C182" s="863" t="s">
        <v>819</v>
      </c>
      <c r="D182" s="864">
        <v>1</v>
      </c>
      <c r="E182" s="865" t="s">
        <v>33</v>
      </c>
      <c r="F182" s="866" t="s">
        <v>6</v>
      </c>
      <c r="G182" s="867">
        <f>SUM(G177:G181)</f>
        <v>342.26799999999997</v>
      </c>
      <c r="H182" s="868" t="s">
        <v>752</v>
      </c>
    </row>
    <row r="183" spans="1:8" hidden="1" x14ac:dyDescent="0.3">
      <c r="A183" s="936"/>
      <c r="B183" s="937"/>
      <c r="C183" s="853" t="s">
        <v>745</v>
      </c>
      <c r="D183" s="938" t="s">
        <v>745</v>
      </c>
      <c r="E183" s="939" t="s">
        <v>745</v>
      </c>
      <c r="F183" s="871"/>
      <c r="G183" s="872" t="s">
        <v>745</v>
      </c>
      <c r="H183" s="873"/>
    </row>
    <row r="184" spans="1:8" hidden="1" x14ac:dyDescent="0.3">
      <c r="A184" s="851"/>
      <c r="B184" s="875"/>
      <c r="C184" s="852" t="s">
        <v>745</v>
      </c>
      <c r="D184" s="859" t="s">
        <v>745</v>
      </c>
      <c r="E184" s="855" t="s">
        <v>745</v>
      </c>
      <c r="F184" s="848"/>
      <c r="G184" s="849" t="s">
        <v>745</v>
      </c>
      <c r="H184" s="850"/>
    </row>
    <row r="185" spans="1:8" ht="19.5" hidden="1" thickBot="1" x14ac:dyDescent="0.35">
      <c r="A185" s="879"/>
      <c r="B185" s="880"/>
      <c r="C185" s="881" t="s">
        <v>745</v>
      </c>
      <c r="D185" s="882" t="s">
        <v>745</v>
      </c>
      <c r="E185" s="915" t="s">
        <v>745</v>
      </c>
      <c r="F185" s="916" t="s">
        <v>745</v>
      </c>
      <c r="G185" s="940" t="s">
        <v>745</v>
      </c>
      <c r="H185" s="941" t="s">
        <v>745</v>
      </c>
    </row>
    <row r="186" spans="1:8" hidden="1" x14ac:dyDescent="0.3">
      <c r="D186" s="886"/>
      <c r="E186" s="918"/>
      <c r="F186" s="919"/>
      <c r="G186" s="888" t="str">
        <f>$G$37</f>
        <v xml:space="preserve"> เมษายน 2549</v>
      </c>
      <c r="H186" s="888"/>
    </row>
    <row r="187" spans="1:8" ht="19.5" hidden="1" x14ac:dyDescent="0.3">
      <c r="A187" s="820" t="s">
        <v>820</v>
      </c>
      <c r="B187" s="820"/>
      <c r="C187" s="820"/>
      <c r="D187" s="820"/>
      <c r="E187" s="820"/>
      <c r="F187" s="820"/>
      <c r="G187" s="820"/>
      <c r="H187" s="820"/>
    </row>
    <row r="188" spans="1:8" ht="20.25" hidden="1" thickBot="1" x14ac:dyDescent="0.35">
      <c r="A188" s="889" t="s">
        <v>758</v>
      </c>
      <c r="B188" s="889"/>
      <c r="C188" s="889"/>
      <c r="D188" s="889"/>
      <c r="E188" s="889"/>
      <c r="F188" s="889"/>
      <c r="G188" s="889"/>
      <c r="H188" s="889"/>
    </row>
    <row r="189" spans="1:8" hidden="1" x14ac:dyDescent="0.3">
      <c r="A189" s="823" t="s">
        <v>424</v>
      </c>
      <c r="B189" s="824" t="s">
        <v>1</v>
      </c>
      <c r="C189" s="825"/>
      <c r="D189" s="826" t="s">
        <v>24</v>
      </c>
      <c r="E189" s="826" t="s">
        <v>25</v>
      </c>
      <c r="F189" s="827" t="s">
        <v>390</v>
      </c>
      <c r="G189" s="828" t="s">
        <v>743</v>
      </c>
      <c r="H189" s="829" t="s">
        <v>20</v>
      </c>
    </row>
    <row r="190" spans="1:8" hidden="1" x14ac:dyDescent="0.3">
      <c r="A190" s="830"/>
      <c r="B190" s="831"/>
      <c r="C190" s="832"/>
      <c r="D190" s="833"/>
      <c r="E190" s="833"/>
      <c r="F190" s="834" t="s">
        <v>31</v>
      </c>
      <c r="G190" s="835" t="s">
        <v>31</v>
      </c>
      <c r="H190" s="836"/>
    </row>
    <row r="191" spans="1:8" hidden="1" x14ac:dyDescent="0.3">
      <c r="A191" s="869">
        <v>8.5</v>
      </c>
      <c r="B191" s="846" t="s">
        <v>821</v>
      </c>
      <c r="C191" s="934"/>
      <c r="D191" s="870"/>
      <c r="E191" s="870"/>
      <c r="F191" s="871"/>
      <c r="G191" s="872" t="s">
        <v>745</v>
      </c>
      <c r="H191" s="850"/>
    </row>
    <row r="192" spans="1:8" hidden="1" x14ac:dyDescent="0.3">
      <c r="A192" s="851"/>
      <c r="B192" s="852" t="s">
        <v>822</v>
      </c>
      <c r="C192" s="853"/>
      <c r="D192" s="854">
        <v>60</v>
      </c>
      <c r="E192" s="855" t="s">
        <v>811</v>
      </c>
      <c r="F192" s="856">
        <v>26</v>
      </c>
      <c r="G192" s="857">
        <f>D192*F192</f>
        <v>1560</v>
      </c>
      <c r="H192" s="850"/>
    </row>
    <row r="193" spans="1:8" hidden="1" x14ac:dyDescent="0.3">
      <c r="A193" s="851"/>
      <c r="B193" s="852" t="s">
        <v>823</v>
      </c>
      <c r="C193" s="853"/>
      <c r="D193" s="859">
        <v>5.5</v>
      </c>
      <c r="E193" s="855" t="s">
        <v>399</v>
      </c>
      <c r="F193" s="856">
        <v>2.08</v>
      </c>
      <c r="G193" s="857">
        <f>D193*F193</f>
        <v>11.440000000000001</v>
      </c>
      <c r="H193" s="900" t="s">
        <v>745</v>
      </c>
    </row>
    <row r="194" spans="1:8" hidden="1" x14ac:dyDescent="0.3">
      <c r="A194" s="851"/>
      <c r="B194" s="852" t="s">
        <v>812</v>
      </c>
      <c r="C194" s="853"/>
      <c r="D194" s="859">
        <v>3</v>
      </c>
      <c r="E194" s="855" t="s">
        <v>399</v>
      </c>
      <c r="F194" s="856">
        <v>2</v>
      </c>
      <c r="G194" s="857">
        <f>D194*F194</f>
        <v>6</v>
      </c>
      <c r="H194" s="850"/>
    </row>
    <row r="195" spans="1:8" hidden="1" x14ac:dyDescent="0.3">
      <c r="A195" s="851"/>
      <c r="B195" s="852" t="s">
        <v>748</v>
      </c>
      <c r="C195" s="853"/>
      <c r="D195" s="859">
        <v>0.03</v>
      </c>
      <c r="E195" s="855" t="s">
        <v>34</v>
      </c>
      <c r="F195" s="856">
        <v>287.5</v>
      </c>
      <c r="G195" s="857">
        <f>D195*F195</f>
        <v>8.625</v>
      </c>
      <c r="H195" s="850"/>
    </row>
    <row r="196" spans="1:8" hidden="1" x14ac:dyDescent="0.3">
      <c r="A196" s="851"/>
      <c r="B196" s="852" t="s">
        <v>750</v>
      </c>
      <c r="C196" s="853"/>
      <c r="D196" s="854">
        <v>10</v>
      </c>
      <c r="E196" s="855" t="s">
        <v>540</v>
      </c>
      <c r="F196" s="860">
        <v>1.44E-2</v>
      </c>
      <c r="G196" s="857">
        <f>D196*F196</f>
        <v>0.14399999999999999</v>
      </c>
      <c r="H196" s="850"/>
    </row>
    <row r="197" spans="1:8" hidden="1" x14ac:dyDescent="0.3">
      <c r="A197" s="861"/>
      <c r="B197" s="862"/>
      <c r="C197" s="863" t="s">
        <v>824</v>
      </c>
      <c r="D197" s="864">
        <v>1</v>
      </c>
      <c r="E197" s="865" t="s">
        <v>33</v>
      </c>
      <c r="F197" s="866" t="s">
        <v>6</v>
      </c>
      <c r="G197" s="867">
        <f>SUM(G192:G196)</f>
        <v>1586.2090000000001</v>
      </c>
      <c r="H197" s="868" t="s">
        <v>752</v>
      </c>
    </row>
    <row r="198" spans="1:8" hidden="1" x14ac:dyDescent="0.3">
      <c r="A198" s="869">
        <v>8.6</v>
      </c>
      <c r="B198" s="846" t="s">
        <v>825</v>
      </c>
      <c r="C198" s="934"/>
      <c r="D198" s="870"/>
      <c r="E198" s="870"/>
      <c r="F198" s="871"/>
      <c r="G198" s="872" t="s">
        <v>745</v>
      </c>
      <c r="H198" s="850"/>
    </row>
    <row r="199" spans="1:8" hidden="1" x14ac:dyDescent="0.3">
      <c r="A199" s="851"/>
      <c r="B199" s="852" t="s">
        <v>826</v>
      </c>
      <c r="C199" s="853"/>
      <c r="D199" s="854">
        <f>20*2</f>
        <v>40</v>
      </c>
      <c r="E199" s="855" t="s">
        <v>811</v>
      </c>
      <c r="F199" s="856">
        <v>6</v>
      </c>
      <c r="G199" s="857">
        <f>D199*F199</f>
        <v>240</v>
      </c>
      <c r="H199" s="850"/>
    </row>
    <row r="200" spans="1:8" hidden="1" x14ac:dyDescent="0.3">
      <c r="A200" s="851"/>
      <c r="B200" s="852" t="s">
        <v>788</v>
      </c>
      <c r="C200" s="853"/>
      <c r="D200" s="859">
        <f>6.75*2</f>
        <v>13.5</v>
      </c>
      <c r="E200" s="855" t="s">
        <v>399</v>
      </c>
      <c r="F200" s="942">
        <v>2.4470000000000001</v>
      </c>
      <c r="G200" s="857">
        <f>D200*F200</f>
        <v>33.034500000000001</v>
      </c>
      <c r="H200" s="900" t="s">
        <v>745</v>
      </c>
    </row>
    <row r="201" spans="1:8" hidden="1" x14ac:dyDescent="0.3">
      <c r="A201" s="851"/>
      <c r="B201" s="852" t="s">
        <v>812</v>
      </c>
      <c r="C201" s="853"/>
      <c r="D201" s="859">
        <v>3.87</v>
      </c>
      <c r="E201" s="855" t="s">
        <v>399</v>
      </c>
      <c r="F201" s="856"/>
      <c r="G201" s="857">
        <f>D201*F201</f>
        <v>0</v>
      </c>
      <c r="H201" s="850"/>
    </row>
    <row r="202" spans="1:8" hidden="1" x14ac:dyDescent="0.3">
      <c r="A202" s="851"/>
      <c r="B202" s="852" t="s">
        <v>748</v>
      </c>
      <c r="C202" s="853"/>
      <c r="D202" s="859">
        <f>0.03*2</f>
        <v>0.06</v>
      </c>
      <c r="E202" s="855" t="s">
        <v>34</v>
      </c>
      <c r="F202" s="856">
        <v>545.16999999999996</v>
      </c>
      <c r="G202" s="857">
        <f>D202*F202</f>
        <v>32.710199999999993</v>
      </c>
      <c r="H202" s="850"/>
    </row>
    <row r="203" spans="1:8" hidden="1" x14ac:dyDescent="0.3">
      <c r="A203" s="851"/>
      <c r="B203" s="852" t="s">
        <v>750</v>
      </c>
      <c r="C203" s="853"/>
      <c r="D203" s="854">
        <v>5</v>
      </c>
      <c r="E203" s="855" t="s">
        <v>540</v>
      </c>
      <c r="F203" s="860"/>
      <c r="G203" s="857">
        <f>D203*F203</f>
        <v>0</v>
      </c>
      <c r="H203" s="850"/>
    </row>
    <row r="204" spans="1:8" hidden="1" x14ac:dyDescent="0.3">
      <c r="A204" s="861"/>
      <c r="B204" s="862"/>
      <c r="C204" s="863" t="s">
        <v>827</v>
      </c>
      <c r="D204" s="864">
        <v>1</v>
      </c>
      <c r="E204" s="865" t="s">
        <v>33</v>
      </c>
      <c r="F204" s="866" t="s">
        <v>6</v>
      </c>
      <c r="G204" s="867">
        <f>SUM(G199:G203)</f>
        <v>305.74469999999997</v>
      </c>
      <c r="H204" s="868" t="s">
        <v>752</v>
      </c>
    </row>
    <row r="205" spans="1:8" hidden="1" x14ac:dyDescent="0.3">
      <c r="A205" s="869">
        <v>8.6999999999999993</v>
      </c>
      <c r="B205" s="846" t="s">
        <v>828</v>
      </c>
      <c r="C205" s="934"/>
      <c r="D205" s="870"/>
      <c r="E205" s="870"/>
      <c r="F205" s="871"/>
      <c r="G205" s="872" t="s">
        <v>745</v>
      </c>
      <c r="H205" s="850"/>
    </row>
    <row r="206" spans="1:8" hidden="1" x14ac:dyDescent="0.3">
      <c r="A206" s="851"/>
      <c r="B206" s="852" t="s">
        <v>826</v>
      </c>
      <c r="C206" s="853"/>
      <c r="D206" s="854">
        <v>13</v>
      </c>
      <c r="E206" s="855" t="s">
        <v>811</v>
      </c>
      <c r="F206" s="856">
        <v>6.5</v>
      </c>
      <c r="G206" s="857">
        <f>D206*F206</f>
        <v>84.5</v>
      </c>
      <c r="H206" s="850"/>
    </row>
    <row r="207" spans="1:8" hidden="1" x14ac:dyDescent="0.3">
      <c r="A207" s="851"/>
      <c r="B207" s="852" t="s">
        <v>788</v>
      </c>
      <c r="C207" s="853"/>
      <c r="D207" s="859">
        <v>9.4700000000000006</v>
      </c>
      <c r="E207" s="855" t="s">
        <v>399</v>
      </c>
      <c r="F207" s="856">
        <v>2.08</v>
      </c>
      <c r="G207" s="857">
        <f>D207*F207</f>
        <v>19.697600000000001</v>
      </c>
      <c r="H207" s="900" t="s">
        <v>745</v>
      </c>
    </row>
    <row r="208" spans="1:8" hidden="1" x14ac:dyDescent="0.3">
      <c r="A208" s="851"/>
      <c r="B208" s="852" t="s">
        <v>812</v>
      </c>
      <c r="C208" s="853"/>
      <c r="D208" s="859">
        <v>5.43</v>
      </c>
      <c r="E208" s="855" t="s">
        <v>399</v>
      </c>
      <c r="F208" s="856">
        <v>2</v>
      </c>
      <c r="G208" s="857">
        <f>D208*F208</f>
        <v>10.86</v>
      </c>
      <c r="H208" s="850"/>
    </row>
    <row r="209" spans="1:8" hidden="1" x14ac:dyDescent="0.3">
      <c r="A209" s="851"/>
      <c r="B209" s="852" t="s">
        <v>748</v>
      </c>
      <c r="C209" s="853"/>
      <c r="D209" s="859">
        <v>0.04</v>
      </c>
      <c r="E209" s="855" t="s">
        <v>34</v>
      </c>
      <c r="F209" s="856">
        <v>287.5</v>
      </c>
      <c r="G209" s="857">
        <f>D209*F209</f>
        <v>11.5</v>
      </c>
      <c r="H209" s="850"/>
    </row>
    <row r="210" spans="1:8" hidden="1" x14ac:dyDescent="0.3">
      <c r="A210" s="851"/>
      <c r="B210" s="852" t="s">
        <v>750</v>
      </c>
      <c r="C210" s="853"/>
      <c r="D210" s="854">
        <v>5</v>
      </c>
      <c r="E210" s="855" t="s">
        <v>540</v>
      </c>
      <c r="F210" s="860">
        <v>1.44E-2</v>
      </c>
      <c r="G210" s="857">
        <f>D210*F210</f>
        <v>7.1999999999999995E-2</v>
      </c>
      <c r="H210" s="850"/>
    </row>
    <row r="211" spans="1:8" hidden="1" x14ac:dyDescent="0.3">
      <c r="A211" s="861"/>
      <c r="B211" s="862"/>
      <c r="C211" s="863" t="s">
        <v>829</v>
      </c>
      <c r="D211" s="864">
        <v>1</v>
      </c>
      <c r="E211" s="865" t="s">
        <v>33</v>
      </c>
      <c r="F211" s="866" t="s">
        <v>6</v>
      </c>
      <c r="G211" s="867">
        <f>SUM(G206:G210)</f>
        <v>126.6296</v>
      </c>
      <c r="H211" s="868" t="s">
        <v>752</v>
      </c>
    </row>
    <row r="212" spans="1:8" hidden="1" x14ac:dyDescent="0.3">
      <c r="A212" s="869">
        <v>8.8000000000000007</v>
      </c>
      <c r="B212" s="846" t="s">
        <v>1357</v>
      </c>
      <c r="C212" s="934"/>
      <c r="D212" s="870"/>
      <c r="E212" s="870"/>
      <c r="F212" s="871"/>
      <c r="G212" s="872" t="s">
        <v>745</v>
      </c>
      <c r="H212" s="850"/>
    </row>
    <row r="213" spans="1:8" hidden="1" x14ac:dyDescent="0.3">
      <c r="A213" s="851"/>
      <c r="B213" s="852" t="s">
        <v>830</v>
      </c>
      <c r="C213" s="853"/>
      <c r="D213" s="854">
        <v>13</v>
      </c>
      <c r="E213" s="855" t="s">
        <v>811</v>
      </c>
      <c r="F213" s="856">
        <v>8</v>
      </c>
      <c r="G213" s="857">
        <f>D213*F213</f>
        <v>104</v>
      </c>
      <c r="H213" s="850"/>
    </row>
    <row r="214" spans="1:8" hidden="1" x14ac:dyDescent="0.3">
      <c r="A214" s="851"/>
      <c r="B214" s="852" t="s">
        <v>788</v>
      </c>
      <c r="C214" s="853"/>
      <c r="D214" s="859">
        <v>9.4700000000000006</v>
      </c>
      <c r="E214" s="855" t="s">
        <v>399</v>
      </c>
      <c r="F214" s="856">
        <v>2.08</v>
      </c>
      <c r="G214" s="857">
        <f>D214*F214</f>
        <v>19.697600000000001</v>
      </c>
      <c r="H214" s="900" t="s">
        <v>745</v>
      </c>
    </row>
    <row r="215" spans="1:8" hidden="1" x14ac:dyDescent="0.3">
      <c r="A215" s="851"/>
      <c r="B215" s="852" t="s">
        <v>812</v>
      </c>
      <c r="C215" s="853"/>
      <c r="D215" s="859">
        <v>5.43</v>
      </c>
      <c r="E215" s="855" t="s">
        <v>399</v>
      </c>
      <c r="F215" s="856">
        <v>2</v>
      </c>
      <c r="G215" s="857">
        <f>D215*F215</f>
        <v>10.86</v>
      </c>
      <c r="H215" s="850"/>
    </row>
    <row r="216" spans="1:8" hidden="1" x14ac:dyDescent="0.3">
      <c r="A216" s="851"/>
      <c r="B216" s="852" t="s">
        <v>748</v>
      </c>
      <c r="C216" s="853"/>
      <c r="D216" s="859">
        <v>0.04</v>
      </c>
      <c r="E216" s="855" t="s">
        <v>34</v>
      </c>
      <c r="F216" s="856">
        <v>287.5</v>
      </c>
      <c r="G216" s="857">
        <f>D216*F216</f>
        <v>11.5</v>
      </c>
      <c r="H216" s="850"/>
    </row>
    <row r="217" spans="1:8" hidden="1" x14ac:dyDescent="0.3">
      <c r="A217" s="851"/>
      <c r="B217" s="852" t="s">
        <v>750</v>
      </c>
      <c r="C217" s="853"/>
      <c r="D217" s="854">
        <v>5</v>
      </c>
      <c r="E217" s="855" t="s">
        <v>540</v>
      </c>
      <c r="F217" s="860">
        <v>1.44E-2</v>
      </c>
      <c r="G217" s="857">
        <f>D217*F217</f>
        <v>7.1999999999999995E-2</v>
      </c>
      <c r="H217" s="850"/>
    </row>
    <row r="218" spans="1:8" hidden="1" x14ac:dyDescent="0.3">
      <c r="A218" s="861"/>
      <c r="B218" s="862"/>
      <c r="C218" s="863" t="s">
        <v>831</v>
      </c>
      <c r="D218" s="864">
        <v>1</v>
      </c>
      <c r="E218" s="865" t="s">
        <v>33</v>
      </c>
      <c r="F218" s="866" t="s">
        <v>6</v>
      </c>
      <c r="G218" s="867">
        <f>SUM(G213:G217)</f>
        <v>146.12959999999998</v>
      </c>
      <c r="H218" s="868" t="s">
        <v>752</v>
      </c>
    </row>
    <row r="219" spans="1:8" hidden="1" x14ac:dyDescent="0.3">
      <c r="A219" s="851"/>
      <c r="B219" s="875"/>
      <c r="C219" s="852"/>
      <c r="D219" s="847"/>
      <c r="E219" s="847"/>
      <c r="F219" s="848"/>
      <c r="G219" s="849" t="s">
        <v>745</v>
      </c>
      <c r="H219" s="850"/>
    </row>
    <row r="220" spans="1:8" hidden="1" x14ac:dyDescent="0.3">
      <c r="A220" s="851"/>
      <c r="B220" s="875"/>
      <c r="C220" s="852"/>
      <c r="D220" s="847"/>
      <c r="E220" s="847"/>
      <c r="F220" s="848"/>
      <c r="G220" s="849" t="s">
        <v>745</v>
      </c>
      <c r="H220" s="850"/>
    </row>
    <row r="221" spans="1:8" hidden="1" x14ac:dyDescent="0.3">
      <c r="A221" s="851"/>
      <c r="B221" s="875"/>
      <c r="C221" s="852"/>
      <c r="D221" s="847"/>
      <c r="E221" s="847"/>
      <c r="F221" s="848"/>
      <c r="G221" s="849" t="s">
        <v>745</v>
      </c>
      <c r="H221" s="850"/>
    </row>
    <row r="222" spans="1:8" ht="19.5" hidden="1" thickBot="1" x14ac:dyDescent="0.35">
      <c r="A222" s="879"/>
      <c r="B222" s="880"/>
      <c r="C222" s="881"/>
      <c r="D222" s="883"/>
      <c r="E222" s="883"/>
      <c r="F222" s="884"/>
      <c r="G222" s="891" t="s">
        <v>745</v>
      </c>
      <c r="H222" s="885"/>
    </row>
    <row r="223" spans="1:8" hidden="1" x14ac:dyDescent="0.3">
      <c r="G223" s="888" t="str">
        <f>$G$37</f>
        <v xml:space="preserve"> เมษายน 2549</v>
      </c>
      <c r="H223" s="888"/>
    </row>
    <row r="224" spans="1:8" ht="19.5" hidden="1" x14ac:dyDescent="0.3">
      <c r="A224" s="820" t="s">
        <v>832</v>
      </c>
      <c r="B224" s="820"/>
      <c r="C224" s="820"/>
      <c r="D224" s="820"/>
      <c r="E224" s="820"/>
      <c r="F224" s="820"/>
      <c r="G224" s="820"/>
      <c r="H224" s="820"/>
    </row>
    <row r="225" spans="1:8" ht="20.25" hidden="1" thickBot="1" x14ac:dyDescent="0.35">
      <c r="A225" s="889" t="s">
        <v>758</v>
      </c>
      <c r="B225" s="889"/>
      <c r="C225" s="889"/>
      <c r="D225" s="889"/>
      <c r="E225" s="889"/>
      <c r="F225" s="889"/>
      <c r="G225" s="889"/>
      <c r="H225" s="889"/>
    </row>
    <row r="226" spans="1:8" hidden="1" x14ac:dyDescent="0.3">
      <c r="A226" s="823" t="s">
        <v>424</v>
      </c>
      <c r="B226" s="824" t="s">
        <v>1</v>
      </c>
      <c r="C226" s="825"/>
      <c r="D226" s="826" t="s">
        <v>24</v>
      </c>
      <c r="E226" s="826" t="s">
        <v>25</v>
      </c>
      <c r="F226" s="827" t="s">
        <v>390</v>
      </c>
      <c r="G226" s="828" t="s">
        <v>743</v>
      </c>
      <c r="H226" s="829" t="s">
        <v>20</v>
      </c>
    </row>
    <row r="227" spans="1:8" hidden="1" x14ac:dyDescent="0.3">
      <c r="A227" s="830"/>
      <c r="B227" s="831"/>
      <c r="C227" s="832"/>
      <c r="D227" s="833"/>
      <c r="E227" s="833"/>
      <c r="F227" s="834" t="s">
        <v>31</v>
      </c>
      <c r="G227" s="835" t="s">
        <v>31</v>
      </c>
      <c r="H227" s="836"/>
    </row>
    <row r="228" spans="1:8" s="844" customFormat="1" ht="19.5" hidden="1" x14ac:dyDescent="0.3">
      <c r="A228" s="837">
        <v>9</v>
      </c>
      <c r="B228" s="838" t="s">
        <v>833</v>
      </c>
      <c r="C228" s="890"/>
      <c r="D228" s="840"/>
      <c r="E228" s="840"/>
      <c r="F228" s="841"/>
      <c r="G228" s="842" t="s">
        <v>745</v>
      </c>
      <c r="H228" s="843"/>
    </row>
    <row r="229" spans="1:8" hidden="1" x14ac:dyDescent="0.3">
      <c r="A229" s="869">
        <v>9.1</v>
      </c>
      <c r="B229" s="846" t="s">
        <v>1358</v>
      </c>
      <c r="C229" s="852"/>
      <c r="D229" s="847"/>
      <c r="E229" s="847"/>
      <c r="F229" s="848"/>
      <c r="G229" s="849" t="s">
        <v>745</v>
      </c>
      <c r="H229" s="850"/>
    </row>
    <row r="230" spans="1:8" hidden="1" x14ac:dyDescent="0.3">
      <c r="A230" s="851"/>
      <c r="B230" s="852" t="s">
        <v>788</v>
      </c>
      <c r="C230" s="853"/>
      <c r="D230" s="859">
        <v>12.05</v>
      </c>
      <c r="E230" s="855" t="s">
        <v>399</v>
      </c>
      <c r="F230" s="856">
        <v>2.08</v>
      </c>
      <c r="G230" s="857">
        <f>D230*F230</f>
        <v>25.064000000000004</v>
      </c>
      <c r="H230" s="900" t="s">
        <v>745</v>
      </c>
    </row>
    <row r="231" spans="1:8" hidden="1" x14ac:dyDescent="0.3">
      <c r="A231" s="851"/>
      <c r="B231" s="852" t="s">
        <v>834</v>
      </c>
      <c r="C231" s="853"/>
      <c r="D231" s="859">
        <v>0.04</v>
      </c>
      <c r="E231" s="855" t="s">
        <v>34</v>
      </c>
      <c r="F231" s="856">
        <v>292.5</v>
      </c>
      <c r="G231" s="857">
        <f>D231*F231</f>
        <v>11.700000000000001</v>
      </c>
      <c r="H231" s="850"/>
    </row>
    <row r="232" spans="1:8" hidden="1" x14ac:dyDescent="0.3">
      <c r="A232" s="851"/>
      <c r="B232" s="852" t="s">
        <v>835</v>
      </c>
      <c r="C232" s="853"/>
      <c r="D232" s="854">
        <v>3</v>
      </c>
      <c r="E232" s="855" t="s">
        <v>540</v>
      </c>
      <c r="F232" s="860">
        <v>1.44E-2</v>
      </c>
      <c r="G232" s="857">
        <f>D232*F232</f>
        <v>4.3200000000000002E-2</v>
      </c>
      <c r="H232" s="850"/>
    </row>
    <row r="233" spans="1:8" hidden="1" x14ac:dyDescent="0.3">
      <c r="A233" s="861"/>
      <c r="B233" s="862"/>
      <c r="C233" s="863" t="s">
        <v>836</v>
      </c>
      <c r="D233" s="864">
        <v>1</v>
      </c>
      <c r="E233" s="865" t="s">
        <v>33</v>
      </c>
      <c r="F233" s="866" t="s">
        <v>6</v>
      </c>
      <c r="G233" s="911">
        <f>SUM(G230:G232)</f>
        <v>36.807200000000002</v>
      </c>
      <c r="H233" s="868" t="s">
        <v>752</v>
      </c>
    </row>
    <row r="234" spans="1:8" hidden="1" x14ac:dyDescent="0.3">
      <c r="A234" s="869">
        <v>9.1999999999999993</v>
      </c>
      <c r="B234" s="846" t="s">
        <v>1359</v>
      </c>
      <c r="C234" s="852"/>
      <c r="D234" s="847"/>
      <c r="E234" s="847"/>
      <c r="F234" s="848"/>
      <c r="G234" s="849" t="s">
        <v>745</v>
      </c>
      <c r="H234" s="850"/>
    </row>
    <row r="235" spans="1:8" hidden="1" x14ac:dyDescent="0.3">
      <c r="A235" s="851"/>
      <c r="B235" s="852" t="s">
        <v>788</v>
      </c>
      <c r="C235" s="853"/>
      <c r="D235" s="859">
        <v>12.05</v>
      </c>
      <c r="E235" s="855" t="s">
        <v>399</v>
      </c>
      <c r="F235" s="874">
        <v>2.67</v>
      </c>
      <c r="G235" s="857">
        <f>D235*F235</f>
        <v>32.173500000000004</v>
      </c>
      <c r="H235" s="900" t="s">
        <v>745</v>
      </c>
    </row>
    <row r="236" spans="1:8" hidden="1" x14ac:dyDescent="0.3">
      <c r="A236" s="851"/>
      <c r="B236" s="852" t="s">
        <v>812</v>
      </c>
      <c r="C236" s="853"/>
      <c r="D236" s="859">
        <v>7.7</v>
      </c>
      <c r="E236" s="855" t="s">
        <v>399</v>
      </c>
      <c r="F236" s="856"/>
      <c r="G236" s="857">
        <f>D236*F236</f>
        <v>0</v>
      </c>
      <c r="H236" s="858"/>
    </row>
    <row r="237" spans="1:8" hidden="1" x14ac:dyDescent="0.3">
      <c r="A237" s="851"/>
      <c r="B237" s="852" t="s">
        <v>834</v>
      </c>
      <c r="C237" s="853"/>
      <c r="D237" s="859">
        <v>0.04</v>
      </c>
      <c r="E237" s="855" t="s">
        <v>34</v>
      </c>
      <c r="F237" s="856">
        <v>819.31</v>
      </c>
      <c r="G237" s="857">
        <f>D237*F237</f>
        <v>32.772399999999998</v>
      </c>
      <c r="H237" s="850"/>
    </row>
    <row r="238" spans="1:8" hidden="1" x14ac:dyDescent="0.3">
      <c r="A238" s="851"/>
      <c r="B238" s="852" t="s">
        <v>835</v>
      </c>
      <c r="C238" s="853"/>
      <c r="D238" s="854">
        <v>3</v>
      </c>
      <c r="E238" s="855" t="s">
        <v>540</v>
      </c>
      <c r="F238" s="860"/>
      <c r="G238" s="857">
        <f>D238*F238</f>
        <v>0</v>
      </c>
      <c r="H238" s="850"/>
    </row>
    <row r="239" spans="1:8" hidden="1" x14ac:dyDescent="0.3">
      <c r="A239" s="861"/>
      <c r="B239" s="862"/>
      <c r="C239" s="863" t="s">
        <v>837</v>
      </c>
      <c r="D239" s="864">
        <v>1</v>
      </c>
      <c r="E239" s="865" t="s">
        <v>33</v>
      </c>
      <c r="F239" s="866" t="s">
        <v>6</v>
      </c>
      <c r="G239" s="943">
        <f>SUM(G235:G238)</f>
        <v>64.945899999999995</v>
      </c>
      <c r="H239" s="868" t="s">
        <v>752</v>
      </c>
    </row>
    <row r="240" spans="1:8" hidden="1" x14ac:dyDescent="0.3">
      <c r="A240" s="869">
        <v>9.3000000000000007</v>
      </c>
      <c r="B240" s="846" t="s">
        <v>1360</v>
      </c>
      <c r="C240" s="852"/>
      <c r="D240" s="847"/>
      <c r="E240" s="847"/>
      <c r="F240" s="848"/>
      <c r="G240" s="849" t="s">
        <v>745</v>
      </c>
      <c r="H240" s="850"/>
    </row>
    <row r="241" spans="1:8" hidden="1" x14ac:dyDescent="0.3">
      <c r="A241" s="851"/>
      <c r="B241" s="852" t="s">
        <v>788</v>
      </c>
      <c r="C241" s="853"/>
      <c r="D241" s="859">
        <v>18</v>
      </c>
      <c r="E241" s="855" t="s">
        <v>399</v>
      </c>
      <c r="F241" s="856">
        <v>2.08</v>
      </c>
      <c r="G241" s="857">
        <f>D241*F241</f>
        <v>37.44</v>
      </c>
      <c r="H241" s="900" t="s">
        <v>745</v>
      </c>
    </row>
    <row r="242" spans="1:8" hidden="1" x14ac:dyDescent="0.3">
      <c r="A242" s="851"/>
      <c r="B242" s="852" t="s">
        <v>812</v>
      </c>
      <c r="C242" s="853"/>
      <c r="D242" s="859">
        <v>7.7</v>
      </c>
      <c r="E242" s="855" t="s">
        <v>399</v>
      </c>
      <c r="F242" s="856">
        <v>2</v>
      </c>
      <c r="G242" s="857">
        <f>D242*F242</f>
        <v>15.4</v>
      </c>
      <c r="H242" s="858"/>
    </row>
    <row r="243" spans="1:8" hidden="1" x14ac:dyDescent="0.3">
      <c r="A243" s="851"/>
      <c r="B243" s="852" t="s">
        <v>834</v>
      </c>
      <c r="C243" s="853"/>
      <c r="D243" s="859">
        <v>0.04</v>
      </c>
      <c r="E243" s="855" t="s">
        <v>34</v>
      </c>
      <c r="F243" s="856">
        <v>292.5</v>
      </c>
      <c r="G243" s="857">
        <f>D243*F243</f>
        <v>11.700000000000001</v>
      </c>
      <c r="H243" s="850"/>
    </row>
    <row r="244" spans="1:8" hidden="1" x14ac:dyDescent="0.3">
      <c r="A244" s="851"/>
      <c r="B244" s="852" t="s">
        <v>835</v>
      </c>
      <c r="C244" s="853"/>
      <c r="D244" s="854">
        <v>3</v>
      </c>
      <c r="E244" s="855" t="s">
        <v>540</v>
      </c>
      <c r="F244" s="860">
        <v>1.44E-2</v>
      </c>
      <c r="G244" s="857">
        <f>D244*F244</f>
        <v>4.3200000000000002E-2</v>
      </c>
      <c r="H244" s="850"/>
    </row>
    <row r="245" spans="1:8" hidden="1" x14ac:dyDescent="0.3">
      <c r="A245" s="861"/>
      <c r="B245" s="862"/>
      <c r="C245" s="863" t="s">
        <v>838</v>
      </c>
      <c r="D245" s="864">
        <v>1</v>
      </c>
      <c r="E245" s="865" t="s">
        <v>33</v>
      </c>
      <c r="F245" s="866" t="s">
        <v>6</v>
      </c>
      <c r="G245" s="911">
        <f>SUM(G241:G244)</f>
        <v>64.583199999999991</v>
      </c>
      <c r="H245" s="868" t="s">
        <v>752</v>
      </c>
    </row>
    <row r="246" spans="1:8" hidden="1" x14ac:dyDescent="0.3">
      <c r="A246" s="869">
        <v>9.4</v>
      </c>
      <c r="B246" s="846" t="s">
        <v>1361</v>
      </c>
      <c r="C246" s="852"/>
      <c r="D246" s="847"/>
      <c r="E246" s="847"/>
      <c r="F246" s="848"/>
      <c r="G246" s="849" t="s">
        <v>745</v>
      </c>
      <c r="H246" s="850"/>
    </row>
    <row r="247" spans="1:8" hidden="1" x14ac:dyDescent="0.3">
      <c r="A247" s="851"/>
      <c r="B247" s="852" t="s">
        <v>788</v>
      </c>
      <c r="C247" s="853"/>
      <c r="D247" s="859">
        <v>18</v>
      </c>
      <c r="E247" s="855" t="s">
        <v>399</v>
      </c>
      <c r="F247" s="856">
        <v>2.08</v>
      </c>
      <c r="G247" s="857">
        <f>D247*F247</f>
        <v>37.44</v>
      </c>
      <c r="H247" s="900" t="s">
        <v>745</v>
      </c>
    </row>
    <row r="248" spans="1:8" hidden="1" x14ac:dyDescent="0.3">
      <c r="A248" s="851"/>
      <c r="B248" s="852" t="s">
        <v>812</v>
      </c>
      <c r="C248" s="853"/>
      <c r="D248" s="859">
        <v>7.7</v>
      </c>
      <c r="E248" s="855" t="s">
        <v>399</v>
      </c>
      <c r="F248" s="856">
        <v>2</v>
      </c>
      <c r="G248" s="857">
        <f>D248*F248</f>
        <v>15.4</v>
      </c>
      <c r="H248" s="858"/>
    </row>
    <row r="249" spans="1:8" hidden="1" x14ac:dyDescent="0.3">
      <c r="A249" s="851"/>
      <c r="B249" s="852" t="s">
        <v>834</v>
      </c>
      <c r="C249" s="853"/>
      <c r="D249" s="859">
        <v>0.04</v>
      </c>
      <c r="E249" s="855" t="s">
        <v>34</v>
      </c>
      <c r="F249" s="856">
        <v>292.5</v>
      </c>
      <c r="G249" s="857">
        <f>D249*F249</f>
        <v>11.700000000000001</v>
      </c>
      <c r="H249" s="850"/>
    </row>
    <row r="250" spans="1:8" hidden="1" x14ac:dyDescent="0.3">
      <c r="A250" s="851"/>
      <c r="B250" s="852" t="s">
        <v>793</v>
      </c>
      <c r="C250" s="853"/>
      <c r="D250" s="859">
        <v>0.08</v>
      </c>
      <c r="E250" s="855" t="s">
        <v>540</v>
      </c>
      <c r="F250" s="944">
        <v>25</v>
      </c>
      <c r="G250" s="857">
        <f>D250*F250</f>
        <v>2</v>
      </c>
      <c r="H250" s="850"/>
    </row>
    <row r="251" spans="1:8" hidden="1" x14ac:dyDescent="0.3">
      <c r="A251" s="851"/>
      <c r="B251" s="852" t="s">
        <v>835</v>
      </c>
      <c r="C251" s="853"/>
      <c r="D251" s="854">
        <v>3</v>
      </c>
      <c r="E251" s="855" t="s">
        <v>540</v>
      </c>
      <c r="F251" s="860">
        <v>1.44E-2</v>
      </c>
      <c r="G251" s="857">
        <f>D251*F251</f>
        <v>4.3200000000000002E-2</v>
      </c>
      <c r="H251" s="850"/>
    </row>
    <row r="252" spans="1:8" hidden="1" x14ac:dyDescent="0.3">
      <c r="A252" s="861"/>
      <c r="B252" s="862"/>
      <c r="C252" s="863" t="s">
        <v>839</v>
      </c>
      <c r="D252" s="864">
        <v>1</v>
      </c>
      <c r="E252" s="865" t="s">
        <v>33</v>
      </c>
      <c r="F252" s="866" t="s">
        <v>6</v>
      </c>
      <c r="G252" s="911">
        <f>SUM(G247:G251)</f>
        <v>66.583199999999991</v>
      </c>
      <c r="H252" s="868" t="s">
        <v>752</v>
      </c>
    </row>
    <row r="253" spans="1:8" hidden="1" x14ac:dyDescent="0.3">
      <c r="A253" s="869">
        <v>9.5</v>
      </c>
      <c r="B253" s="846" t="s">
        <v>1362</v>
      </c>
      <c r="C253" s="852"/>
      <c r="D253" s="847"/>
      <c r="E253" s="847"/>
      <c r="F253" s="848"/>
      <c r="G253" s="849" t="s">
        <v>745</v>
      </c>
      <c r="H253" s="850"/>
    </row>
    <row r="254" spans="1:8" hidden="1" x14ac:dyDescent="0.3">
      <c r="A254" s="851"/>
      <c r="B254" s="852" t="s">
        <v>788</v>
      </c>
      <c r="C254" s="853"/>
      <c r="D254" s="859">
        <v>12.05</v>
      </c>
      <c r="E254" s="855" t="s">
        <v>399</v>
      </c>
      <c r="F254" s="856">
        <v>2.08</v>
      </c>
      <c r="G254" s="857">
        <f>D254*F254</f>
        <v>25.064000000000004</v>
      </c>
      <c r="H254" s="900" t="s">
        <v>745</v>
      </c>
    </row>
    <row r="255" spans="1:8" hidden="1" x14ac:dyDescent="0.3">
      <c r="A255" s="851"/>
      <c r="B255" s="852" t="s">
        <v>812</v>
      </c>
      <c r="C255" s="853"/>
      <c r="D255" s="859">
        <v>11.55</v>
      </c>
      <c r="E255" s="855" t="s">
        <v>399</v>
      </c>
      <c r="F255" s="856">
        <v>2</v>
      </c>
      <c r="G255" s="857">
        <f>D255*F255</f>
        <v>23.1</v>
      </c>
      <c r="H255" s="858"/>
    </row>
    <row r="256" spans="1:8" hidden="1" x14ac:dyDescent="0.3">
      <c r="A256" s="851"/>
      <c r="B256" s="852" t="s">
        <v>834</v>
      </c>
      <c r="C256" s="853"/>
      <c r="D256" s="859">
        <v>0.08</v>
      </c>
      <c r="E256" s="855" t="s">
        <v>34</v>
      </c>
      <c r="F256" s="856">
        <v>292.5</v>
      </c>
      <c r="G256" s="857">
        <f>D256*F256</f>
        <v>23.400000000000002</v>
      </c>
      <c r="H256" s="850"/>
    </row>
    <row r="257" spans="1:8" hidden="1" x14ac:dyDescent="0.3">
      <c r="A257" s="851"/>
      <c r="B257" s="852" t="s">
        <v>835</v>
      </c>
      <c r="C257" s="853"/>
      <c r="D257" s="854">
        <v>5</v>
      </c>
      <c r="E257" s="855" t="s">
        <v>540</v>
      </c>
      <c r="F257" s="860">
        <v>1.44E-2</v>
      </c>
      <c r="G257" s="857">
        <f>D257*F257</f>
        <v>7.1999999999999995E-2</v>
      </c>
      <c r="H257" s="850"/>
    </row>
    <row r="258" spans="1:8" hidden="1" x14ac:dyDescent="0.3">
      <c r="A258" s="851"/>
      <c r="B258" s="875"/>
      <c r="C258" s="852" t="s">
        <v>840</v>
      </c>
      <c r="D258" s="854">
        <v>1</v>
      </c>
      <c r="E258" s="855" t="s">
        <v>33</v>
      </c>
      <c r="F258" s="876" t="s">
        <v>6</v>
      </c>
      <c r="G258" s="945">
        <f>SUM(G254:G257)</f>
        <v>71.63600000000001</v>
      </c>
      <c r="H258" s="878" t="s">
        <v>752</v>
      </c>
    </row>
    <row r="259" spans="1:8" ht="19.5" hidden="1" thickBot="1" x14ac:dyDescent="0.35">
      <c r="A259" s="879"/>
      <c r="B259" s="946"/>
      <c r="C259" s="881"/>
      <c r="D259" s="882"/>
      <c r="E259" s="915"/>
      <c r="F259" s="916"/>
      <c r="G259" s="947"/>
      <c r="H259" s="941"/>
    </row>
    <row r="260" spans="1:8" hidden="1" x14ac:dyDescent="0.3">
      <c r="D260" s="886"/>
      <c r="E260" s="918"/>
      <c r="F260" s="919"/>
      <c r="G260" s="888" t="str">
        <f>$G$37</f>
        <v xml:space="preserve"> เมษายน 2549</v>
      </c>
      <c r="H260" s="888"/>
    </row>
    <row r="261" spans="1:8" ht="19.5" hidden="1" x14ac:dyDescent="0.3">
      <c r="A261" s="820" t="s">
        <v>841</v>
      </c>
      <c r="B261" s="820"/>
      <c r="C261" s="820"/>
      <c r="D261" s="820"/>
      <c r="E261" s="820"/>
      <c r="F261" s="820"/>
      <c r="G261" s="820"/>
      <c r="H261" s="820"/>
    </row>
    <row r="262" spans="1:8" ht="20.25" hidden="1" thickBot="1" x14ac:dyDescent="0.35">
      <c r="A262" s="889" t="s">
        <v>758</v>
      </c>
      <c r="B262" s="889"/>
      <c r="C262" s="889"/>
      <c r="D262" s="889"/>
      <c r="E262" s="889"/>
      <c r="F262" s="889"/>
      <c r="G262" s="889"/>
      <c r="H262" s="889"/>
    </row>
    <row r="263" spans="1:8" hidden="1" x14ac:dyDescent="0.3">
      <c r="A263" s="823" t="s">
        <v>424</v>
      </c>
      <c r="B263" s="824" t="s">
        <v>1</v>
      </c>
      <c r="C263" s="825"/>
      <c r="D263" s="826" t="s">
        <v>24</v>
      </c>
      <c r="E263" s="826" t="s">
        <v>25</v>
      </c>
      <c r="F263" s="827" t="s">
        <v>390</v>
      </c>
      <c r="G263" s="828" t="s">
        <v>743</v>
      </c>
      <c r="H263" s="829" t="s">
        <v>20</v>
      </c>
    </row>
    <row r="264" spans="1:8" hidden="1" x14ac:dyDescent="0.3">
      <c r="A264" s="830"/>
      <c r="B264" s="831"/>
      <c r="C264" s="832"/>
      <c r="D264" s="833"/>
      <c r="E264" s="833"/>
      <c r="F264" s="834" t="s">
        <v>31</v>
      </c>
      <c r="G264" s="835" t="s">
        <v>31</v>
      </c>
      <c r="H264" s="836"/>
    </row>
    <row r="265" spans="1:8" hidden="1" x14ac:dyDescent="0.3">
      <c r="A265" s="869">
        <v>9.6</v>
      </c>
      <c r="B265" s="935" t="s">
        <v>1363</v>
      </c>
      <c r="C265" s="853"/>
      <c r="D265" s="870"/>
      <c r="E265" s="870"/>
      <c r="F265" s="871"/>
      <c r="G265" s="872" t="s">
        <v>745</v>
      </c>
      <c r="H265" s="873"/>
    </row>
    <row r="266" spans="1:8" hidden="1" x14ac:dyDescent="0.3">
      <c r="A266" s="851"/>
      <c r="B266" s="852" t="s">
        <v>788</v>
      </c>
      <c r="C266" s="853"/>
      <c r="D266" s="859">
        <v>12.05</v>
      </c>
      <c r="E266" s="855" t="s">
        <v>399</v>
      </c>
      <c r="F266" s="856">
        <v>2.35514</v>
      </c>
      <c r="G266" s="857">
        <f t="shared" ref="G266:G271" si="3">D266*F266</f>
        <v>28.379437000000003</v>
      </c>
      <c r="H266" s="900" t="s">
        <v>745</v>
      </c>
    </row>
    <row r="267" spans="1:8" hidden="1" x14ac:dyDescent="0.3">
      <c r="A267" s="851"/>
      <c r="B267" s="852" t="s">
        <v>842</v>
      </c>
      <c r="C267" s="853"/>
      <c r="D267" s="859">
        <v>8.43</v>
      </c>
      <c r="E267" s="855" t="s">
        <v>399</v>
      </c>
      <c r="F267" s="856">
        <v>6</v>
      </c>
      <c r="G267" s="857">
        <f t="shared" si="3"/>
        <v>50.58</v>
      </c>
      <c r="H267" s="858" t="s">
        <v>745</v>
      </c>
    </row>
    <row r="268" spans="1:8" hidden="1" x14ac:dyDescent="0.3">
      <c r="A268" s="851"/>
      <c r="B268" s="852" t="s">
        <v>843</v>
      </c>
      <c r="C268" s="853"/>
      <c r="D268" s="859">
        <v>28.03</v>
      </c>
      <c r="E268" s="855" t="s">
        <v>399</v>
      </c>
      <c r="F268" s="856">
        <v>2.8</v>
      </c>
      <c r="G268" s="857">
        <f t="shared" si="3"/>
        <v>78.483999999999995</v>
      </c>
      <c r="H268" s="850"/>
    </row>
    <row r="269" spans="1:8" hidden="1" x14ac:dyDescent="0.3">
      <c r="A269" s="936"/>
      <c r="B269" s="852" t="s">
        <v>844</v>
      </c>
      <c r="C269" s="853"/>
      <c r="D269" s="859">
        <v>0.5</v>
      </c>
      <c r="E269" s="855" t="s">
        <v>399</v>
      </c>
      <c r="F269" s="948">
        <v>65</v>
      </c>
      <c r="G269" s="857">
        <f t="shared" si="3"/>
        <v>32.5</v>
      </c>
      <c r="H269" s="873"/>
    </row>
    <row r="270" spans="1:8" hidden="1" x14ac:dyDescent="0.3">
      <c r="A270" s="936"/>
      <c r="B270" s="852" t="s">
        <v>748</v>
      </c>
      <c r="C270" s="853"/>
      <c r="D270" s="859">
        <v>0.1</v>
      </c>
      <c r="E270" s="855" t="s">
        <v>34</v>
      </c>
      <c r="F270" s="856">
        <v>514.02</v>
      </c>
      <c r="G270" s="857">
        <f t="shared" si="3"/>
        <v>51.402000000000001</v>
      </c>
      <c r="H270" s="873"/>
    </row>
    <row r="271" spans="1:8" hidden="1" x14ac:dyDescent="0.3">
      <c r="A271" s="936"/>
      <c r="B271" s="852" t="s">
        <v>835</v>
      </c>
      <c r="C271" s="853"/>
      <c r="D271" s="854">
        <v>8</v>
      </c>
      <c r="E271" s="855" t="s">
        <v>540</v>
      </c>
      <c r="F271" s="860"/>
      <c r="G271" s="857">
        <f t="shared" si="3"/>
        <v>0</v>
      </c>
      <c r="H271" s="873"/>
    </row>
    <row r="272" spans="1:8" hidden="1" x14ac:dyDescent="0.3">
      <c r="A272" s="861"/>
      <c r="B272" s="949"/>
      <c r="C272" s="863" t="s">
        <v>845</v>
      </c>
      <c r="D272" s="864">
        <v>1</v>
      </c>
      <c r="E272" s="865" t="s">
        <v>33</v>
      </c>
      <c r="F272" s="866" t="s">
        <v>6</v>
      </c>
      <c r="G272" s="911">
        <f>SUM(G266:G271)</f>
        <v>241.345437</v>
      </c>
      <c r="H272" s="868" t="s">
        <v>752</v>
      </c>
    </row>
    <row r="273" spans="1:8" hidden="1" x14ac:dyDescent="0.3">
      <c r="A273" s="869">
        <v>9.6999999999999993</v>
      </c>
      <c r="B273" s="935" t="s">
        <v>1364</v>
      </c>
      <c r="C273" s="853"/>
      <c r="D273" s="870"/>
      <c r="E273" s="870"/>
      <c r="F273" s="871"/>
      <c r="G273" s="872" t="s">
        <v>745</v>
      </c>
      <c r="H273" s="873"/>
    </row>
    <row r="274" spans="1:8" hidden="1" x14ac:dyDescent="0.3">
      <c r="A274" s="851"/>
      <c r="B274" s="852" t="s">
        <v>788</v>
      </c>
      <c r="C274" s="853"/>
      <c r="D274" s="859">
        <v>12.05</v>
      </c>
      <c r="E274" s="855" t="s">
        <v>399</v>
      </c>
      <c r="F274" s="856">
        <v>2.08</v>
      </c>
      <c r="G274" s="857">
        <f t="shared" ref="G274:G279" si="4">D274*F274</f>
        <v>25.064000000000004</v>
      </c>
      <c r="H274" s="900" t="s">
        <v>745</v>
      </c>
    </row>
    <row r="275" spans="1:8" hidden="1" x14ac:dyDescent="0.3">
      <c r="A275" s="851"/>
      <c r="B275" s="852" t="s">
        <v>842</v>
      </c>
      <c r="C275" s="853"/>
      <c r="D275" s="859">
        <v>8.42</v>
      </c>
      <c r="E275" s="855" t="s">
        <v>399</v>
      </c>
      <c r="F275" s="856">
        <v>4.9400000000000004</v>
      </c>
      <c r="G275" s="857">
        <f t="shared" si="4"/>
        <v>41.594800000000006</v>
      </c>
      <c r="H275" s="858" t="s">
        <v>745</v>
      </c>
    </row>
    <row r="276" spans="1:8" hidden="1" x14ac:dyDescent="0.3">
      <c r="A276" s="851"/>
      <c r="B276" s="852" t="s">
        <v>846</v>
      </c>
      <c r="C276" s="853"/>
      <c r="D276" s="859">
        <v>22</v>
      </c>
      <c r="E276" s="855" t="s">
        <v>399</v>
      </c>
      <c r="F276" s="856">
        <v>2.8</v>
      </c>
      <c r="G276" s="857">
        <f t="shared" si="4"/>
        <v>61.599999999999994</v>
      </c>
      <c r="H276" s="850"/>
    </row>
    <row r="277" spans="1:8" hidden="1" x14ac:dyDescent="0.3">
      <c r="A277" s="936"/>
      <c r="B277" s="852" t="s">
        <v>844</v>
      </c>
      <c r="C277" s="853"/>
      <c r="D277" s="859">
        <v>0.5</v>
      </c>
      <c r="E277" s="855" t="s">
        <v>399</v>
      </c>
      <c r="F277" s="948">
        <v>65</v>
      </c>
      <c r="G277" s="857">
        <f t="shared" si="4"/>
        <v>32.5</v>
      </c>
      <c r="H277" s="873"/>
    </row>
    <row r="278" spans="1:8" hidden="1" x14ac:dyDescent="0.3">
      <c r="A278" s="936"/>
      <c r="B278" s="852" t="s">
        <v>748</v>
      </c>
      <c r="C278" s="853"/>
      <c r="D278" s="859">
        <v>0.1</v>
      </c>
      <c r="E278" s="855" t="s">
        <v>34</v>
      </c>
      <c r="F278" s="856">
        <v>287.5</v>
      </c>
      <c r="G278" s="857">
        <f t="shared" si="4"/>
        <v>28.75</v>
      </c>
      <c r="H278" s="873"/>
    </row>
    <row r="279" spans="1:8" hidden="1" x14ac:dyDescent="0.3">
      <c r="A279" s="936"/>
      <c r="B279" s="852" t="s">
        <v>835</v>
      </c>
      <c r="C279" s="853"/>
      <c r="D279" s="854">
        <v>8</v>
      </c>
      <c r="E279" s="855" t="s">
        <v>540</v>
      </c>
      <c r="F279" s="860">
        <v>1.44E-2</v>
      </c>
      <c r="G279" s="857">
        <f t="shared" si="4"/>
        <v>0.1152</v>
      </c>
      <c r="H279" s="873"/>
    </row>
    <row r="280" spans="1:8" hidden="1" x14ac:dyDescent="0.3">
      <c r="A280" s="861"/>
      <c r="B280" s="949"/>
      <c r="C280" s="863" t="s">
        <v>847</v>
      </c>
      <c r="D280" s="864">
        <v>1</v>
      </c>
      <c r="E280" s="865" t="s">
        <v>33</v>
      </c>
      <c r="F280" s="866" t="s">
        <v>6</v>
      </c>
      <c r="G280" s="911">
        <f>SUM(G274:G279)</f>
        <v>189.624</v>
      </c>
      <c r="H280" s="868" t="s">
        <v>752</v>
      </c>
    </row>
    <row r="281" spans="1:8" hidden="1" x14ac:dyDescent="0.3">
      <c r="A281" s="869">
        <v>9.8000000000000007</v>
      </c>
      <c r="B281" s="935" t="s">
        <v>848</v>
      </c>
      <c r="C281" s="853"/>
      <c r="D281" s="870"/>
      <c r="E281" s="870"/>
      <c r="F281" s="871"/>
      <c r="G281" s="872" t="s">
        <v>745</v>
      </c>
      <c r="H281" s="873"/>
    </row>
    <row r="282" spans="1:8" hidden="1" x14ac:dyDescent="0.3">
      <c r="A282" s="851"/>
      <c r="B282" s="852" t="s">
        <v>849</v>
      </c>
      <c r="C282" s="853"/>
      <c r="D282" s="854">
        <v>105</v>
      </c>
      <c r="E282" s="855" t="s">
        <v>850</v>
      </c>
      <c r="F282" s="856">
        <v>1.6</v>
      </c>
      <c r="G282" s="857">
        <f t="shared" ref="G282:G287" si="5">D282*F282</f>
        <v>168</v>
      </c>
      <c r="H282" s="850"/>
    </row>
    <row r="283" spans="1:8" hidden="1" x14ac:dyDescent="0.3">
      <c r="A283" s="851"/>
      <c r="B283" s="852" t="s">
        <v>788</v>
      </c>
      <c r="C283" s="853"/>
      <c r="D283" s="859">
        <v>18</v>
      </c>
      <c r="E283" s="855" t="s">
        <v>399</v>
      </c>
      <c r="F283" s="856">
        <v>2.08</v>
      </c>
      <c r="G283" s="857">
        <f t="shared" si="5"/>
        <v>37.44</v>
      </c>
      <c r="H283" s="900" t="s">
        <v>745</v>
      </c>
    </row>
    <row r="284" spans="1:8" hidden="1" x14ac:dyDescent="0.3">
      <c r="A284" s="851"/>
      <c r="B284" s="852" t="s">
        <v>851</v>
      </c>
      <c r="C284" s="853"/>
      <c r="D284" s="859">
        <v>0.25</v>
      </c>
      <c r="E284" s="855" t="s">
        <v>399</v>
      </c>
      <c r="F284" s="856">
        <v>5.47</v>
      </c>
      <c r="G284" s="857">
        <f t="shared" si="5"/>
        <v>1.3674999999999999</v>
      </c>
      <c r="H284" s="850"/>
    </row>
    <row r="285" spans="1:8" hidden="1" x14ac:dyDescent="0.3">
      <c r="A285" s="851"/>
      <c r="B285" s="852" t="s">
        <v>834</v>
      </c>
      <c r="C285" s="853"/>
      <c r="D285" s="859">
        <v>0.04</v>
      </c>
      <c r="E285" s="855" t="s">
        <v>34</v>
      </c>
      <c r="F285" s="856">
        <v>292.5</v>
      </c>
      <c r="G285" s="857">
        <f t="shared" si="5"/>
        <v>11.700000000000001</v>
      </c>
      <c r="H285" s="850"/>
    </row>
    <row r="286" spans="1:8" hidden="1" x14ac:dyDescent="0.3">
      <c r="A286" s="851"/>
      <c r="B286" s="852" t="s">
        <v>835</v>
      </c>
      <c r="C286" s="853"/>
      <c r="D286" s="854">
        <v>6</v>
      </c>
      <c r="E286" s="855" t="s">
        <v>540</v>
      </c>
      <c r="F286" s="860">
        <v>1.44E-2</v>
      </c>
      <c r="G286" s="857">
        <f t="shared" si="5"/>
        <v>8.6400000000000005E-2</v>
      </c>
      <c r="H286" s="850"/>
    </row>
    <row r="287" spans="1:8" hidden="1" x14ac:dyDescent="0.3">
      <c r="A287" s="851"/>
      <c r="B287" s="852" t="s">
        <v>852</v>
      </c>
      <c r="C287" s="853"/>
      <c r="D287" s="859">
        <v>0.02</v>
      </c>
      <c r="E287" s="855" t="s">
        <v>399</v>
      </c>
      <c r="F287" s="856">
        <v>150</v>
      </c>
      <c r="G287" s="857">
        <f t="shared" si="5"/>
        <v>3</v>
      </c>
      <c r="H287" s="850"/>
    </row>
    <row r="288" spans="1:8" hidden="1" x14ac:dyDescent="0.3">
      <c r="A288" s="950"/>
      <c r="B288" s="951"/>
      <c r="C288" s="952" t="s">
        <v>853</v>
      </c>
      <c r="D288" s="953">
        <v>1</v>
      </c>
      <c r="E288" s="954" t="s">
        <v>33</v>
      </c>
      <c r="F288" s="955" t="s">
        <v>6</v>
      </c>
      <c r="G288" s="956">
        <f>SUM(G282:G287)</f>
        <v>221.59389999999999</v>
      </c>
      <c r="H288" s="957" t="s">
        <v>752</v>
      </c>
    </row>
    <row r="289" spans="1:8" hidden="1" x14ac:dyDescent="0.3">
      <c r="A289" s="869">
        <v>9.9</v>
      </c>
      <c r="B289" s="846" t="s">
        <v>854</v>
      </c>
      <c r="C289" s="852"/>
      <c r="D289" s="847"/>
      <c r="E289" s="847"/>
      <c r="F289" s="848"/>
      <c r="G289" s="849" t="s">
        <v>745</v>
      </c>
      <c r="H289" s="850"/>
    </row>
    <row r="290" spans="1:8" hidden="1" x14ac:dyDescent="0.3">
      <c r="A290" s="851"/>
      <c r="B290" s="852" t="s">
        <v>855</v>
      </c>
      <c r="C290" s="853"/>
      <c r="D290" s="854">
        <v>105</v>
      </c>
      <c r="E290" s="855" t="s">
        <v>850</v>
      </c>
      <c r="F290" s="856">
        <v>1.9</v>
      </c>
      <c r="G290" s="857">
        <f t="shared" ref="G290:G295" si="6">D290*F290</f>
        <v>199.5</v>
      </c>
      <c r="H290" s="850"/>
    </row>
    <row r="291" spans="1:8" hidden="1" x14ac:dyDescent="0.3">
      <c r="A291" s="851"/>
      <c r="B291" s="852" t="s">
        <v>788</v>
      </c>
      <c r="C291" s="853"/>
      <c r="D291" s="859">
        <v>18</v>
      </c>
      <c r="E291" s="855" t="s">
        <v>399</v>
      </c>
      <c r="F291" s="856">
        <v>2.08</v>
      </c>
      <c r="G291" s="857">
        <f t="shared" si="6"/>
        <v>37.44</v>
      </c>
      <c r="H291" s="900" t="s">
        <v>745</v>
      </c>
    </row>
    <row r="292" spans="1:8" hidden="1" x14ac:dyDescent="0.3">
      <c r="A292" s="851"/>
      <c r="B292" s="852" t="s">
        <v>851</v>
      </c>
      <c r="C292" s="853"/>
      <c r="D292" s="859">
        <v>0.25</v>
      </c>
      <c r="E292" s="855" t="s">
        <v>399</v>
      </c>
      <c r="F292" s="856">
        <v>5.47</v>
      </c>
      <c r="G292" s="857">
        <f t="shared" si="6"/>
        <v>1.3674999999999999</v>
      </c>
      <c r="H292" s="850"/>
    </row>
    <row r="293" spans="1:8" hidden="1" x14ac:dyDescent="0.3">
      <c r="A293" s="851"/>
      <c r="B293" s="852" t="s">
        <v>834</v>
      </c>
      <c r="C293" s="853"/>
      <c r="D293" s="859">
        <v>0.04</v>
      </c>
      <c r="E293" s="855" t="s">
        <v>34</v>
      </c>
      <c r="F293" s="856">
        <v>292.5</v>
      </c>
      <c r="G293" s="857">
        <f t="shared" si="6"/>
        <v>11.700000000000001</v>
      </c>
      <c r="H293" s="850"/>
    </row>
    <row r="294" spans="1:8" hidden="1" x14ac:dyDescent="0.3">
      <c r="A294" s="851"/>
      <c r="B294" s="852" t="s">
        <v>835</v>
      </c>
      <c r="C294" s="853"/>
      <c r="D294" s="854">
        <v>6</v>
      </c>
      <c r="E294" s="855" t="s">
        <v>540</v>
      </c>
      <c r="F294" s="860">
        <v>1.44E-2</v>
      </c>
      <c r="G294" s="857">
        <f t="shared" si="6"/>
        <v>8.6400000000000005E-2</v>
      </c>
      <c r="H294" s="850"/>
    </row>
    <row r="295" spans="1:8" hidden="1" x14ac:dyDescent="0.3">
      <c r="A295" s="851"/>
      <c r="B295" s="852" t="s">
        <v>852</v>
      </c>
      <c r="C295" s="853"/>
      <c r="D295" s="859">
        <v>0.02</v>
      </c>
      <c r="E295" s="855" t="s">
        <v>399</v>
      </c>
      <c r="F295" s="856">
        <v>150</v>
      </c>
      <c r="G295" s="857">
        <f t="shared" si="6"/>
        <v>3</v>
      </c>
      <c r="H295" s="850"/>
    </row>
    <row r="296" spans="1:8" ht="19.5" hidden="1" thickBot="1" x14ac:dyDescent="0.35">
      <c r="A296" s="879"/>
      <c r="B296" s="880"/>
      <c r="C296" s="881" t="s">
        <v>856</v>
      </c>
      <c r="D296" s="882">
        <v>1</v>
      </c>
      <c r="E296" s="915" t="s">
        <v>33</v>
      </c>
      <c r="F296" s="916" t="s">
        <v>6</v>
      </c>
      <c r="G296" s="917">
        <f>SUM(G290:G295)</f>
        <v>253.09389999999999</v>
      </c>
      <c r="H296" s="941" t="s">
        <v>752</v>
      </c>
    </row>
    <row r="297" spans="1:8" hidden="1" x14ac:dyDescent="0.3">
      <c r="D297" s="886"/>
      <c r="E297" s="918"/>
      <c r="F297" s="919"/>
      <c r="G297" s="888" t="str">
        <f>$G$37</f>
        <v xml:space="preserve"> เมษายน 2549</v>
      </c>
      <c r="H297" s="888"/>
    </row>
    <row r="298" spans="1:8" ht="19.5" hidden="1" x14ac:dyDescent="0.3">
      <c r="A298" s="820" t="s">
        <v>857</v>
      </c>
      <c r="B298" s="820"/>
      <c r="C298" s="820"/>
      <c r="D298" s="820"/>
      <c r="E298" s="820"/>
      <c r="F298" s="820"/>
      <c r="G298" s="820"/>
      <c r="H298" s="820"/>
    </row>
    <row r="299" spans="1:8" ht="20.25" hidden="1" thickBot="1" x14ac:dyDescent="0.35">
      <c r="A299" s="889" t="s">
        <v>758</v>
      </c>
      <c r="B299" s="889"/>
      <c r="C299" s="889"/>
      <c r="D299" s="889"/>
      <c r="E299" s="889"/>
      <c r="F299" s="889"/>
      <c r="G299" s="889"/>
      <c r="H299" s="889"/>
    </row>
    <row r="300" spans="1:8" hidden="1" x14ac:dyDescent="0.3">
      <c r="A300" s="823" t="s">
        <v>424</v>
      </c>
      <c r="B300" s="824" t="s">
        <v>1</v>
      </c>
      <c r="C300" s="825"/>
      <c r="D300" s="826" t="s">
        <v>24</v>
      </c>
      <c r="E300" s="826" t="s">
        <v>25</v>
      </c>
      <c r="F300" s="827" t="s">
        <v>390</v>
      </c>
      <c r="G300" s="828" t="s">
        <v>743</v>
      </c>
      <c r="H300" s="829" t="s">
        <v>20</v>
      </c>
    </row>
    <row r="301" spans="1:8" hidden="1" x14ac:dyDescent="0.3">
      <c r="A301" s="830"/>
      <c r="B301" s="831"/>
      <c r="C301" s="832"/>
      <c r="D301" s="833"/>
      <c r="E301" s="833"/>
      <c r="F301" s="834" t="s">
        <v>31</v>
      </c>
      <c r="G301" s="835" t="s">
        <v>31</v>
      </c>
      <c r="H301" s="836"/>
    </row>
    <row r="302" spans="1:8" hidden="1" x14ac:dyDescent="0.3">
      <c r="A302" s="958">
        <v>9.1</v>
      </c>
      <c r="B302" s="846" t="s">
        <v>858</v>
      </c>
      <c r="C302" s="852"/>
      <c r="D302" s="847"/>
      <c r="E302" s="847"/>
      <c r="F302" s="848"/>
      <c r="G302" s="849" t="s">
        <v>745</v>
      </c>
      <c r="H302" s="850"/>
    </row>
    <row r="303" spans="1:8" hidden="1" x14ac:dyDescent="0.3">
      <c r="A303" s="851"/>
      <c r="B303" s="852" t="s">
        <v>859</v>
      </c>
      <c r="C303" s="853"/>
      <c r="D303" s="854">
        <v>28</v>
      </c>
      <c r="E303" s="855" t="s">
        <v>850</v>
      </c>
      <c r="F303" s="856">
        <v>5</v>
      </c>
      <c r="G303" s="857">
        <f t="shared" ref="G303:G308" si="7">D303*F303</f>
        <v>140</v>
      </c>
      <c r="H303" s="850"/>
    </row>
    <row r="304" spans="1:8" hidden="1" x14ac:dyDescent="0.3">
      <c r="A304" s="851"/>
      <c r="B304" s="852" t="s">
        <v>860</v>
      </c>
      <c r="C304" s="853"/>
      <c r="D304" s="859">
        <v>18</v>
      </c>
      <c r="E304" s="855" t="s">
        <v>399</v>
      </c>
      <c r="F304" s="856">
        <v>2.08</v>
      </c>
      <c r="G304" s="857">
        <f t="shared" si="7"/>
        <v>37.44</v>
      </c>
      <c r="H304" s="900" t="s">
        <v>745</v>
      </c>
    </row>
    <row r="305" spans="1:8" hidden="1" x14ac:dyDescent="0.3">
      <c r="A305" s="851"/>
      <c r="B305" s="852" t="s">
        <v>851</v>
      </c>
      <c r="C305" s="853"/>
      <c r="D305" s="859">
        <v>0.25</v>
      </c>
      <c r="E305" s="855" t="s">
        <v>399</v>
      </c>
      <c r="F305" s="856">
        <v>5.47</v>
      </c>
      <c r="G305" s="857">
        <f t="shared" si="7"/>
        <v>1.3674999999999999</v>
      </c>
      <c r="H305" s="850"/>
    </row>
    <row r="306" spans="1:8" hidden="1" x14ac:dyDescent="0.3">
      <c r="A306" s="851"/>
      <c r="B306" s="852" t="s">
        <v>834</v>
      </c>
      <c r="C306" s="853"/>
      <c r="D306" s="859">
        <v>0.04</v>
      </c>
      <c r="E306" s="855" t="s">
        <v>34</v>
      </c>
      <c r="F306" s="856">
        <v>292.5</v>
      </c>
      <c r="G306" s="857">
        <f t="shared" si="7"/>
        <v>11.700000000000001</v>
      </c>
      <c r="H306" s="850"/>
    </row>
    <row r="307" spans="1:8" hidden="1" x14ac:dyDescent="0.3">
      <c r="A307" s="851"/>
      <c r="B307" s="852" t="s">
        <v>835</v>
      </c>
      <c r="C307" s="853"/>
      <c r="D307" s="854">
        <v>6</v>
      </c>
      <c r="E307" s="855" t="s">
        <v>540</v>
      </c>
      <c r="F307" s="860">
        <v>1.44E-2</v>
      </c>
      <c r="G307" s="857">
        <f t="shared" si="7"/>
        <v>8.6400000000000005E-2</v>
      </c>
      <c r="H307" s="850"/>
    </row>
    <row r="308" spans="1:8" hidden="1" x14ac:dyDescent="0.3">
      <c r="A308" s="851"/>
      <c r="B308" s="852" t="s">
        <v>852</v>
      </c>
      <c r="C308" s="853"/>
      <c r="D308" s="859">
        <v>0.02</v>
      </c>
      <c r="E308" s="855" t="s">
        <v>399</v>
      </c>
      <c r="F308" s="856">
        <v>150</v>
      </c>
      <c r="G308" s="857">
        <f t="shared" si="7"/>
        <v>3</v>
      </c>
      <c r="H308" s="850"/>
    </row>
    <row r="309" spans="1:8" hidden="1" x14ac:dyDescent="0.3">
      <c r="A309" s="950"/>
      <c r="B309" s="951"/>
      <c r="C309" s="952" t="s">
        <v>861</v>
      </c>
      <c r="D309" s="953">
        <v>1</v>
      </c>
      <c r="E309" s="954" t="s">
        <v>33</v>
      </c>
      <c r="F309" s="955" t="s">
        <v>6</v>
      </c>
      <c r="G309" s="956">
        <f>SUM(G303:G308)</f>
        <v>193.59389999999999</v>
      </c>
      <c r="H309" s="957" t="s">
        <v>752</v>
      </c>
    </row>
    <row r="310" spans="1:8" hidden="1" x14ac:dyDescent="0.3">
      <c r="A310" s="869">
        <v>9.11</v>
      </c>
      <c r="B310" s="846" t="s">
        <v>862</v>
      </c>
      <c r="C310" s="852"/>
      <c r="D310" s="847"/>
      <c r="E310" s="847"/>
      <c r="F310" s="848"/>
      <c r="G310" s="849" t="s">
        <v>745</v>
      </c>
      <c r="H310" s="850"/>
    </row>
    <row r="311" spans="1:8" hidden="1" x14ac:dyDescent="0.3">
      <c r="A311" s="851"/>
      <c r="B311" s="852" t="s">
        <v>863</v>
      </c>
      <c r="C311" s="853"/>
      <c r="D311" s="854">
        <v>28</v>
      </c>
      <c r="E311" s="855" t="s">
        <v>850</v>
      </c>
      <c r="F311" s="856">
        <v>6.5</v>
      </c>
      <c r="G311" s="857">
        <f t="shared" ref="G311:G316" si="8">D311*F311</f>
        <v>182</v>
      </c>
      <c r="H311" s="850" t="s">
        <v>864</v>
      </c>
    </row>
    <row r="312" spans="1:8" hidden="1" x14ac:dyDescent="0.3">
      <c r="A312" s="851"/>
      <c r="B312" s="852" t="s">
        <v>860</v>
      </c>
      <c r="C312" s="853"/>
      <c r="D312" s="859">
        <v>18</v>
      </c>
      <c r="E312" s="855" t="s">
        <v>399</v>
      </c>
      <c r="F312" s="856">
        <v>2.4900000000000002</v>
      </c>
      <c r="G312" s="857">
        <f t="shared" si="8"/>
        <v>44.820000000000007</v>
      </c>
      <c r="H312" s="900" t="s">
        <v>745</v>
      </c>
    </row>
    <row r="313" spans="1:8" hidden="1" x14ac:dyDescent="0.3">
      <c r="A313" s="851"/>
      <c r="B313" s="852" t="s">
        <v>851</v>
      </c>
      <c r="C313" s="853"/>
      <c r="D313" s="859">
        <v>0.25</v>
      </c>
      <c r="E313" s="855" t="s">
        <v>399</v>
      </c>
      <c r="F313" s="856">
        <v>5</v>
      </c>
      <c r="G313" s="857">
        <f t="shared" si="8"/>
        <v>1.25</v>
      </c>
      <c r="H313" s="850"/>
    </row>
    <row r="314" spans="1:8" hidden="1" x14ac:dyDescent="0.3">
      <c r="A314" s="851"/>
      <c r="B314" s="852" t="s">
        <v>834</v>
      </c>
      <c r="C314" s="853"/>
      <c r="D314" s="859">
        <v>0.04</v>
      </c>
      <c r="E314" s="855" t="s">
        <v>34</v>
      </c>
      <c r="F314" s="856">
        <v>600</v>
      </c>
      <c r="G314" s="857">
        <f t="shared" si="8"/>
        <v>24</v>
      </c>
      <c r="H314" s="850"/>
    </row>
    <row r="315" spans="1:8" hidden="1" x14ac:dyDescent="0.3">
      <c r="A315" s="851"/>
      <c r="B315" s="852" t="s">
        <v>835</v>
      </c>
      <c r="C315" s="853"/>
      <c r="D315" s="854">
        <v>6</v>
      </c>
      <c r="E315" s="855" t="s">
        <v>540</v>
      </c>
      <c r="F315" s="860"/>
      <c r="G315" s="857">
        <f t="shared" si="8"/>
        <v>0</v>
      </c>
      <c r="H315" s="850"/>
    </row>
    <row r="316" spans="1:8" hidden="1" x14ac:dyDescent="0.3">
      <c r="A316" s="851"/>
      <c r="B316" s="852" t="s">
        <v>852</v>
      </c>
      <c r="C316" s="853"/>
      <c r="D316" s="859">
        <v>0.02</v>
      </c>
      <c r="E316" s="855" t="s">
        <v>399</v>
      </c>
      <c r="F316" s="856"/>
      <c r="G316" s="857">
        <f t="shared" si="8"/>
        <v>0</v>
      </c>
      <c r="H316" s="850"/>
    </row>
    <row r="317" spans="1:8" hidden="1" x14ac:dyDescent="0.3">
      <c r="A317" s="950"/>
      <c r="B317" s="951"/>
      <c r="C317" s="952" t="s">
        <v>865</v>
      </c>
      <c r="D317" s="953">
        <v>1</v>
      </c>
      <c r="E317" s="954" t="s">
        <v>33</v>
      </c>
      <c r="F317" s="955" t="s">
        <v>6</v>
      </c>
      <c r="G317" s="956">
        <f>SUM(G311:G316)</f>
        <v>252.07</v>
      </c>
      <c r="H317" s="957" t="s">
        <v>752</v>
      </c>
    </row>
    <row r="318" spans="1:8" hidden="1" x14ac:dyDescent="0.3">
      <c r="A318" s="869">
        <v>9.1199999999999992</v>
      </c>
      <c r="B318" s="846" t="s">
        <v>866</v>
      </c>
      <c r="C318" s="852"/>
      <c r="D318" s="847"/>
      <c r="E318" s="847"/>
      <c r="F318" s="848"/>
      <c r="G318" s="849" t="s">
        <v>745</v>
      </c>
      <c r="H318" s="850"/>
    </row>
    <row r="319" spans="1:8" hidden="1" x14ac:dyDescent="0.3">
      <c r="A319" s="851"/>
      <c r="B319" s="852" t="s">
        <v>867</v>
      </c>
      <c r="C319" s="853"/>
      <c r="D319" s="854">
        <v>28</v>
      </c>
      <c r="E319" s="855" t="s">
        <v>850</v>
      </c>
      <c r="F319" s="856">
        <v>6.25</v>
      </c>
      <c r="G319" s="857">
        <f t="shared" ref="G319:G324" si="9">D319*F319</f>
        <v>175</v>
      </c>
      <c r="H319" s="850"/>
    </row>
    <row r="320" spans="1:8" hidden="1" x14ac:dyDescent="0.3">
      <c r="A320" s="851"/>
      <c r="B320" s="852" t="s">
        <v>860</v>
      </c>
      <c r="C320" s="853"/>
      <c r="D320" s="859">
        <v>18</v>
      </c>
      <c r="E320" s="855" t="s">
        <v>399</v>
      </c>
      <c r="F320" s="856">
        <v>2.56</v>
      </c>
      <c r="G320" s="857">
        <f t="shared" si="9"/>
        <v>46.08</v>
      </c>
      <c r="H320" s="900" t="s">
        <v>745</v>
      </c>
    </row>
    <row r="321" spans="1:8" hidden="1" x14ac:dyDescent="0.3">
      <c r="A321" s="851"/>
      <c r="B321" s="852" t="s">
        <v>851</v>
      </c>
      <c r="C321" s="853"/>
      <c r="D321" s="859">
        <v>0.25</v>
      </c>
      <c r="E321" s="855" t="s">
        <v>399</v>
      </c>
      <c r="F321" s="856">
        <v>5.47</v>
      </c>
      <c r="G321" s="857">
        <f t="shared" si="9"/>
        <v>1.3674999999999999</v>
      </c>
      <c r="H321" s="850"/>
    </row>
    <row r="322" spans="1:8" hidden="1" x14ac:dyDescent="0.3">
      <c r="A322" s="851"/>
      <c r="B322" s="852" t="s">
        <v>834</v>
      </c>
      <c r="C322" s="853"/>
      <c r="D322" s="859">
        <v>0.04</v>
      </c>
      <c r="E322" s="855" t="s">
        <v>34</v>
      </c>
      <c r="F322" s="856">
        <v>650</v>
      </c>
      <c r="G322" s="857">
        <f t="shared" si="9"/>
        <v>26</v>
      </c>
      <c r="H322" s="850"/>
    </row>
    <row r="323" spans="1:8" hidden="1" x14ac:dyDescent="0.3">
      <c r="A323" s="851"/>
      <c r="B323" s="852" t="s">
        <v>835</v>
      </c>
      <c r="C323" s="853"/>
      <c r="D323" s="854">
        <v>6</v>
      </c>
      <c r="E323" s="855" t="s">
        <v>540</v>
      </c>
      <c r="F323" s="860"/>
      <c r="G323" s="857">
        <f t="shared" si="9"/>
        <v>0</v>
      </c>
      <c r="H323" s="850"/>
    </row>
    <row r="324" spans="1:8" hidden="1" x14ac:dyDescent="0.3">
      <c r="A324" s="851"/>
      <c r="B324" s="852" t="s">
        <v>852</v>
      </c>
      <c r="C324" s="853"/>
      <c r="D324" s="859">
        <v>0.02</v>
      </c>
      <c r="E324" s="855" t="s">
        <v>399</v>
      </c>
      <c r="F324" s="856">
        <v>0</v>
      </c>
      <c r="G324" s="857">
        <f t="shared" si="9"/>
        <v>0</v>
      </c>
      <c r="H324" s="850"/>
    </row>
    <row r="325" spans="1:8" hidden="1" x14ac:dyDescent="0.3">
      <c r="A325" s="950"/>
      <c r="B325" s="951"/>
      <c r="C325" s="952" t="s">
        <v>868</v>
      </c>
      <c r="D325" s="953">
        <v>1</v>
      </c>
      <c r="E325" s="954" t="s">
        <v>33</v>
      </c>
      <c r="F325" s="955" t="s">
        <v>6</v>
      </c>
      <c r="G325" s="956">
        <f>SUM(G319:G324)</f>
        <v>248.44749999999999</v>
      </c>
      <c r="H325" s="957" t="s">
        <v>752</v>
      </c>
    </row>
    <row r="326" spans="1:8" hidden="1" x14ac:dyDescent="0.3">
      <c r="A326" s="869">
        <v>9.1300000000000008</v>
      </c>
      <c r="B326" s="846" t="s">
        <v>869</v>
      </c>
      <c r="C326" s="852"/>
      <c r="D326" s="847"/>
      <c r="E326" s="847"/>
      <c r="F326" s="848"/>
      <c r="G326" s="849" t="s">
        <v>745</v>
      </c>
      <c r="H326" s="850"/>
    </row>
    <row r="327" spans="1:8" hidden="1" x14ac:dyDescent="0.3">
      <c r="A327" s="851"/>
      <c r="B327" s="852" t="s">
        <v>870</v>
      </c>
      <c r="C327" s="853"/>
      <c r="D327" s="854">
        <v>23</v>
      </c>
      <c r="E327" s="855" t="s">
        <v>850</v>
      </c>
      <c r="F327" s="856">
        <v>5.75</v>
      </c>
      <c r="G327" s="857">
        <f t="shared" ref="G327:G332" si="10">D327*F327</f>
        <v>132.25</v>
      </c>
      <c r="H327" s="850"/>
    </row>
    <row r="328" spans="1:8" hidden="1" x14ac:dyDescent="0.3">
      <c r="A328" s="851"/>
      <c r="B328" s="852" t="s">
        <v>860</v>
      </c>
      <c r="C328" s="853"/>
      <c r="D328" s="859">
        <v>18</v>
      </c>
      <c r="E328" s="855" t="s">
        <v>399</v>
      </c>
      <c r="F328" s="856">
        <v>2.08</v>
      </c>
      <c r="G328" s="857">
        <f t="shared" si="10"/>
        <v>37.44</v>
      </c>
      <c r="H328" s="900" t="s">
        <v>745</v>
      </c>
    </row>
    <row r="329" spans="1:8" hidden="1" x14ac:dyDescent="0.3">
      <c r="A329" s="851"/>
      <c r="B329" s="852" t="s">
        <v>851</v>
      </c>
      <c r="C329" s="853"/>
      <c r="D329" s="859">
        <v>0.25</v>
      </c>
      <c r="E329" s="855" t="s">
        <v>399</v>
      </c>
      <c r="F329" s="856">
        <v>5.47</v>
      </c>
      <c r="G329" s="857">
        <f t="shared" si="10"/>
        <v>1.3674999999999999</v>
      </c>
      <c r="H329" s="850"/>
    </row>
    <row r="330" spans="1:8" hidden="1" x14ac:dyDescent="0.3">
      <c r="A330" s="851"/>
      <c r="B330" s="852" t="s">
        <v>834</v>
      </c>
      <c r="C330" s="853"/>
      <c r="D330" s="859">
        <v>0.04</v>
      </c>
      <c r="E330" s="855" t="s">
        <v>34</v>
      </c>
      <c r="F330" s="856">
        <v>292.5</v>
      </c>
      <c r="G330" s="857">
        <f t="shared" si="10"/>
        <v>11.700000000000001</v>
      </c>
      <c r="H330" s="850"/>
    </row>
    <row r="331" spans="1:8" hidden="1" x14ac:dyDescent="0.3">
      <c r="A331" s="851"/>
      <c r="B331" s="852" t="s">
        <v>835</v>
      </c>
      <c r="C331" s="853"/>
      <c r="D331" s="854">
        <v>6</v>
      </c>
      <c r="E331" s="855" t="s">
        <v>540</v>
      </c>
      <c r="F331" s="860">
        <v>1.44E-2</v>
      </c>
      <c r="G331" s="857">
        <f t="shared" si="10"/>
        <v>8.6400000000000005E-2</v>
      </c>
      <c r="H331" s="850"/>
    </row>
    <row r="332" spans="1:8" hidden="1" x14ac:dyDescent="0.3">
      <c r="A332" s="851"/>
      <c r="B332" s="852" t="s">
        <v>852</v>
      </c>
      <c r="C332" s="853"/>
      <c r="D332" s="859">
        <v>0.02</v>
      </c>
      <c r="E332" s="855" t="s">
        <v>399</v>
      </c>
      <c r="F332" s="856">
        <v>150</v>
      </c>
      <c r="G332" s="857">
        <f t="shared" si="10"/>
        <v>3</v>
      </c>
      <c r="H332" s="850"/>
    </row>
    <row r="333" spans="1:8" ht="19.5" hidden="1" thickBot="1" x14ac:dyDescent="0.35">
      <c r="A333" s="879"/>
      <c r="B333" s="880"/>
      <c r="C333" s="881" t="s">
        <v>871</v>
      </c>
      <c r="D333" s="882">
        <v>1</v>
      </c>
      <c r="E333" s="915" t="s">
        <v>33</v>
      </c>
      <c r="F333" s="916" t="s">
        <v>6</v>
      </c>
      <c r="G333" s="917">
        <f>SUM(G327:G332)</f>
        <v>185.84389999999999</v>
      </c>
      <c r="H333" s="941" t="s">
        <v>752</v>
      </c>
    </row>
    <row r="334" spans="1:8" hidden="1" x14ac:dyDescent="0.3">
      <c r="D334" s="886"/>
      <c r="E334" s="918"/>
      <c r="F334" s="919"/>
      <c r="G334" s="888" t="str">
        <f>$G$37</f>
        <v xml:space="preserve"> เมษายน 2549</v>
      </c>
      <c r="H334" s="888"/>
    </row>
    <row r="335" spans="1:8" ht="19.5" hidden="1" x14ac:dyDescent="0.3">
      <c r="A335" s="820" t="s">
        <v>872</v>
      </c>
      <c r="B335" s="820"/>
      <c r="C335" s="820"/>
      <c r="D335" s="820"/>
      <c r="E335" s="820"/>
      <c r="F335" s="820"/>
      <c r="G335" s="820"/>
      <c r="H335" s="820"/>
    </row>
    <row r="336" spans="1:8" ht="20.25" hidden="1" thickBot="1" x14ac:dyDescent="0.35">
      <c r="A336" s="889" t="s">
        <v>758</v>
      </c>
      <c r="B336" s="889"/>
      <c r="C336" s="889"/>
      <c r="D336" s="889"/>
      <c r="E336" s="889"/>
      <c r="F336" s="889"/>
      <c r="G336" s="889"/>
      <c r="H336" s="889"/>
    </row>
    <row r="337" spans="1:8" hidden="1" x14ac:dyDescent="0.3">
      <c r="A337" s="823" t="s">
        <v>424</v>
      </c>
      <c r="B337" s="824" t="s">
        <v>1</v>
      </c>
      <c r="C337" s="825"/>
      <c r="D337" s="826" t="s">
        <v>24</v>
      </c>
      <c r="E337" s="826" t="s">
        <v>25</v>
      </c>
      <c r="F337" s="827" t="s">
        <v>390</v>
      </c>
      <c r="G337" s="828" t="s">
        <v>743</v>
      </c>
      <c r="H337" s="829" t="s">
        <v>20</v>
      </c>
    </row>
    <row r="338" spans="1:8" hidden="1" x14ac:dyDescent="0.3">
      <c r="A338" s="830"/>
      <c r="B338" s="831"/>
      <c r="C338" s="832"/>
      <c r="D338" s="833"/>
      <c r="E338" s="833"/>
      <c r="F338" s="834" t="s">
        <v>31</v>
      </c>
      <c r="G338" s="835" t="s">
        <v>31</v>
      </c>
      <c r="H338" s="836"/>
    </row>
    <row r="339" spans="1:8" hidden="1" x14ac:dyDescent="0.3">
      <c r="A339" s="958">
        <v>9.14</v>
      </c>
      <c r="B339" s="846" t="s">
        <v>873</v>
      </c>
      <c r="C339" s="852"/>
      <c r="D339" s="847"/>
      <c r="E339" s="847"/>
      <c r="F339" s="848"/>
      <c r="G339" s="849" t="s">
        <v>745</v>
      </c>
      <c r="H339" s="850"/>
    </row>
    <row r="340" spans="1:8" hidden="1" x14ac:dyDescent="0.3">
      <c r="A340" s="851"/>
      <c r="B340" s="852" t="s">
        <v>874</v>
      </c>
      <c r="C340" s="853"/>
      <c r="D340" s="854">
        <v>23</v>
      </c>
      <c r="E340" s="855" t="s">
        <v>850</v>
      </c>
      <c r="F340" s="856">
        <v>6.25</v>
      </c>
      <c r="G340" s="857">
        <f t="shared" ref="G340:G345" si="11">D340*F340</f>
        <v>143.75</v>
      </c>
      <c r="H340" s="850"/>
    </row>
    <row r="341" spans="1:8" hidden="1" x14ac:dyDescent="0.3">
      <c r="A341" s="851"/>
      <c r="B341" s="852" t="s">
        <v>788</v>
      </c>
      <c r="C341" s="853"/>
      <c r="D341" s="859">
        <v>18</v>
      </c>
      <c r="E341" s="855" t="s">
        <v>399</v>
      </c>
      <c r="F341" s="856">
        <v>2.08</v>
      </c>
      <c r="G341" s="857">
        <f t="shared" si="11"/>
        <v>37.44</v>
      </c>
      <c r="H341" s="900" t="s">
        <v>745</v>
      </c>
    </row>
    <row r="342" spans="1:8" hidden="1" x14ac:dyDescent="0.3">
      <c r="A342" s="851"/>
      <c r="B342" s="852" t="s">
        <v>851</v>
      </c>
      <c r="C342" s="853"/>
      <c r="D342" s="859">
        <v>0.25</v>
      </c>
      <c r="E342" s="855" t="s">
        <v>399</v>
      </c>
      <c r="F342" s="856">
        <v>5.47</v>
      </c>
      <c r="G342" s="857">
        <f t="shared" si="11"/>
        <v>1.3674999999999999</v>
      </c>
      <c r="H342" s="850"/>
    </row>
    <row r="343" spans="1:8" hidden="1" x14ac:dyDescent="0.3">
      <c r="A343" s="851"/>
      <c r="B343" s="852" t="s">
        <v>834</v>
      </c>
      <c r="C343" s="853"/>
      <c r="D343" s="859">
        <v>0.04</v>
      </c>
      <c r="E343" s="855" t="s">
        <v>34</v>
      </c>
      <c r="F343" s="856">
        <v>292.5</v>
      </c>
      <c r="G343" s="857">
        <f t="shared" si="11"/>
        <v>11.700000000000001</v>
      </c>
      <c r="H343" s="850"/>
    </row>
    <row r="344" spans="1:8" hidden="1" x14ac:dyDescent="0.3">
      <c r="A344" s="851"/>
      <c r="B344" s="852" t="s">
        <v>835</v>
      </c>
      <c r="C344" s="853"/>
      <c r="D344" s="854">
        <v>6</v>
      </c>
      <c r="E344" s="855" t="s">
        <v>540</v>
      </c>
      <c r="F344" s="860">
        <v>1.44E-2</v>
      </c>
      <c r="G344" s="857">
        <f t="shared" si="11"/>
        <v>8.6400000000000005E-2</v>
      </c>
      <c r="H344" s="850"/>
    </row>
    <row r="345" spans="1:8" hidden="1" x14ac:dyDescent="0.3">
      <c r="A345" s="851"/>
      <c r="B345" s="852" t="s">
        <v>852</v>
      </c>
      <c r="C345" s="853"/>
      <c r="D345" s="859">
        <v>0.02</v>
      </c>
      <c r="E345" s="855" t="s">
        <v>399</v>
      </c>
      <c r="F345" s="856">
        <v>150</v>
      </c>
      <c r="G345" s="857">
        <f t="shared" si="11"/>
        <v>3</v>
      </c>
      <c r="H345" s="850"/>
    </row>
    <row r="346" spans="1:8" hidden="1" x14ac:dyDescent="0.3">
      <c r="A346" s="861"/>
      <c r="B346" s="862"/>
      <c r="C346" s="863" t="s">
        <v>875</v>
      </c>
      <c r="D346" s="864">
        <v>1</v>
      </c>
      <c r="E346" s="865" t="s">
        <v>33</v>
      </c>
      <c r="F346" s="866" t="s">
        <v>6</v>
      </c>
      <c r="G346" s="911">
        <f>SUM(G340:G345)</f>
        <v>197.34389999999999</v>
      </c>
      <c r="H346" s="868" t="s">
        <v>752</v>
      </c>
    </row>
    <row r="347" spans="1:8" hidden="1" x14ac:dyDescent="0.3">
      <c r="A347" s="869">
        <v>9.15</v>
      </c>
      <c r="B347" s="935" t="s">
        <v>876</v>
      </c>
      <c r="C347" s="853"/>
      <c r="D347" s="870"/>
      <c r="E347" s="870"/>
      <c r="F347" s="871"/>
      <c r="G347" s="872" t="s">
        <v>745</v>
      </c>
      <c r="H347" s="873"/>
    </row>
    <row r="348" spans="1:8" hidden="1" x14ac:dyDescent="0.3">
      <c r="A348" s="851"/>
      <c r="B348" s="852" t="s">
        <v>877</v>
      </c>
      <c r="C348" s="853"/>
      <c r="D348" s="854">
        <v>14</v>
      </c>
      <c r="E348" s="855" t="s">
        <v>850</v>
      </c>
      <c r="F348" s="856">
        <v>11.5</v>
      </c>
      <c r="G348" s="857">
        <f t="shared" ref="G348:G353" si="12">D348*F348</f>
        <v>161</v>
      </c>
      <c r="H348" s="850"/>
    </row>
    <row r="349" spans="1:8" hidden="1" x14ac:dyDescent="0.3">
      <c r="A349" s="851"/>
      <c r="B349" s="852" t="s">
        <v>788</v>
      </c>
      <c r="C349" s="853"/>
      <c r="D349" s="859">
        <v>18</v>
      </c>
      <c r="E349" s="855" t="s">
        <v>399</v>
      </c>
      <c r="F349" s="856">
        <v>2.08</v>
      </c>
      <c r="G349" s="857">
        <f t="shared" si="12"/>
        <v>37.44</v>
      </c>
      <c r="H349" s="900" t="s">
        <v>745</v>
      </c>
    </row>
    <row r="350" spans="1:8" hidden="1" x14ac:dyDescent="0.3">
      <c r="A350" s="851"/>
      <c r="B350" s="852" t="s">
        <v>851</v>
      </c>
      <c r="C350" s="853"/>
      <c r="D350" s="859">
        <v>0.25</v>
      </c>
      <c r="E350" s="855" t="s">
        <v>399</v>
      </c>
      <c r="F350" s="856">
        <v>5.47</v>
      </c>
      <c r="G350" s="857">
        <f t="shared" si="12"/>
        <v>1.3674999999999999</v>
      </c>
      <c r="H350" s="850"/>
    </row>
    <row r="351" spans="1:8" hidden="1" x14ac:dyDescent="0.3">
      <c r="A351" s="851"/>
      <c r="B351" s="852" t="s">
        <v>834</v>
      </c>
      <c r="C351" s="853"/>
      <c r="D351" s="859">
        <v>0.04</v>
      </c>
      <c r="E351" s="855" t="s">
        <v>34</v>
      </c>
      <c r="F351" s="856">
        <v>292.5</v>
      </c>
      <c r="G351" s="857">
        <f t="shared" si="12"/>
        <v>11.700000000000001</v>
      </c>
      <c r="H351" s="850"/>
    </row>
    <row r="352" spans="1:8" hidden="1" x14ac:dyDescent="0.3">
      <c r="A352" s="851"/>
      <c r="B352" s="852" t="s">
        <v>835</v>
      </c>
      <c r="C352" s="853"/>
      <c r="D352" s="854">
        <v>6</v>
      </c>
      <c r="E352" s="855" t="s">
        <v>540</v>
      </c>
      <c r="F352" s="860">
        <v>1.44E-2</v>
      </c>
      <c r="G352" s="857">
        <f t="shared" si="12"/>
        <v>8.6400000000000005E-2</v>
      </c>
      <c r="H352" s="850"/>
    </row>
    <row r="353" spans="1:8" hidden="1" x14ac:dyDescent="0.3">
      <c r="A353" s="851"/>
      <c r="B353" s="852" t="s">
        <v>852</v>
      </c>
      <c r="C353" s="853"/>
      <c r="D353" s="859">
        <v>0.02</v>
      </c>
      <c r="E353" s="855" t="s">
        <v>399</v>
      </c>
      <c r="F353" s="856">
        <v>150</v>
      </c>
      <c r="G353" s="857">
        <f t="shared" si="12"/>
        <v>3</v>
      </c>
      <c r="H353" s="850"/>
    </row>
    <row r="354" spans="1:8" hidden="1" x14ac:dyDescent="0.3">
      <c r="A354" s="861"/>
      <c r="B354" s="862"/>
      <c r="C354" s="863" t="s">
        <v>878</v>
      </c>
      <c r="D354" s="864">
        <v>1</v>
      </c>
      <c r="E354" s="865" t="s">
        <v>33</v>
      </c>
      <c r="F354" s="866" t="s">
        <v>6</v>
      </c>
      <c r="G354" s="911">
        <f>SUM(G348:G353)</f>
        <v>214.59389999999999</v>
      </c>
      <c r="H354" s="868" t="s">
        <v>752</v>
      </c>
    </row>
    <row r="355" spans="1:8" hidden="1" x14ac:dyDescent="0.3">
      <c r="A355" s="958">
        <v>9.16</v>
      </c>
      <c r="B355" s="846" t="s">
        <v>879</v>
      </c>
      <c r="C355" s="852"/>
      <c r="D355" s="847"/>
      <c r="E355" s="847"/>
      <c r="F355" s="848"/>
      <c r="G355" s="849" t="s">
        <v>745</v>
      </c>
      <c r="H355" s="850"/>
    </row>
    <row r="356" spans="1:8" hidden="1" x14ac:dyDescent="0.3">
      <c r="A356" s="851"/>
      <c r="B356" s="852" t="s">
        <v>880</v>
      </c>
      <c r="C356" s="853"/>
      <c r="D356" s="854">
        <v>14</v>
      </c>
      <c r="E356" s="855" t="s">
        <v>850</v>
      </c>
      <c r="F356" s="856">
        <v>14</v>
      </c>
      <c r="G356" s="857">
        <f t="shared" ref="G356:G361" si="13">D356*F356</f>
        <v>196</v>
      </c>
      <c r="H356" s="850"/>
    </row>
    <row r="357" spans="1:8" hidden="1" x14ac:dyDescent="0.3">
      <c r="A357" s="851"/>
      <c r="B357" s="852" t="s">
        <v>788</v>
      </c>
      <c r="C357" s="853"/>
      <c r="D357" s="859">
        <v>18</v>
      </c>
      <c r="E357" s="855" t="s">
        <v>399</v>
      </c>
      <c r="F357" s="856">
        <v>2.67</v>
      </c>
      <c r="G357" s="857">
        <f t="shared" si="13"/>
        <v>48.06</v>
      </c>
      <c r="H357" s="900" t="s">
        <v>745</v>
      </c>
    </row>
    <row r="358" spans="1:8" hidden="1" x14ac:dyDescent="0.3">
      <c r="A358" s="851"/>
      <c r="B358" s="852" t="s">
        <v>851</v>
      </c>
      <c r="C358" s="853"/>
      <c r="D358" s="859">
        <v>0.25</v>
      </c>
      <c r="E358" s="855" t="s">
        <v>399</v>
      </c>
      <c r="F358" s="856">
        <v>0</v>
      </c>
      <c r="G358" s="857">
        <f t="shared" si="13"/>
        <v>0</v>
      </c>
      <c r="H358" s="850"/>
    </row>
    <row r="359" spans="1:8" hidden="1" x14ac:dyDescent="0.3">
      <c r="A359" s="851"/>
      <c r="B359" s="852" t="s">
        <v>834</v>
      </c>
      <c r="C359" s="853"/>
      <c r="D359" s="859">
        <v>0.04</v>
      </c>
      <c r="E359" s="855" t="s">
        <v>34</v>
      </c>
      <c r="F359" s="856">
        <v>819.31</v>
      </c>
      <c r="G359" s="857">
        <f t="shared" si="13"/>
        <v>32.772399999999998</v>
      </c>
      <c r="H359" s="850"/>
    </row>
    <row r="360" spans="1:8" hidden="1" x14ac:dyDescent="0.3">
      <c r="A360" s="851"/>
      <c r="B360" s="852" t="s">
        <v>835</v>
      </c>
      <c r="C360" s="853"/>
      <c r="D360" s="854">
        <v>6</v>
      </c>
      <c r="E360" s="855" t="s">
        <v>540</v>
      </c>
      <c r="F360" s="860">
        <v>0</v>
      </c>
      <c r="G360" s="857">
        <f t="shared" si="13"/>
        <v>0</v>
      </c>
      <c r="H360" s="850"/>
    </row>
    <row r="361" spans="1:8" hidden="1" x14ac:dyDescent="0.3">
      <c r="A361" s="851"/>
      <c r="B361" s="852" t="s">
        <v>852</v>
      </c>
      <c r="C361" s="853"/>
      <c r="D361" s="859">
        <v>0.02</v>
      </c>
      <c r="E361" s="855" t="s">
        <v>399</v>
      </c>
      <c r="F361" s="856">
        <v>0</v>
      </c>
      <c r="G361" s="857">
        <f t="shared" si="13"/>
        <v>0</v>
      </c>
      <c r="H361" s="850"/>
    </row>
    <row r="362" spans="1:8" hidden="1" x14ac:dyDescent="0.3">
      <c r="A362" s="861"/>
      <c r="B362" s="862"/>
      <c r="C362" s="863" t="s">
        <v>881</v>
      </c>
      <c r="D362" s="864">
        <v>1</v>
      </c>
      <c r="E362" s="865" t="s">
        <v>33</v>
      </c>
      <c r="F362" s="866" t="s">
        <v>6</v>
      </c>
      <c r="G362" s="911">
        <f>SUM(G356:G361)</f>
        <v>276.83240000000001</v>
      </c>
      <c r="H362" s="868" t="s">
        <v>752</v>
      </c>
    </row>
    <row r="363" spans="1:8" hidden="1" x14ac:dyDescent="0.3">
      <c r="A363" s="958">
        <v>9.17</v>
      </c>
      <c r="B363" s="846" t="s">
        <v>882</v>
      </c>
      <c r="C363" s="852"/>
      <c r="D363" s="847"/>
      <c r="E363" s="847"/>
      <c r="F363" s="848"/>
      <c r="G363" s="849" t="s">
        <v>745</v>
      </c>
      <c r="H363" s="850"/>
    </row>
    <row r="364" spans="1:8" hidden="1" x14ac:dyDescent="0.3">
      <c r="A364" s="851"/>
      <c r="B364" s="852" t="s">
        <v>883</v>
      </c>
      <c r="C364" s="853"/>
      <c r="D364" s="854">
        <v>55</v>
      </c>
      <c r="E364" s="855" t="s">
        <v>850</v>
      </c>
      <c r="F364" s="913">
        <v>3.5</v>
      </c>
      <c r="G364" s="857">
        <f>D364*F364</f>
        <v>192.5</v>
      </c>
      <c r="H364" s="850"/>
    </row>
    <row r="365" spans="1:8" hidden="1" x14ac:dyDescent="0.3">
      <c r="A365" s="851"/>
      <c r="B365" s="852" t="s">
        <v>788</v>
      </c>
      <c r="C365" s="853"/>
      <c r="D365" s="859">
        <v>18</v>
      </c>
      <c r="E365" s="855" t="s">
        <v>399</v>
      </c>
      <c r="F365" s="856">
        <v>2.08</v>
      </c>
      <c r="G365" s="857">
        <f>D365*F365</f>
        <v>37.44</v>
      </c>
      <c r="H365" s="900" t="s">
        <v>745</v>
      </c>
    </row>
    <row r="366" spans="1:8" hidden="1" x14ac:dyDescent="0.3">
      <c r="A366" s="851"/>
      <c r="B366" s="852" t="s">
        <v>884</v>
      </c>
      <c r="C366" s="853"/>
      <c r="D366" s="859">
        <v>0.35</v>
      </c>
      <c r="E366" s="855" t="s">
        <v>399</v>
      </c>
      <c r="F366" s="856">
        <v>27.14</v>
      </c>
      <c r="G366" s="857">
        <f>D366*F366</f>
        <v>9.4989999999999988</v>
      </c>
      <c r="H366" s="850"/>
    </row>
    <row r="367" spans="1:8" hidden="1" x14ac:dyDescent="0.3">
      <c r="A367" s="851"/>
      <c r="B367" s="852" t="s">
        <v>834</v>
      </c>
      <c r="C367" s="853"/>
      <c r="D367" s="859">
        <v>0.04</v>
      </c>
      <c r="E367" s="855" t="s">
        <v>34</v>
      </c>
      <c r="F367" s="856">
        <v>292.5</v>
      </c>
      <c r="G367" s="857">
        <f>D367*F367</f>
        <v>11.700000000000001</v>
      </c>
      <c r="H367" s="850"/>
    </row>
    <row r="368" spans="1:8" hidden="1" x14ac:dyDescent="0.3">
      <c r="A368" s="851"/>
      <c r="B368" s="852" t="s">
        <v>835</v>
      </c>
      <c r="C368" s="853"/>
      <c r="D368" s="854">
        <v>6</v>
      </c>
      <c r="E368" s="855" t="s">
        <v>540</v>
      </c>
      <c r="F368" s="860">
        <v>1.44E-2</v>
      </c>
      <c r="G368" s="857">
        <f>D368*F368</f>
        <v>8.6400000000000005E-2</v>
      </c>
      <c r="H368" s="850"/>
    </row>
    <row r="369" spans="1:8" hidden="1" x14ac:dyDescent="0.3">
      <c r="A369" s="851"/>
      <c r="B369" s="875"/>
      <c r="C369" s="852" t="s">
        <v>885</v>
      </c>
      <c r="D369" s="854">
        <v>1</v>
      </c>
      <c r="E369" s="855" t="s">
        <v>33</v>
      </c>
      <c r="F369" s="876" t="s">
        <v>6</v>
      </c>
      <c r="G369" s="945">
        <f>SUM(G363:G368)</f>
        <v>251.22539999999998</v>
      </c>
      <c r="H369" s="878" t="s">
        <v>752</v>
      </c>
    </row>
    <row r="370" spans="1:8" ht="19.5" hidden="1" thickBot="1" x14ac:dyDescent="0.35">
      <c r="A370" s="879"/>
      <c r="B370" s="880"/>
      <c r="C370" s="881"/>
      <c r="D370" s="883"/>
      <c r="E370" s="883"/>
      <c r="F370" s="884"/>
      <c r="G370" s="891" t="s">
        <v>745</v>
      </c>
      <c r="H370" s="885"/>
    </row>
    <row r="371" spans="1:8" hidden="1" x14ac:dyDescent="0.3">
      <c r="G371" s="888" t="str">
        <f>$G$37</f>
        <v xml:space="preserve"> เมษายน 2549</v>
      </c>
      <c r="H371" s="888"/>
    </row>
    <row r="372" spans="1:8" ht="19.5" hidden="1" x14ac:dyDescent="0.3">
      <c r="A372" s="820" t="s">
        <v>886</v>
      </c>
      <c r="B372" s="820"/>
      <c r="C372" s="820"/>
      <c r="D372" s="820"/>
      <c r="E372" s="820"/>
      <c r="F372" s="820"/>
      <c r="G372" s="820"/>
      <c r="H372" s="820"/>
    </row>
    <row r="373" spans="1:8" ht="20.25" hidden="1" thickBot="1" x14ac:dyDescent="0.35">
      <c r="A373" s="889" t="s">
        <v>758</v>
      </c>
      <c r="B373" s="889"/>
      <c r="C373" s="889"/>
      <c r="D373" s="889"/>
      <c r="E373" s="889"/>
      <c r="F373" s="889"/>
      <c r="G373" s="889"/>
      <c r="H373" s="889"/>
    </row>
    <row r="374" spans="1:8" hidden="1" x14ac:dyDescent="0.3">
      <c r="A374" s="823" t="s">
        <v>424</v>
      </c>
      <c r="B374" s="824" t="s">
        <v>1</v>
      </c>
      <c r="C374" s="825"/>
      <c r="D374" s="826" t="s">
        <v>24</v>
      </c>
      <c r="E374" s="826" t="s">
        <v>25</v>
      </c>
      <c r="F374" s="827" t="s">
        <v>390</v>
      </c>
      <c r="G374" s="828" t="s">
        <v>743</v>
      </c>
      <c r="H374" s="829" t="s">
        <v>20</v>
      </c>
    </row>
    <row r="375" spans="1:8" hidden="1" x14ac:dyDescent="0.3">
      <c r="A375" s="830"/>
      <c r="B375" s="831"/>
      <c r="C375" s="832"/>
      <c r="D375" s="833"/>
      <c r="E375" s="833"/>
      <c r="F375" s="834" t="s">
        <v>31</v>
      </c>
      <c r="G375" s="835" t="s">
        <v>31</v>
      </c>
      <c r="H375" s="836"/>
    </row>
    <row r="376" spans="1:8" hidden="1" x14ac:dyDescent="0.3">
      <c r="A376" s="958">
        <v>9.18</v>
      </c>
      <c r="B376" s="846" t="s">
        <v>887</v>
      </c>
      <c r="C376" s="852"/>
      <c r="D376" s="847"/>
      <c r="E376" s="847"/>
      <c r="F376" s="848"/>
      <c r="G376" s="849" t="s">
        <v>745</v>
      </c>
      <c r="H376" s="850"/>
    </row>
    <row r="377" spans="1:8" hidden="1" x14ac:dyDescent="0.3">
      <c r="A377" s="851"/>
      <c r="B377" s="852" t="s">
        <v>888</v>
      </c>
      <c r="C377" s="853"/>
      <c r="D377" s="859">
        <v>1.06</v>
      </c>
      <c r="E377" s="855" t="s">
        <v>33</v>
      </c>
      <c r="F377" s="856">
        <v>1040</v>
      </c>
      <c r="G377" s="857">
        <f t="shared" ref="G377:G382" si="14">D377*F377</f>
        <v>1102.4000000000001</v>
      </c>
      <c r="H377" s="901" t="s">
        <v>889</v>
      </c>
    </row>
    <row r="378" spans="1:8" hidden="1" x14ac:dyDescent="0.3">
      <c r="A378" s="851"/>
      <c r="B378" s="852" t="s">
        <v>788</v>
      </c>
      <c r="C378" s="853"/>
      <c r="D378" s="859">
        <v>18</v>
      </c>
      <c r="E378" s="855" t="s">
        <v>399</v>
      </c>
      <c r="F378" s="856">
        <v>2.08</v>
      </c>
      <c r="G378" s="857">
        <f t="shared" si="14"/>
        <v>37.44</v>
      </c>
      <c r="H378" s="901" t="s">
        <v>745</v>
      </c>
    </row>
    <row r="379" spans="1:8" hidden="1" x14ac:dyDescent="0.3">
      <c r="A379" s="851"/>
      <c r="B379" s="852" t="s">
        <v>884</v>
      </c>
      <c r="C379" s="853"/>
      <c r="D379" s="859">
        <v>0.25</v>
      </c>
      <c r="E379" s="855" t="s">
        <v>399</v>
      </c>
      <c r="F379" s="856">
        <v>27.14</v>
      </c>
      <c r="G379" s="857">
        <f t="shared" si="14"/>
        <v>6.7850000000000001</v>
      </c>
      <c r="H379" s="900" t="s">
        <v>745</v>
      </c>
    </row>
    <row r="380" spans="1:8" hidden="1" x14ac:dyDescent="0.3">
      <c r="A380" s="851"/>
      <c r="B380" s="852" t="s">
        <v>834</v>
      </c>
      <c r="C380" s="853"/>
      <c r="D380" s="859">
        <v>0.04</v>
      </c>
      <c r="E380" s="855" t="s">
        <v>34</v>
      </c>
      <c r="F380" s="856">
        <v>292.5</v>
      </c>
      <c r="G380" s="857">
        <f t="shared" si="14"/>
        <v>11.700000000000001</v>
      </c>
      <c r="H380" s="850"/>
    </row>
    <row r="381" spans="1:8" hidden="1" x14ac:dyDescent="0.3">
      <c r="A381" s="851"/>
      <c r="B381" s="852" t="s">
        <v>835</v>
      </c>
      <c r="C381" s="853"/>
      <c r="D381" s="854">
        <v>6</v>
      </c>
      <c r="E381" s="855" t="s">
        <v>540</v>
      </c>
      <c r="F381" s="860">
        <v>1.44E-2</v>
      </c>
      <c r="G381" s="857">
        <f t="shared" si="14"/>
        <v>8.6400000000000005E-2</v>
      </c>
      <c r="H381" s="850"/>
    </row>
    <row r="382" spans="1:8" hidden="1" x14ac:dyDescent="0.3">
      <c r="A382" s="851"/>
      <c r="B382" s="852" t="s">
        <v>852</v>
      </c>
      <c r="C382" s="853"/>
      <c r="D382" s="859">
        <v>0.02</v>
      </c>
      <c r="E382" s="855" t="s">
        <v>399</v>
      </c>
      <c r="F382" s="856">
        <v>150</v>
      </c>
      <c r="G382" s="857">
        <f t="shared" si="14"/>
        <v>3</v>
      </c>
      <c r="H382" s="850"/>
    </row>
    <row r="383" spans="1:8" hidden="1" x14ac:dyDescent="0.3">
      <c r="A383" s="851"/>
      <c r="B383" s="852" t="s">
        <v>890</v>
      </c>
      <c r="C383" s="853"/>
      <c r="D383" s="854">
        <v>1</v>
      </c>
      <c r="E383" s="855" t="s">
        <v>30</v>
      </c>
      <c r="F383" s="856">
        <v>10</v>
      </c>
      <c r="G383" s="857">
        <f>D383*F383</f>
        <v>10</v>
      </c>
      <c r="H383" s="850"/>
    </row>
    <row r="384" spans="1:8" hidden="1" x14ac:dyDescent="0.3">
      <c r="A384" s="861"/>
      <c r="B384" s="862"/>
      <c r="C384" s="863" t="s">
        <v>891</v>
      </c>
      <c r="D384" s="864">
        <v>1</v>
      </c>
      <c r="E384" s="865" t="s">
        <v>33</v>
      </c>
      <c r="F384" s="866" t="s">
        <v>6</v>
      </c>
      <c r="G384" s="911">
        <f>SUM(G377:G383)</f>
        <v>1171.4114000000002</v>
      </c>
      <c r="H384" s="868" t="s">
        <v>752</v>
      </c>
    </row>
    <row r="385" spans="1:8" hidden="1" x14ac:dyDescent="0.3">
      <c r="A385" s="869">
        <v>9.19</v>
      </c>
      <c r="B385" s="935" t="s">
        <v>892</v>
      </c>
      <c r="C385" s="853"/>
      <c r="D385" s="870"/>
      <c r="E385" s="870"/>
      <c r="F385" s="871"/>
      <c r="G385" s="872" t="s">
        <v>745</v>
      </c>
      <c r="H385" s="873"/>
    </row>
    <row r="386" spans="1:8" hidden="1" x14ac:dyDescent="0.3">
      <c r="A386" s="851"/>
      <c r="B386" s="852" t="s">
        <v>893</v>
      </c>
      <c r="C386" s="853"/>
      <c r="D386" s="859">
        <v>1.06</v>
      </c>
      <c r="E386" s="855" t="s">
        <v>33</v>
      </c>
      <c r="F386" s="856">
        <v>2500</v>
      </c>
      <c r="G386" s="857">
        <f t="shared" ref="G386:G392" si="15">D386*F386</f>
        <v>2650</v>
      </c>
      <c r="H386" s="901" t="s">
        <v>889</v>
      </c>
    </row>
    <row r="387" spans="1:8" hidden="1" x14ac:dyDescent="0.3">
      <c r="A387" s="851"/>
      <c r="B387" s="852" t="s">
        <v>788</v>
      </c>
      <c r="C387" s="853"/>
      <c r="D387" s="859">
        <v>18</v>
      </c>
      <c r="E387" s="855" t="s">
        <v>399</v>
      </c>
      <c r="F387" s="856">
        <v>2.08</v>
      </c>
      <c r="G387" s="857">
        <f t="shared" si="15"/>
        <v>37.44</v>
      </c>
      <c r="H387" s="901" t="s">
        <v>745</v>
      </c>
    </row>
    <row r="388" spans="1:8" hidden="1" x14ac:dyDescent="0.3">
      <c r="A388" s="851"/>
      <c r="B388" s="852" t="s">
        <v>894</v>
      </c>
      <c r="C388" s="853"/>
      <c r="D388" s="859">
        <v>0.25</v>
      </c>
      <c r="E388" s="855" t="s">
        <v>399</v>
      </c>
      <c r="F388" s="856">
        <v>27.14</v>
      </c>
      <c r="G388" s="857">
        <f t="shared" si="15"/>
        <v>6.7850000000000001</v>
      </c>
      <c r="H388" s="900" t="s">
        <v>745</v>
      </c>
    </row>
    <row r="389" spans="1:8" hidden="1" x14ac:dyDescent="0.3">
      <c r="A389" s="851"/>
      <c r="B389" s="852" t="s">
        <v>834</v>
      </c>
      <c r="C389" s="853"/>
      <c r="D389" s="859">
        <v>0.04</v>
      </c>
      <c r="E389" s="855" t="s">
        <v>34</v>
      </c>
      <c r="F389" s="856">
        <v>292.5</v>
      </c>
      <c r="G389" s="857">
        <f t="shared" si="15"/>
        <v>11.700000000000001</v>
      </c>
      <c r="H389" s="850"/>
    </row>
    <row r="390" spans="1:8" hidden="1" x14ac:dyDescent="0.3">
      <c r="A390" s="851"/>
      <c r="B390" s="852" t="s">
        <v>835</v>
      </c>
      <c r="C390" s="853"/>
      <c r="D390" s="854">
        <v>6</v>
      </c>
      <c r="E390" s="855" t="s">
        <v>540</v>
      </c>
      <c r="F390" s="860">
        <v>1.44E-2</v>
      </c>
      <c r="G390" s="857">
        <f t="shared" si="15"/>
        <v>8.6400000000000005E-2</v>
      </c>
      <c r="H390" s="850"/>
    </row>
    <row r="391" spans="1:8" hidden="1" x14ac:dyDescent="0.3">
      <c r="A391" s="851"/>
      <c r="B391" s="852" t="s">
        <v>852</v>
      </c>
      <c r="C391" s="853"/>
      <c r="D391" s="859">
        <v>0.02</v>
      </c>
      <c r="E391" s="855" t="s">
        <v>399</v>
      </c>
      <c r="F391" s="856">
        <v>150</v>
      </c>
      <c r="G391" s="857">
        <f t="shared" si="15"/>
        <v>3</v>
      </c>
      <c r="H391" s="850"/>
    </row>
    <row r="392" spans="1:8" hidden="1" x14ac:dyDescent="0.3">
      <c r="A392" s="851"/>
      <c r="B392" s="852" t="s">
        <v>890</v>
      </c>
      <c r="C392" s="853"/>
      <c r="D392" s="854">
        <v>1</v>
      </c>
      <c r="E392" s="855" t="s">
        <v>30</v>
      </c>
      <c r="F392" s="856">
        <v>10</v>
      </c>
      <c r="G392" s="857">
        <f t="shared" si="15"/>
        <v>10</v>
      </c>
      <c r="H392" s="850"/>
    </row>
    <row r="393" spans="1:8" hidden="1" x14ac:dyDescent="0.3">
      <c r="A393" s="861"/>
      <c r="B393" s="862"/>
      <c r="C393" s="863" t="s">
        <v>895</v>
      </c>
      <c r="D393" s="864">
        <v>1</v>
      </c>
      <c r="E393" s="865" t="s">
        <v>33</v>
      </c>
      <c r="F393" s="866" t="s">
        <v>6</v>
      </c>
      <c r="G393" s="911">
        <f>SUM(G386:G392)</f>
        <v>2719.0113999999999</v>
      </c>
      <c r="H393" s="868" t="s">
        <v>752</v>
      </c>
    </row>
    <row r="394" spans="1:8" hidden="1" x14ac:dyDescent="0.3">
      <c r="A394" s="958">
        <v>9.1999999999999993</v>
      </c>
      <c r="B394" s="846" t="s">
        <v>896</v>
      </c>
      <c r="C394" s="852"/>
      <c r="D394" s="847"/>
      <c r="E394" s="847"/>
      <c r="F394" s="848"/>
      <c r="G394" s="849" t="s">
        <v>745</v>
      </c>
      <c r="H394" s="850"/>
    </row>
    <row r="395" spans="1:8" hidden="1" x14ac:dyDescent="0.3">
      <c r="A395" s="851"/>
      <c r="B395" s="852" t="s">
        <v>897</v>
      </c>
      <c r="C395" s="853"/>
      <c r="D395" s="854">
        <v>14</v>
      </c>
      <c r="E395" s="855" t="s">
        <v>850</v>
      </c>
      <c r="F395" s="856">
        <v>28.04</v>
      </c>
      <c r="G395" s="857">
        <f t="shared" ref="G395:G400" si="16">D395*F395</f>
        <v>392.56</v>
      </c>
      <c r="H395" s="850"/>
    </row>
    <row r="396" spans="1:8" hidden="1" x14ac:dyDescent="0.3">
      <c r="A396" s="851"/>
      <c r="B396" s="852" t="s">
        <v>788</v>
      </c>
      <c r="C396" s="853"/>
      <c r="D396" s="859">
        <v>18</v>
      </c>
      <c r="E396" s="855" t="s">
        <v>399</v>
      </c>
      <c r="F396" s="856">
        <v>2.08</v>
      </c>
      <c r="G396" s="857">
        <f t="shared" si="16"/>
        <v>37.44</v>
      </c>
      <c r="H396" s="900" t="s">
        <v>745</v>
      </c>
    </row>
    <row r="397" spans="1:8" hidden="1" x14ac:dyDescent="0.3">
      <c r="A397" s="851"/>
      <c r="B397" s="852" t="s">
        <v>894</v>
      </c>
      <c r="C397" s="853"/>
      <c r="D397" s="859">
        <v>0.25</v>
      </c>
      <c r="E397" s="855" t="s">
        <v>399</v>
      </c>
      <c r="F397" s="856">
        <v>27.14</v>
      </c>
      <c r="G397" s="857">
        <f t="shared" si="16"/>
        <v>6.7850000000000001</v>
      </c>
      <c r="H397" s="850"/>
    </row>
    <row r="398" spans="1:8" hidden="1" x14ac:dyDescent="0.3">
      <c r="A398" s="851"/>
      <c r="B398" s="852" t="s">
        <v>834</v>
      </c>
      <c r="C398" s="853"/>
      <c r="D398" s="859">
        <v>0.04</v>
      </c>
      <c r="E398" s="855" t="s">
        <v>34</v>
      </c>
      <c r="F398" s="856">
        <v>292.5</v>
      </c>
      <c r="G398" s="857">
        <f t="shared" si="16"/>
        <v>11.700000000000001</v>
      </c>
      <c r="H398" s="850"/>
    </row>
    <row r="399" spans="1:8" hidden="1" x14ac:dyDescent="0.3">
      <c r="A399" s="851"/>
      <c r="B399" s="852" t="s">
        <v>835</v>
      </c>
      <c r="C399" s="853"/>
      <c r="D399" s="854">
        <v>6</v>
      </c>
      <c r="E399" s="855" t="s">
        <v>540</v>
      </c>
      <c r="F399" s="860">
        <v>1.44E-2</v>
      </c>
      <c r="G399" s="857">
        <f t="shared" si="16"/>
        <v>8.6400000000000005E-2</v>
      </c>
      <c r="H399" s="850"/>
    </row>
    <row r="400" spans="1:8" hidden="1" x14ac:dyDescent="0.3">
      <c r="A400" s="851"/>
      <c r="B400" s="852" t="s">
        <v>852</v>
      </c>
      <c r="C400" s="853"/>
      <c r="D400" s="859">
        <v>0.02</v>
      </c>
      <c r="E400" s="855" t="s">
        <v>399</v>
      </c>
      <c r="F400" s="856">
        <v>150</v>
      </c>
      <c r="G400" s="857">
        <f t="shared" si="16"/>
        <v>3</v>
      </c>
      <c r="H400" s="850"/>
    </row>
    <row r="401" spans="1:8" hidden="1" x14ac:dyDescent="0.3">
      <c r="A401" s="950"/>
      <c r="B401" s="951"/>
      <c r="C401" s="952" t="s">
        <v>898</v>
      </c>
      <c r="D401" s="953">
        <v>1</v>
      </c>
      <c r="E401" s="954" t="s">
        <v>33</v>
      </c>
      <c r="F401" s="955" t="s">
        <v>6</v>
      </c>
      <c r="G401" s="956">
        <f>SUM(G395:G400)</f>
        <v>451.57140000000004</v>
      </c>
      <c r="H401" s="957" t="s">
        <v>752</v>
      </c>
    </row>
    <row r="402" spans="1:8" hidden="1" x14ac:dyDescent="0.3">
      <c r="A402" s="958">
        <v>9.2100000000000009</v>
      </c>
      <c r="B402" s="846" t="s">
        <v>899</v>
      </c>
      <c r="C402" s="852"/>
      <c r="D402" s="847"/>
      <c r="E402" s="847"/>
      <c r="F402" s="848"/>
      <c r="G402" s="849" t="s">
        <v>745</v>
      </c>
      <c r="H402" s="850"/>
    </row>
    <row r="403" spans="1:8" hidden="1" x14ac:dyDescent="0.3">
      <c r="A403" s="851"/>
      <c r="B403" s="852" t="s">
        <v>900</v>
      </c>
      <c r="C403" s="853"/>
      <c r="D403" s="854">
        <v>105</v>
      </c>
      <c r="E403" s="855" t="s">
        <v>850</v>
      </c>
      <c r="F403" s="856">
        <v>5.5</v>
      </c>
      <c r="G403" s="857">
        <f>D403*F403</f>
        <v>577.5</v>
      </c>
      <c r="H403" s="850"/>
    </row>
    <row r="404" spans="1:8" hidden="1" x14ac:dyDescent="0.3">
      <c r="A404" s="851"/>
      <c r="B404" s="852" t="s">
        <v>788</v>
      </c>
      <c r="C404" s="853"/>
      <c r="D404" s="859">
        <v>18</v>
      </c>
      <c r="E404" s="855" t="s">
        <v>399</v>
      </c>
      <c r="F404" s="856">
        <v>2.08</v>
      </c>
      <c r="G404" s="857">
        <f>D404*F404</f>
        <v>37.44</v>
      </c>
      <c r="H404" s="900" t="s">
        <v>745</v>
      </c>
    </row>
    <row r="405" spans="1:8" hidden="1" x14ac:dyDescent="0.3">
      <c r="A405" s="851"/>
      <c r="B405" s="852" t="s">
        <v>894</v>
      </c>
      <c r="C405" s="853"/>
      <c r="D405" s="859">
        <v>0.25</v>
      </c>
      <c r="E405" s="855" t="s">
        <v>399</v>
      </c>
      <c r="F405" s="856">
        <v>27.14</v>
      </c>
      <c r="G405" s="857">
        <f>D405*F405</f>
        <v>6.7850000000000001</v>
      </c>
      <c r="H405" s="850"/>
    </row>
    <row r="406" spans="1:8" hidden="1" x14ac:dyDescent="0.3">
      <c r="A406" s="851"/>
      <c r="B406" s="852" t="s">
        <v>834</v>
      </c>
      <c r="C406" s="853"/>
      <c r="D406" s="859">
        <v>0.04</v>
      </c>
      <c r="E406" s="855" t="s">
        <v>34</v>
      </c>
      <c r="F406" s="856">
        <v>292.5</v>
      </c>
      <c r="G406" s="857">
        <f>D406*F406</f>
        <v>11.700000000000001</v>
      </c>
      <c r="H406" s="850"/>
    </row>
    <row r="407" spans="1:8" hidden="1" x14ac:dyDescent="0.3">
      <c r="A407" s="851"/>
      <c r="B407" s="852" t="s">
        <v>835</v>
      </c>
      <c r="C407" s="853"/>
      <c r="D407" s="854">
        <v>6</v>
      </c>
      <c r="E407" s="855" t="s">
        <v>540</v>
      </c>
      <c r="F407" s="860">
        <v>1.44E-2</v>
      </c>
      <c r="G407" s="857">
        <f>D407*F407</f>
        <v>8.6400000000000005E-2</v>
      </c>
      <c r="H407" s="850"/>
    </row>
    <row r="408" spans="1:8" hidden="1" x14ac:dyDescent="0.3">
      <c r="A408" s="851"/>
      <c r="B408" s="875"/>
      <c r="C408" s="852" t="s">
        <v>901</v>
      </c>
      <c r="D408" s="854">
        <v>1</v>
      </c>
      <c r="E408" s="855" t="s">
        <v>33</v>
      </c>
      <c r="F408" s="876" t="s">
        <v>6</v>
      </c>
      <c r="G408" s="945">
        <f>SUM(G403:G407)</f>
        <v>633.51140000000009</v>
      </c>
      <c r="H408" s="878" t="s">
        <v>752</v>
      </c>
    </row>
    <row r="409" spans="1:8" ht="19.5" hidden="1" thickBot="1" x14ac:dyDescent="0.35">
      <c r="A409" s="879"/>
      <c r="B409" s="880"/>
      <c r="C409" s="881"/>
      <c r="D409" s="883"/>
      <c r="E409" s="883"/>
      <c r="F409" s="884"/>
      <c r="G409" s="883"/>
      <c r="H409" s="959"/>
    </row>
    <row r="410" spans="1:8" hidden="1" x14ac:dyDescent="0.3">
      <c r="G410" s="888" t="str">
        <f>$G$37</f>
        <v xml:space="preserve"> เมษายน 2549</v>
      </c>
      <c r="H410" s="888"/>
    </row>
    <row r="411" spans="1:8" ht="19.5" hidden="1" x14ac:dyDescent="0.3">
      <c r="A411" s="820" t="s">
        <v>902</v>
      </c>
      <c r="B411" s="820"/>
      <c r="C411" s="820"/>
      <c r="D411" s="820"/>
      <c r="E411" s="820"/>
      <c r="F411" s="820"/>
      <c r="G411" s="820"/>
      <c r="H411" s="820"/>
    </row>
    <row r="412" spans="1:8" ht="20.25" hidden="1" thickBot="1" x14ac:dyDescent="0.35">
      <c r="A412" s="889" t="s">
        <v>758</v>
      </c>
      <c r="B412" s="889"/>
      <c r="C412" s="889"/>
      <c r="D412" s="889"/>
      <c r="E412" s="889"/>
      <c r="F412" s="889"/>
      <c r="G412" s="889"/>
      <c r="H412" s="889"/>
    </row>
    <row r="413" spans="1:8" hidden="1" x14ac:dyDescent="0.3">
      <c r="A413" s="823" t="s">
        <v>424</v>
      </c>
      <c r="B413" s="824" t="s">
        <v>1</v>
      </c>
      <c r="C413" s="825"/>
      <c r="D413" s="826" t="s">
        <v>24</v>
      </c>
      <c r="E413" s="826" t="s">
        <v>25</v>
      </c>
      <c r="F413" s="827" t="s">
        <v>390</v>
      </c>
      <c r="G413" s="828" t="s">
        <v>743</v>
      </c>
      <c r="H413" s="829" t="s">
        <v>20</v>
      </c>
    </row>
    <row r="414" spans="1:8" hidden="1" x14ac:dyDescent="0.3">
      <c r="A414" s="830"/>
      <c r="B414" s="831"/>
      <c r="C414" s="832"/>
      <c r="D414" s="833"/>
      <c r="E414" s="833"/>
      <c r="F414" s="834" t="s">
        <v>31</v>
      </c>
      <c r="G414" s="835" t="s">
        <v>31</v>
      </c>
      <c r="H414" s="836"/>
    </row>
    <row r="415" spans="1:8" s="844" customFormat="1" ht="19.5" hidden="1" x14ac:dyDescent="0.3">
      <c r="A415" s="837">
        <v>10</v>
      </c>
      <c r="B415" s="838" t="s">
        <v>903</v>
      </c>
      <c r="C415" s="890"/>
      <c r="D415" s="847"/>
      <c r="E415" s="847"/>
      <c r="F415" s="960"/>
      <c r="G415" s="961" t="s">
        <v>745</v>
      </c>
      <c r="H415" s="962"/>
    </row>
    <row r="416" spans="1:8" hidden="1" x14ac:dyDescent="0.3">
      <c r="A416" s="869">
        <v>10.1</v>
      </c>
      <c r="B416" s="846" t="s">
        <v>904</v>
      </c>
      <c r="C416" s="852"/>
      <c r="D416" s="847"/>
      <c r="E416" s="847"/>
      <c r="F416" s="856" t="s">
        <v>745</v>
      </c>
      <c r="G416" s="857" t="s">
        <v>745</v>
      </c>
      <c r="H416" s="963" t="s">
        <v>745</v>
      </c>
    </row>
    <row r="417" spans="1:8" hidden="1" x14ac:dyDescent="0.3">
      <c r="A417" s="851"/>
      <c r="B417" s="846" t="s">
        <v>905</v>
      </c>
      <c r="C417" s="852"/>
      <c r="D417" s="859" t="s">
        <v>745</v>
      </c>
      <c r="E417" s="855" t="s">
        <v>745</v>
      </c>
      <c r="F417" s="856" t="s">
        <v>745</v>
      </c>
      <c r="G417" s="857" t="s">
        <v>745</v>
      </c>
      <c r="H417" s="963" t="s">
        <v>745</v>
      </c>
    </row>
    <row r="418" spans="1:8" hidden="1" x14ac:dyDescent="0.3">
      <c r="A418" s="851"/>
      <c r="B418" s="875"/>
      <c r="C418" s="852" t="s">
        <v>906</v>
      </c>
      <c r="D418" s="964">
        <v>0.72499999999999998</v>
      </c>
      <c r="E418" s="855" t="s">
        <v>396</v>
      </c>
      <c r="F418" s="856">
        <v>415</v>
      </c>
      <c r="G418" s="857">
        <f>D418*F418</f>
        <v>300.875</v>
      </c>
      <c r="H418" s="850"/>
    </row>
    <row r="419" spans="1:8" hidden="1" x14ac:dyDescent="0.3">
      <c r="A419" s="851"/>
      <c r="B419" s="875"/>
      <c r="C419" s="852" t="s">
        <v>907</v>
      </c>
      <c r="D419" s="964">
        <v>0.22600000000000001</v>
      </c>
      <c r="E419" s="855" t="s">
        <v>396</v>
      </c>
      <c r="F419" s="948">
        <v>400</v>
      </c>
      <c r="G419" s="857">
        <f>D419*F419</f>
        <v>90.4</v>
      </c>
      <c r="H419" s="850"/>
    </row>
    <row r="420" spans="1:8" hidden="1" x14ac:dyDescent="0.3">
      <c r="A420" s="851"/>
      <c r="B420" s="875"/>
      <c r="C420" s="852" t="s">
        <v>908</v>
      </c>
      <c r="D420" s="859">
        <v>0.15</v>
      </c>
      <c r="E420" s="855" t="s">
        <v>399</v>
      </c>
      <c r="F420" s="965">
        <v>12.92</v>
      </c>
      <c r="G420" s="857">
        <f>D420*F420</f>
        <v>1.9379999999999999</v>
      </c>
      <c r="H420" s="850"/>
    </row>
    <row r="421" spans="1:8" hidden="1" x14ac:dyDescent="0.3">
      <c r="A421" s="861"/>
      <c r="B421" s="862"/>
      <c r="C421" s="863" t="s">
        <v>909</v>
      </c>
      <c r="D421" s="864">
        <v>1</v>
      </c>
      <c r="E421" s="865" t="s">
        <v>33</v>
      </c>
      <c r="F421" s="866" t="s">
        <v>6</v>
      </c>
      <c r="G421" s="911">
        <f>SUM(G416:G420)</f>
        <v>393.21299999999997</v>
      </c>
      <c r="H421" s="868" t="s">
        <v>752</v>
      </c>
    </row>
    <row r="422" spans="1:8" hidden="1" x14ac:dyDescent="0.3">
      <c r="A422" s="869">
        <v>10.199999999999999</v>
      </c>
      <c r="B422" s="935" t="s">
        <v>910</v>
      </c>
      <c r="C422" s="853"/>
      <c r="D422" s="847"/>
      <c r="E422" s="847"/>
      <c r="F422" s="948" t="s">
        <v>745</v>
      </c>
      <c r="G422" s="966" t="s">
        <v>745</v>
      </c>
      <c r="H422" s="967" t="s">
        <v>745</v>
      </c>
    </row>
    <row r="423" spans="1:8" hidden="1" x14ac:dyDescent="0.3">
      <c r="A423" s="851"/>
      <c r="B423" s="846" t="s">
        <v>911</v>
      </c>
      <c r="C423" s="852"/>
      <c r="D423" s="859" t="s">
        <v>745</v>
      </c>
      <c r="E423" s="855" t="s">
        <v>745</v>
      </c>
      <c r="F423" s="856" t="s">
        <v>745</v>
      </c>
      <c r="G423" s="857" t="s">
        <v>745</v>
      </c>
      <c r="H423" s="963" t="s">
        <v>745</v>
      </c>
    </row>
    <row r="424" spans="1:8" hidden="1" x14ac:dyDescent="0.3">
      <c r="A424" s="851"/>
      <c r="B424" s="875"/>
      <c r="C424" s="852" t="s">
        <v>906</v>
      </c>
      <c r="D424" s="964">
        <v>0.72499999999999998</v>
      </c>
      <c r="E424" s="855" t="s">
        <v>396</v>
      </c>
      <c r="F424" s="856">
        <v>415</v>
      </c>
      <c r="G424" s="857">
        <f>D424*F424</f>
        <v>300.875</v>
      </c>
      <c r="H424" s="850"/>
    </row>
    <row r="425" spans="1:8" hidden="1" x14ac:dyDescent="0.3">
      <c r="A425" s="851"/>
      <c r="B425" s="875"/>
      <c r="C425" s="852" t="s">
        <v>907</v>
      </c>
      <c r="D425" s="964">
        <v>0.22600000000000001</v>
      </c>
      <c r="E425" s="855" t="s">
        <v>396</v>
      </c>
      <c r="F425" s="948">
        <v>400</v>
      </c>
      <c r="G425" s="857">
        <f>D425*F425</f>
        <v>90.4</v>
      </c>
      <c r="H425" s="850"/>
    </row>
    <row r="426" spans="1:8" hidden="1" x14ac:dyDescent="0.3">
      <c r="A426" s="851"/>
      <c r="B426" s="875"/>
      <c r="C426" s="852" t="s">
        <v>908</v>
      </c>
      <c r="D426" s="859">
        <v>0.15</v>
      </c>
      <c r="E426" s="855" t="s">
        <v>399</v>
      </c>
      <c r="F426" s="965">
        <v>12.92</v>
      </c>
      <c r="G426" s="857">
        <f>D426*F426</f>
        <v>1.9379999999999999</v>
      </c>
      <c r="H426" s="850"/>
    </row>
    <row r="427" spans="1:8" hidden="1" x14ac:dyDescent="0.3">
      <c r="A427" s="861"/>
      <c r="B427" s="862"/>
      <c r="C427" s="863" t="s">
        <v>912</v>
      </c>
      <c r="D427" s="864">
        <v>1</v>
      </c>
      <c r="E427" s="865" t="s">
        <v>33</v>
      </c>
      <c r="F427" s="866" t="s">
        <v>6</v>
      </c>
      <c r="G427" s="911">
        <f>SUM(G422:G426)</f>
        <v>393.21299999999997</v>
      </c>
      <c r="H427" s="868" t="s">
        <v>752</v>
      </c>
    </row>
    <row r="428" spans="1:8" hidden="1" x14ac:dyDescent="0.3">
      <c r="A428" s="869">
        <v>10.3</v>
      </c>
      <c r="B428" s="846" t="s">
        <v>913</v>
      </c>
      <c r="C428" s="852"/>
      <c r="D428" s="847"/>
      <c r="E428" s="847"/>
      <c r="F428" s="856" t="s">
        <v>745</v>
      </c>
      <c r="G428" s="857" t="s">
        <v>745</v>
      </c>
      <c r="H428" s="963" t="s">
        <v>745</v>
      </c>
    </row>
    <row r="429" spans="1:8" hidden="1" x14ac:dyDescent="0.3">
      <c r="A429" s="851"/>
      <c r="B429" s="846" t="s">
        <v>914</v>
      </c>
      <c r="C429" s="852"/>
      <c r="D429" s="859" t="s">
        <v>745</v>
      </c>
      <c r="E429" s="855" t="s">
        <v>745</v>
      </c>
      <c r="F429" s="856" t="s">
        <v>745</v>
      </c>
      <c r="G429" s="857" t="s">
        <v>745</v>
      </c>
      <c r="H429" s="963" t="s">
        <v>745</v>
      </c>
    </row>
    <row r="430" spans="1:8" hidden="1" x14ac:dyDescent="0.3">
      <c r="A430" s="851"/>
      <c r="B430" s="875"/>
      <c r="C430" s="852" t="s">
        <v>906</v>
      </c>
      <c r="D430" s="964">
        <v>0.72499999999999998</v>
      </c>
      <c r="E430" s="855" t="s">
        <v>396</v>
      </c>
      <c r="F430" s="856">
        <v>415</v>
      </c>
      <c r="G430" s="857">
        <f>D430*F430</f>
        <v>300.875</v>
      </c>
      <c r="H430" s="850"/>
    </row>
    <row r="431" spans="1:8" hidden="1" x14ac:dyDescent="0.3">
      <c r="A431" s="851"/>
      <c r="B431" s="875"/>
      <c r="C431" s="852" t="s">
        <v>915</v>
      </c>
      <c r="D431" s="964">
        <v>0.22600000000000001</v>
      </c>
      <c r="E431" s="855" t="s">
        <v>396</v>
      </c>
      <c r="F431" s="948">
        <v>842</v>
      </c>
      <c r="G431" s="857">
        <f>D431*F431</f>
        <v>190.292</v>
      </c>
      <c r="H431" s="850"/>
    </row>
    <row r="432" spans="1:8" hidden="1" x14ac:dyDescent="0.3">
      <c r="A432" s="851"/>
      <c r="B432" s="875"/>
      <c r="C432" s="852" t="s">
        <v>908</v>
      </c>
      <c r="D432" s="859">
        <v>0.15</v>
      </c>
      <c r="E432" s="855" t="s">
        <v>399</v>
      </c>
      <c r="F432" s="965">
        <v>12.92</v>
      </c>
      <c r="G432" s="857">
        <f>D432*F432</f>
        <v>1.9379999999999999</v>
      </c>
      <c r="H432" s="850"/>
    </row>
    <row r="433" spans="1:8" hidden="1" x14ac:dyDescent="0.3">
      <c r="A433" s="861"/>
      <c r="B433" s="862"/>
      <c r="C433" s="863" t="s">
        <v>909</v>
      </c>
      <c r="D433" s="864">
        <v>1</v>
      </c>
      <c r="E433" s="865" t="s">
        <v>33</v>
      </c>
      <c r="F433" s="866" t="s">
        <v>6</v>
      </c>
      <c r="G433" s="911">
        <f>SUM(G428:G432)</f>
        <v>493.10500000000002</v>
      </c>
      <c r="H433" s="868" t="s">
        <v>752</v>
      </c>
    </row>
    <row r="434" spans="1:8" hidden="1" x14ac:dyDescent="0.3">
      <c r="A434" s="869">
        <v>10.4</v>
      </c>
      <c r="B434" s="935" t="s">
        <v>916</v>
      </c>
      <c r="C434" s="853"/>
      <c r="D434" s="847"/>
      <c r="E434" s="847"/>
      <c r="F434" s="948" t="s">
        <v>745</v>
      </c>
      <c r="G434" s="966" t="s">
        <v>745</v>
      </c>
      <c r="H434" s="967" t="s">
        <v>745</v>
      </c>
    </row>
    <row r="435" spans="1:8" hidden="1" x14ac:dyDescent="0.3">
      <c r="A435" s="851"/>
      <c r="B435" s="846" t="s">
        <v>917</v>
      </c>
      <c r="C435" s="852"/>
      <c r="D435" s="859" t="s">
        <v>745</v>
      </c>
      <c r="E435" s="855" t="s">
        <v>745</v>
      </c>
      <c r="F435" s="856" t="s">
        <v>745</v>
      </c>
      <c r="G435" s="857" t="s">
        <v>745</v>
      </c>
      <c r="H435" s="963" t="s">
        <v>745</v>
      </c>
    </row>
    <row r="436" spans="1:8" hidden="1" x14ac:dyDescent="0.3">
      <c r="A436" s="851"/>
      <c r="B436" s="875"/>
      <c r="C436" s="852" t="s">
        <v>918</v>
      </c>
      <c r="D436" s="964">
        <v>0.72499999999999998</v>
      </c>
      <c r="E436" s="855" t="s">
        <v>396</v>
      </c>
      <c r="F436" s="856" t="e">
        <v>#REF!</v>
      </c>
      <c r="G436" s="857" t="e">
        <f>D436*F436</f>
        <v>#REF!</v>
      </c>
      <c r="H436" s="850"/>
    </row>
    <row r="437" spans="1:8" hidden="1" x14ac:dyDescent="0.3">
      <c r="A437" s="851"/>
      <c r="B437" s="875"/>
      <c r="C437" s="852" t="s">
        <v>915</v>
      </c>
      <c r="D437" s="964">
        <v>0.22600000000000001</v>
      </c>
      <c r="E437" s="855" t="s">
        <v>396</v>
      </c>
      <c r="F437" s="948" t="e">
        <v>#REF!</v>
      </c>
      <c r="G437" s="857" t="e">
        <f>D437*F437</f>
        <v>#REF!</v>
      </c>
      <c r="H437" s="850"/>
    </row>
    <row r="438" spans="1:8" hidden="1" x14ac:dyDescent="0.3">
      <c r="A438" s="851"/>
      <c r="B438" s="875"/>
      <c r="C438" s="852" t="s">
        <v>908</v>
      </c>
      <c r="D438" s="859">
        <v>0.15</v>
      </c>
      <c r="E438" s="855" t="s">
        <v>399</v>
      </c>
      <c r="F438" s="965" t="e">
        <v>#REF!</v>
      </c>
      <c r="G438" s="857" t="e">
        <f>D438*F438</f>
        <v>#REF!</v>
      </c>
      <c r="H438" s="850"/>
    </row>
    <row r="439" spans="1:8" hidden="1" x14ac:dyDescent="0.3">
      <c r="A439" s="861"/>
      <c r="B439" s="862"/>
      <c r="C439" s="863" t="s">
        <v>912</v>
      </c>
      <c r="D439" s="864">
        <v>1</v>
      </c>
      <c r="E439" s="865" t="s">
        <v>33</v>
      </c>
      <c r="F439" s="866" t="s">
        <v>6</v>
      </c>
      <c r="G439" s="911" t="e">
        <f>SUM(G434:G438)</f>
        <v>#REF!</v>
      </c>
      <c r="H439" s="868" t="s">
        <v>752</v>
      </c>
    </row>
    <row r="440" spans="1:8" hidden="1" x14ac:dyDescent="0.3">
      <c r="A440" s="869">
        <v>10.5</v>
      </c>
      <c r="B440" s="935" t="s">
        <v>919</v>
      </c>
      <c r="C440" s="853"/>
      <c r="D440" s="938" t="s">
        <v>745</v>
      </c>
      <c r="E440" s="939" t="s">
        <v>745</v>
      </c>
      <c r="F440" s="948" t="s">
        <v>745</v>
      </c>
      <c r="G440" s="966" t="s">
        <v>745</v>
      </c>
      <c r="H440" s="967" t="s">
        <v>745</v>
      </c>
    </row>
    <row r="441" spans="1:8" hidden="1" x14ac:dyDescent="0.3">
      <c r="A441" s="851"/>
      <c r="B441" s="846" t="s">
        <v>920</v>
      </c>
      <c r="C441" s="852"/>
      <c r="D441" s="859" t="s">
        <v>745</v>
      </c>
      <c r="E441" s="855" t="s">
        <v>745</v>
      </c>
      <c r="F441" s="856" t="s">
        <v>745</v>
      </c>
      <c r="G441" s="857" t="s">
        <v>745</v>
      </c>
      <c r="H441" s="963" t="s">
        <v>745</v>
      </c>
    </row>
    <row r="442" spans="1:8" hidden="1" x14ac:dyDescent="0.3">
      <c r="A442" s="851"/>
      <c r="B442" s="875"/>
      <c r="C442" s="852" t="s">
        <v>921</v>
      </c>
      <c r="D442" s="964">
        <v>0.54700000000000004</v>
      </c>
      <c r="E442" s="855" t="s">
        <v>396</v>
      </c>
      <c r="F442" s="856">
        <v>787</v>
      </c>
      <c r="G442" s="857">
        <f>D442*F442</f>
        <v>430.48900000000003</v>
      </c>
      <c r="H442" s="968" t="s">
        <v>922</v>
      </c>
    </row>
    <row r="443" spans="1:8" hidden="1" x14ac:dyDescent="0.3">
      <c r="A443" s="851"/>
      <c r="B443" s="875"/>
      <c r="C443" s="852" t="s">
        <v>915</v>
      </c>
      <c r="D443" s="964">
        <v>0.22600000000000001</v>
      </c>
      <c r="E443" s="855" t="s">
        <v>396</v>
      </c>
      <c r="F443" s="948">
        <v>842</v>
      </c>
      <c r="G443" s="857">
        <f>D443*F443</f>
        <v>190.292</v>
      </c>
      <c r="H443" s="850"/>
    </row>
    <row r="444" spans="1:8" hidden="1" x14ac:dyDescent="0.3">
      <c r="A444" s="851"/>
      <c r="B444" s="875"/>
      <c r="C444" s="852" t="s">
        <v>908</v>
      </c>
      <c r="D444" s="859">
        <v>0.15</v>
      </c>
      <c r="E444" s="855" t="s">
        <v>399</v>
      </c>
      <c r="F444" s="965">
        <v>12.92</v>
      </c>
      <c r="G444" s="857">
        <f>D444*F444</f>
        <v>1.9379999999999999</v>
      </c>
      <c r="H444" s="850"/>
    </row>
    <row r="445" spans="1:8" hidden="1" x14ac:dyDescent="0.3">
      <c r="A445" s="851"/>
      <c r="B445" s="875"/>
      <c r="C445" s="852" t="s">
        <v>923</v>
      </c>
      <c r="D445" s="854">
        <v>1</v>
      </c>
      <c r="E445" s="855" t="s">
        <v>33</v>
      </c>
      <c r="F445" s="876" t="s">
        <v>6</v>
      </c>
      <c r="G445" s="945">
        <f>SUM(G440:G444)</f>
        <v>622.71900000000005</v>
      </c>
      <c r="H445" s="878" t="s">
        <v>752</v>
      </c>
    </row>
    <row r="446" spans="1:8" ht="19.5" hidden="1" thickBot="1" x14ac:dyDescent="0.35">
      <c r="A446" s="879"/>
      <c r="B446" s="946"/>
      <c r="C446" s="881"/>
      <c r="D446" s="882"/>
      <c r="E446" s="915"/>
      <c r="F446" s="916"/>
      <c r="G446" s="917"/>
      <c r="H446" s="941"/>
    </row>
    <row r="447" spans="1:8" hidden="1" x14ac:dyDescent="0.3">
      <c r="D447" s="886"/>
      <c r="E447" s="918"/>
      <c r="F447" s="919"/>
      <c r="G447" s="888" t="str">
        <f>$G$37</f>
        <v xml:space="preserve"> เมษายน 2549</v>
      </c>
      <c r="H447" s="888"/>
    </row>
    <row r="448" spans="1:8" ht="19.5" hidden="1" x14ac:dyDescent="0.3">
      <c r="A448" s="820" t="s">
        <v>924</v>
      </c>
      <c r="B448" s="820"/>
      <c r="C448" s="820"/>
      <c r="D448" s="820"/>
      <c r="E448" s="820"/>
      <c r="F448" s="820"/>
      <c r="G448" s="820"/>
      <c r="H448" s="820"/>
    </row>
    <row r="449" spans="1:8" ht="20.25" hidden="1" thickBot="1" x14ac:dyDescent="0.35">
      <c r="A449" s="889" t="s">
        <v>758</v>
      </c>
      <c r="B449" s="889"/>
      <c r="C449" s="889"/>
      <c r="D449" s="889"/>
      <c r="E449" s="889"/>
      <c r="F449" s="889"/>
      <c r="G449" s="889"/>
      <c r="H449" s="889"/>
    </row>
    <row r="450" spans="1:8" hidden="1" x14ac:dyDescent="0.3">
      <c r="A450" s="823" t="s">
        <v>424</v>
      </c>
      <c r="B450" s="824" t="s">
        <v>1</v>
      </c>
      <c r="C450" s="825"/>
      <c r="D450" s="826" t="s">
        <v>24</v>
      </c>
      <c r="E450" s="826" t="s">
        <v>25</v>
      </c>
      <c r="F450" s="827" t="s">
        <v>390</v>
      </c>
      <c r="G450" s="828" t="s">
        <v>743</v>
      </c>
      <c r="H450" s="829" t="s">
        <v>20</v>
      </c>
    </row>
    <row r="451" spans="1:8" hidden="1" x14ac:dyDescent="0.3">
      <c r="A451" s="830"/>
      <c r="B451" s="831"/>
      <c r="C451" s="832"/>
      <c r="D451" s="833"/>
      <c r="E451" s="833"/>
      <c r="F451" s="834" t="s">
        <v>31</v>
      </c>
      <c r="G451" s="835" t="s">
        <v>31</v>
      </c>
      <c r="H451" s="836"/>
    </row>
    <row r="452" spans="1:8" hidden="1" x14ac:dyDescent="0.3">
      <c r="A452" s="869">
        <v>10.6</v>
      </c>
      <c r="B452" s="846" t="s">
        <v>925</v>
      </c>
      <c r="C452" s="852"/>
      <c r="D452" s="859" t="s">
        <v>745</v>
      </c>
      <c r="E452" s="939" t="s">
        <v>745</v>
      </c>
      <c r="F452" s="948" t="s">
        <v>745</v>
      </c>
      <c r="G452" s="966" t="s">
        <v>745</v>
      </c>
      <c r="H452" s="967" t="s">
        <v>745</v>
      </c>
    </row>
    <row r="453" spans="1:8" hidden="1" x14ac:dyDescent="0.3">
      <c r="A453" s="851"/>
      <c r="B453" s="846" t="s">
        <v>920</v>
      </c>
      <c r="C453" s="852"/>
      <c r="D453" s="859" t="s">
        <v>745</v>
      </c>
      <c r="E453" s="855" t="s">
        <v>745</v>
      </c>
      <c r="F453" s="856" t="s">
        <v>745</v>
      </c>
      <c r="G453" s="857" t="s">
        <v>745</v>
      </c>
      <c r="H453" s="963" t="s">
        <v>745</v>
      </c>
    </row>
    <row r="454" spans="1:8" hidden="1" x14ac:dyDescent="0.3">
      <c r="A454" s="851"/>
      <c r="B454" s="875"/>
      <c r="C454" s="852" t="s">
        <v>926</v>
      </c>
      <c r="D454" s="964">
        <v>0.54700000000000004</v>
      </c>
      <c r="E454" s="855" t="s">
        <v>396</v>
      </c>
      <c r="F454" s="856">
        <v>1992</v>
      </c>
      <c r="G454" s="857">
        <f>D454*F454</f>
        <v>1089.624</v>
      </c>
      <c r="H454" s="968" t="s">
        <v>922</v>
      </c>
    </row>
    <row r="455" spans="1:8" hidden="1" x14ac:dyDescent="0.3">
      <c r="A455" s="851"/>
      <c r="B455" s="875"/>
      <c r="C455" s="852" t="s">
        <v>915</v>
      </c>
      <c r="D455" s="964">
        <v>0.22600000000000001</v>
      </c>
      <c r="E455" s="855" t="s">
        <v>396</v>
      </c>
      <c r="F455" s="948">
        <v>842</v>
      </c>
      <c r="G455" s="857">
        <f>D455*F455</f>
        <v>190.292</v>
      </c>
      <c r="H455" s="850"/>
    </row>
    <row r="456" spans="1:8" hidden="1" x14ac:dyDescent="0.3">
      <c r="A456" s="851"/>
      <c r="B456" s="875"/>
      <c r="C456" s="852" t="s">
        <v>908</v>
      </c>
      <c r="D456" s="859">
        <v>0.15</v>
      </c>
      <c r="E456" s="855" t="s">
        <v>399</v>
      </c>
      <c r="F456" s="965">
        <v>12.92</v>
      </c>
      <c r="G456" s="857">
        <f>D456*F456</f>
        <v>1.9379999999999999</v>
      </c>
      <c r="H456" s="850"/>
    </row>
    <row r="457" spans="1:8" hidden="1" x14ac:dyDescent="0.3">
      <c r="A457" s="861"/>
      <c r="B457" s="862"/>
      <c r="C457" s="863" t="s">
        <v>927</v>
      </c>
      <c r="D457" s="864">
        <v>1</v>
      </c>
      <c r="E457" s="865" t="s">
        <v>33</v>
      </c>
      <c r="F457" s="866" t="s">
        <v>6</v>
      </c>
      <c r="G457" s="911">
        <f>SUM(G452:G456)</f>
        <v>1281.854</v>
      </c>
      <c r="H457" s="868" t="s">
        <v>752</v>
      </c>
    </row>
    <row r="458" spans="1:8" hidden="1" x14ac:dyDescent="0.3">
      <c r="A458" s="969">
        <v>10.7</v>
      </c>
      <c r="B458" s="846" t="s">
        <v>928</v>
      </c>
      <c r="C458" s="852"/>
      <c r="D458" s="859" t="s">
        <v>745</v>
      </c>
      <c r="E458" s="855" t="s">
        <v>745</v>
      </c>
      <c r="F458" s="856" t="s">
        <v>745</v>
      </c>
      <c r="G458" s="857" t="s">
        <v>745</v>
      </c>
      <c r="H458" s="963" t="s">
        <v>745</v>
      </c>
    </row>
    <row r="459" spans="1:8" hidden="1" x14ac:dyDescent="0.3">
      <c r="A459" s="851"/>
      <c r="B459" s="846" t="s">
        <v>920</v>
      </c>
      <c r="C459" s="852"/>
      <c r="D459" s="859" t="s">
        <v>745</v>
      </c>
      <c r="E459" s="855" t="s">
        <v>745</v>
      </c>
      <c r="F459" s="856" t="s">
        <v>745</v>
      </c>
      <c r="G459" s="857" t="s">
        <v>745</v>
      </c>
      <c r="H459" s="963" t="s">
        <v>745</v>
      </c>
    </row>
    <row r="460" spans="1:8" hidden="1" x14ac:dyDescent="0.3">
      <c r="A460" s="851"/>
      <c r="B460" s="875"/>
      <c r="C460" s="852" t="s">
        <v>929</v>
      </c>
      <c r="D460" s="964">
        <v>0.54700000000000004</v>
      </c>
      <c r="E460" s="855" t="s">
        <v>396</v>
      </c>
      <c r="F460" s="856">
        <v>1482</v>
      </c>
      <c r="G460" s="857">
        <f>D460*F460</f>
        <v>810.65400000000011</v>
      </c>
      <c r="H460" s="968" t="s">
        <v>922</v>
      </c>
    </row>
    <row r="461" spans="1:8" hidden="1" x14ac:dyDescent="0.3">
      <c r="A461" s="851"/>
      <c r="B461" s="875"/>
      <c r="C461" s="852" t="s">
        <v>915</v>
      </c>
      <c r="D461" s="964">
        <v>0.22600000000000001</v>
      </c>
      <c r="E461" s="855" t="s">
        <v>396</v>
      </c>
      <c r="F461" s="948">
        <v>842</v>
      </c>
      <c r="G461" s="857">
        <f>D461*F461</f>
        <v>190.292</v>
      </c>
      <c r="H461" s="850"/>
    </row>
    <row r="462" spans="1:8" hidden="1" x14ac:dyDescent="0.3">
      <c r="A462" s="851"/>
      <c r="B462" s="875"/>
      <c r="C462" s="852" t="s">
        <v>908</v>
      </c>
      <c r="D462" s="859">
        <v>0.15</v>
      </c>
      <c r="E462" s="855" t="s">
        <v>399</v>
      </c>
      <c r="F462" s="965">
        <v>12.92</v>
      </c>
      <c r="G462" s="857">
        <f>D462*F462</f>
        <v>1.9379999999999999</v>
      </c>
      <c r="H462" s="850"/>
    </row>
    <row r="463" spans="1:8" hidden="1" x14ac:dyDescent="0.3">
      <c r="A463" s="861"/>
      <c r="B463" s="862"/>
      <c r="C463" s="863" t="s">
        <v>930</v>
      </c>
      <c r="D463" s="864">
        <v>1</v>
      </c>
      <c r="E463" s="865" t="s">
        <v>33</v>
      </c>
      <c r="F463" s="866" t="s">
        <v>6</v>
      </c>
      <c r="G463" s="911">
        <f>SUM(G458:G462)</f>
        <v>1002.8840000000001</v>
      </c>
      <c r="H463" s="868" t="s">
        <v>752</v>
      </c>
    </row>
    <row r="464" spans="1:8" hidden="1" x14ac:dyDescent="0.3">
      <c r="A464" s="869">
        <v>10.8</v>
      </c>
      <c r="B464" s="935" t="s">
        <v>931</v>
      </c>
      <c r="C464" s="853"/>
      <c r="D464" s="938" t="s">
        <v>745</v>
      </c>
      <c r="E464" s="939" t="s">
        <v>745</v>
      </c>
      <c r="F464" s="948" t="s">
        <v>745</v>
      </c>
      <c r="G464" s="966" t="s">
        <v>745</v>
      </c>
      <c r="H464" s="967" t="s">
        <v>745</v>
      </c>
    </row>
    <row r="465" spans="1:8" hidden="1" x14ac:dyDescent="0.3">
      <c r="A465" s="851"/>
      <c r="B465" s="846" t="s">
        <v>932</v>
      </c>
      <c r="C465" s="852"/>
      <c r="D465" s="859" t="s">
        <v>745</v>
      </c>
      <c r="E465" s="855" t="s">
        <v>745</v>
      </c>
      <c r="F465" s="856" t="s">
        <v>745</v>
      </c>
      <c r="G465" s="857" t="s">
        <v>745</v>
      </c>
      <c r="H465" s="963" t="s">
        <v>745</v>
      </c>
    </row>
    <row r="466" spans="1:8" hidden="1" x14ac:dyDescent="0.3">
      <c r="A466" s="851"/>
      <c r="B466" s="875"/>
      <c r="C466" s="852" t="s">
        <v>933</v>
      </c>
      <c r="D466" s="859">
        <v>1</v>
      </c>
      <c r="E466" s="855" t="s">
        <v>33</v>
      </c>
      <c r="F466" s="856">
        <v>167</v>
      </c>
      <c r="G466" s="857">
        <f>D466*F466</f>
        <v>167</v>
      </c>
      <c r="H466" s="968" t="s">
        <v>934</v>
      </c>
    </row>
    <row r="467" spans="1:8" hidden="1" x14ac:dyDescent="0.3">
      <c r="A467" s="851"/>
      <c r="B467" s="875"/>
      <c r="C467" s="852" t="s">
        <v>935</v>
      </c>
      <c r="D467" s="859">
        <v>0.48</v>
      </c>
      <c r="E467" s="855" t="s">
        <v>396</v>
      </c>
      <c r="F467" s="948">
        <v>400</v>
      </c>
      <c r="G467" s="857">
        <f>D467*F467</f>
        <v>192</v>
      </c>
      <c r="H467" s="968" t="s">
        <v>922</v>
      </c>
    </row>
    <row r="468" spans="1:8" hidden="1" x14ac:dyDescent="0.3">
      <c r="A468" s="851"/>
      <c r="B468" s="875"/>
      <c r="C468" s="852" t="s">
        <v>908</v>
      </c>
      <c r="D468" s="859">
        <v>0.2</v>
      </c>
      <c r="E468" s="855" t="s">
        <v>399</v>
      </c>
      <c r="F468" s="965">
        <v>12.92</v>
      </c>
      <c r="G468" s="857">
        <f>D468*F468</f>
        <v>2.5840000000000001</v>
      </c>
      <c r="H468" s="850"/>
    </row>
    <row r="469" spans="1:8" hidden="1" x14ac:dyDescent="0.3">
      <c r="A469" s="861"/>
      <c r="B469" s="862"/>
      <c r="C469" s="863" t="s">
        <v>936</v>
      </c>
      <c r="D469" s="864">
        <v>1</v>
      </c>
      <c r="E469" s="865" t="s">
        <v>33</v>
      </c>
      <c r="F469" s="866" t="s">
        <v>6</v>
      </c>
      <c r="G469" s="911">
        <f>SUM(G464:G468)</f>
        <v>361.584</v>
      </c>
      <c r="H469" s="868" t="s">
        <v>752</v>
      </c>
    </row>
    <row r="470" spans="1:8" hidden="1" x14ac:dyDescent="0.3">
      <c r="A470" s="869">
        <v>10.9</v>
      </c>
      <c r="B470" s="935" t="s">
        <v>937</v>
      </c>
      <c r="C470" s="853"/>
      <c r="D470" s="938" t="s">
        <v>745</v>
      </c>
      <c r="E470" s="939" t="s">
        <v>745</v>
      </c>
      <c r="F470" s="948" t="s">
        <v>745</v>
      </c>
      <c r="G470" s="966" t="s">
        <v>745</v>
      </c>
      <c r="H470" s="967" t="s">
        <v>745</v>
      </c>
    </row>
    <row r="471" spans="1:8" hidden="1" x14ac:dyDescent="0.3">
      <c r="A471" s="851"/>
      <c r="B471" s="846" t="s">
        <v>938</v>
      </c>
      <c r="C471" s="852"/>
      <c r="D471" s="859" t="s">
        <v>745</v>
      </c>
      <c r="E471" s="855" t="s">
        <v>745</v>
      </c>
      <c r="F471" s="856" t="s">
        <v>745</v>
      </c>
      <c r="G471" s="857" t="s">
        <v>745</v>
      </c>
      <c r="H471" s="963" t="s">
        <v>745</v>
      </c>
    </row>
    <row r="472" spans="1:8" hidden="1" x14ac:dyDescent="0.3">
      <c r="A472" s="851"/>
      <c r="B472" s="875"/>
      <c r="C472" s="852" t="s">
        <v>933</v>
      </c>
      <c r="D472" s="859">
        <v>1</v>
      </c>
      <c r="E472" s="855" t="s">
        <v>33</v>
      </c>
      <c r="F472" s="856">
        <v>167</v>
      </c>
      <c r="G472" s="857">
        <f>D472*F472</f>
        <v>167</v>
      </c>
      <c r="H472" s="968" t="s">
        <v>934</v>
      </c>
    </row>
    <row r="473" spans="1:8" hidden="1" x14ac:dyDescent="0.3">
      <c r="A473" s="851"/>
      <c r="B473" s="875"/>
      <c r="C473" s="852" t="s">
        <v>939</v>
      </c>
      <c r="D473" s="859">
        <v>0.48</v>
      </c>
      <c r="E473" s="855" t="s">
        <v>396</v>
      </c>
      <c r="F473" s="948">
        <v>842</v>
      </c>
      <c r="G473" s="857">
        <f>D473*F473</f>
        <v>404.15999999999997</v>
      </c>
      <c r="H473" s="968" t="s">
        <v>922</v>
      </c>
    </row>
    <row r="474" spans="1:8" hidden="1" x14ac:dyDescent="0.3">
      <c r="A474" s="851"/>
      <c r="B474" s="875"/>
      <c r="C474" s="852" t="s">
        <v>908</v>
      </c>
      <c r="D474" s="859">
        <v>0.2</v>
      </c>
      <c r="E474" s="855" t="s">
        <v>399</v>
      </c>
      <c r="F474" s="965">
        <v>12.92</v>
      </c>
      <c r="G474" s="857">
        <f>D474*F474</f>
        <v>2.5840000000000001</v>
      </c>
      <c r="H474" s="850"/>
    </row>
    <row r="475" spans="1:8" hidden="1" x14ac:dyDescent="0.3">
      <c r="A475" s="861"/>
      <c r="B475" s="862"/>
      <c r="C475" s="863" t="s">
        <v>936</v>
      </c>
      <c r="D475" s="864">
        <v>1</v>
      </c>
      <c r="E475" s="865" t="s">
        <v>33</v>
      </c>
      <c r="F475" s="866" t="s">
        <v>6</v>
      </c>
      <c r="G475" s="911">
        <f>SUM(G470:G474)</f>
        <v>573.74399999999991</v>
      </c>
      <c r="H475" s="868" t="s">
        <v>752</v>
      </c>
    </row>
    <row r="476" spans="1:8" hidden="1" x14ac:dyDescent="0.3">
      <c r="A476" s="958">
        <v>10.1</v>
      </c>
      <c r="B476" s="935" t="s">
        <v>940</v>
      </c>
      <c r="C476" s="853"/>
      <c r="D476" s="938" t="s">
        <v>745</v>
      </c>
      <c r="E476" s="939" t="s">
        <v>745</v>
      </c>
      <c r="F476" s="948" t="s">
        <v>745</v>
      </c>
      <c r="G476" s="966" t="s">
        <v>745</v>
      </c>
      <c r="H476" s="967" t="s">
        <v>745</v>
      </c>
    </row>
    <row r="477" spans="1:8" hidden="1" x14ac:dyDescent="0.3">
      <c r="A477" s="851"/>
      <c r="B477" s="846" t="s">
        <v>932</v>
      </c>
      <c r="C477" s="852"/>
      <c r="D477" s="859" t="s">
        <v>745</v>
      </c>
      <c r="E477" s="855" t="s">
        <v>745</v>
      </c>
      <c r="F477" s="856" t="s">
        <v>745</v>
      </c>
      <c r="G477" s="857" t="s">
        <v>745</v>
      </c>
      <c r="H477" s="963" t="s">
        <v>745</v>
      </c>
    </row>
    <row r="478" spans="1:8" hidden="1" x14ac:dyDescent="0.3">
      <c r="A478" s="851"/>
      <c r="B478" s="875"/>
      <c r="C478" s="852" t="s">
        <v>941</v>
      </c>
      <c r="D478" s="859">
        <v>1</v>
      </c>
      <c r="E478" s="855" t="s">
        <v>33</v>
      </c>
      <c r="F478" s="856">
        <v>255</v>
      </c>
      <c r="G478" s="857">
        <f>D478*F478</f>
        <v>255</v>
      </c>
      <c r="H478" s="968" t="s">
        <v>934</v>
      </c>
    </row>
    <row r="479" spans="1:8" hidden="1" x14ac:dyDescent="0.3">
      <c r="A479" s="851"/>
      <c r="B479" s="875"/>
      <c r="C479" s="852" t="s">
        <v>935</v>
      </c>
      <c r="D479" s="859">
        <v>0.48</v>
      </c>
      <c r="E479" s="855" t="s">
        <v>396</v>
      </c>
      <c r="F479" s="948">
        <v>400</v>
      </c>
      <c r="G479" s="857">
        <f>D479*F479</f>
        <v>192</v>
      </c>
      <c r="H479" s="968" t="s">
        <v>922</v>
      </c>
    </row>
    <row r="480" spans="1:8" hidden="1" x14ac:dyDescent="0.3">
      <c r="A480" s="851"/>
      <c r="B480" s="875"/>
      <c r="C480" s="852" t="s">
        <v>908</v>
      </c>
      <c r="D480" s="859">
        <v>0.2</v>
      </c>
      <c r="E480" s="855" t="s">
        <v>399</v>
      </c>
      <c r="F480" s="965">
        <v>12.92</v>
      </c>
      <c r="G480" s="857">
        <f>D480*F480</f>
        <v>2.5840000000000001</v>
      </c>
      <c r="H480" s="850"/>
    </row>
    <row r="481" spans="1:8" hidden="1" x14ac:dyDescent="0.3">
      <c r="A481" s="851"/>
      <c r="B481" s="875"/>
      <c r="C481" s="852" t="s">
        <v>942</v>
      </c>
      <c r="D481" s="854">
        <v>1</v>
      </c>
      <c r="E481" s="855" t="s">
        <v>33</v>
      </c>
      <c r="F481" s="876" t="s">
        <v>6</v>
      </c>
      <c r="G481" s="945">
        <f>SUM(G476:G480)</f>
        <v>449.584</v>
      </c>
      <c r="H481" s="878" t="s">
        <v>752</v>
      </c>
    </row>
    <row r="482" spans="1:8" hidden="1" x14ac:dyDescent="0.3">
      <c r="A482" s="851"/>
      <c r="B482" s="970"/>
      <c r="C482" s="852"/>
      <c r="D482" s="854"/>
      <c r="E482" s="855"/>
      <c r="F482" s="876"/>
      <c r="G482" s="945"/>
      <c r="H482" s="878"/>
    </row>
    <row r="483" spans="1:8" ht="19.5" hidden="1" thickBot="1" x14ac:dyDescent="0.35">
      <c r="A483" s="879"/>
      <c r="B483" s="946"/>
      <c r="C483" s="881"/>
      <c r="D483" s="882"/>
      <c r="E483" s="915"/>
      <c r="F483" s="916"/>
      <c r="G483" s="917"/>
      <c r="H483" s="941"/>
    </row>
    <row r="484" spans="1:8" hidden="1" x14ac:dyDescent="0.3">
      <c r="D484" s="886"/>
      <c r="E484" s="918"/>
      <c r="F484" s="919"/>
      <c r="G484" s="888" t="str">
        <f>$G$37</f>
        <v xml:space="preserve"> เมษายน 2549</v>
      </c>
      <c r="H484" s="888"/>
    </row>
    <row r="485" spans="1:8" ht="19.5" hidden="1" x14ac:dyDescent="0.3">
      <c r="A485" s="820" t="s">
        <v>943</v>
      </c>
      <c r="B485" s="820"/>
      <c r="C485" s="820"/>
      <c r="D485" s="820"/>
      <c r="E485" s="820"/>
      <c r="F485" s="820"/>
      <c r="G485" s="820"/>
      <c r="H485" s="820"/>
    </row>
    <row r="486" spans="1:8" ht="20.25" hidden="1" thickBot="1" x14ac:dyDescent="0.35">
      <c r="A486" s="889" t="s">
        <v>758</v>
      </c>
      <c r="B486" s="889"/>
      <c r="C486" s="889"/>
      <c r="D486" s="889"/>
      <c r="E486" s="889"/>
      <c r="F486" s="889"/>
      <c r="G486" s="889"/>
      <c r="H486" s="889"/>
    </row>
    <row r="487" spans="1:8" hidden="1" x14ac:dyDescent="0.3">
      <c r="A487" s="823" t="s">
        <v>424</v>
      </c>
      <c r="B487" s="824" t="s">
        <v>1</v>
      </c>
      <c r="C487" s="825"/>
      <c r="D487" s="826" t="s">
        <v>24</v>
      </c>
      <c r="E487" s="826" t="s">
        <v>25</v>
      </c>
      <c r="F487" s="827" t="s">
        <v>390</v>
      </c>
      <c r="G487" s="828" t="s">
        <v>743</v>
      </c>
      <c r="H487" s="829" t="s">
        <v>20</v>
      </c>
    </row>
    <row r="488" spans="1:8" hidden="1" x14ac:dyDescent="0.3">
      <c r="A488" s="830"/>
      <c r="B488" s="831"/>
      <c r="C488" s="832"/>
      <c r="D488" s="833"/>
      <c r="E488" s="833"/>
      <c r="F488" s="834" t="s">
        <v>31</v>
      </c>
      <c r="G488" s="835" t="s">
        <v>31</v>
      </c>
      <c r="H488" s="836"/>
    </row>
    <row r="489" spans="1:8" hidden="1" x14ac:dyDescent="0.3">
      <c r="A489" s="869">
        <v>10.11</v>
      </c>
      <c r="B489" s="935" t="s">
        <v>944</v>
      </c>
      <c r="C489" s="853"/>
      <c r="D489" s="938" t="s">
        <v>745</v>
      </c>
      <c r="E489" s="939" t="s">
        <v>745</v>
      </c>
      <c r="F489" s="948" t="s">
        <v>745</v>
      </c>
      <c r="G489" s="966" t="s">
        <v>745</v>
      </c>
      <c r="H489" s="967" t="s">
        <v>745</v>
      </c>
    </row>
    <row r="490" spans="1:8" hidden="1" x14ac:dyDescent="0.3">
      <c r="A490" s="851"/>
      <c r="B490" s="846" t="s">
        <v>938</v>
      </c>
      <c r="C490" s="852"/>
      <c r="D490" s="859" t="s">
        <v>745</v>
      </c>
      <c r="E490" s="855" t="s">
        <v>745</v>
      </c>
      <c r="F490" s="856" t="s">
        <v>745</v>
      </c>
      <c r="G490" s="857" t="s">
        <v>745</v>
      </c>
      <c r="H490" s="963" t="s">
        <v>745</v>
      </c>
    </row>
    <row r="491" spans="1:8" hidden="1" x14ac:dyDescent="0.3">
      <c r="A491" s="851"/>
      <c r="B491" s="875"/>
      <c r="C491" s="852" t="s">
        <v>941</v>
      </c>
      <c r="D491" s="859">
        <v>1</v>
      </c>
      <c r="E491" s="855" t="s">
        <v>33</v>
      </c>
      <c r="F491" s="856">
        <v>255</v>
      </c>
      <c r="G491" s="857">
        <f>D491*F491</f>
        <v>255</v>
      </c>
      <c r="H491" s="968" t="s">
        <v>934</v>
      </c>
    </row>
    <row r="492" spans="1:8" hidden="1" x14ac:dyDescent="0.3">
      <c r="A492" s="851"/>
      <c r="B492" s="875"/>
      <c r="C492" s="852" t="s">
        <v>939</v>
      </c>
      <c r="D492" s="859">
        <v>0.48</v>
      </c>
      <c r="E492" s="855" t="s">
        <v>396</v>
      </c>
      <c r="F492" s="948">
        <v>842</v>
      </c>
      <c r="G492" s="857">
        <f>D492*F492</f>
        <v>404.15999999999997</v>
      </c>
      <c r="H492" s="968" t="s">
        <v>922</v>
      </c>
    </row>
    <row r="493" spans="1:8" hidden="1" x14ac:dyDescent="0.3">
      <c r="A493" s="851"/>
      <c r="B493" s="875"/>
      <c r="C493" s="852" t="s">
        <v>908</v>
      </c>
      <c r="D493" s="859">
        <v>0.2</v>
      </c>
      <c r="E493" s="855" t="s">
        <v>399</v>
      </c>
      <c r="F493" s="965">
        <v>12.92</v>
      </c>
      <c r="G493" s="857">
        <f>D493*F493</f>
        <v>2.5840000000000001</v>
      </c>
      <c r="H493" s="850"/>
    </row>
    <row r="494" spans="1:8" hidden="1" x14ac:dyDescent="0.3">
      <c r="A494" s="861"/>
      <c r="B494" s="862"/>
      <c r="C494" s="863" t="s">
        <v>942</v>
      </c>
      <c r="D494" s="864">
        <v>1</v>
      </c>
      <c r="E494" s="865" t="s">
        <v>33</v>
      </c>
      <c r="F494" s="866" t="s">
        <v>6</v>
      </c>
      <c r="G494" s="911">
        <f>SUM(G489:G493)</f>
        <v>661.74399999999991</v>
      </c>
      <c r="H494" s="868" t="s">
        <v>752</v>
      </c>
    </row>
    <row r="495" spans="1:8" hidden="1" x14ac:dyDescent="0.3">
      <c r="A495" s="869">
        <v>10.119999999999999</v>
      </c>
      <c r="B495" s="935" t="s">
        <v>945</v>
      </c>
      <c r="C495" s="853"/>
      <c r="D495" s="938" t="s">
        <v>745</v>
      </c>
      <c r="E495" s="939" t="s">
        <v>745</v>
      </c>
      <c r="F495" s="948" t="s">
        <v>745</v>
      </c>
      <c r="G495" s="966" t="s">
        <v>745</v>
      </c>
      <c r="H495" s="967" t="s">
        <v>745</v>
      </c>
    </row>
    <row r="496" spans="1:8" hidden="1" x14ac:dyDescent="0.3">
      <c r="A496" s="851"/>
      <c r="B496" s="846" t="s">
        <v>932</v>
      </c>
      <c r="C496" s="852"/>
      <c r="D496" s="859" t="s">
        <v>745</v>
      </c>
      <c r="E496" s="855" t="s">
        <v>745</v>
      </c>
      <c r="F496" s="856" t="s">
        <v>745</v>
      </c>
      <c r="G496" s="857" t="s">
        <v>745</v>
      </c>
      <c r="H496" s="963" t="s">
        <v>745</v>
      </c>
    </row>
    <row r="497" spans="1:8" hidden="1" x14ac:dyDescent="0.3">
      <c r="A497" s="851"/>
      <c r="B497" s="875"/>
      <c r="C497" s="852" t="s">
        <v>946</v>
      </c>
      <c r="D497" s="859">
        <v>1</v>
      </c>
      <c r="E497" s="855" t="s">
        <v>33</v>
      </c>
      <c r="F497" s="856">
        <v>373</v>
      </c>
      <c r="G497" s="857">
        <f>D497*F497</f>
        <v>373</v>
      </c>
      <c r="H497" s="968" t="s">
        <v>934</v>
      </c>
    </row>
    <row r="498" spans="1:8" hidden="1" x14ac:dyDescent="0.3">
      <c r="A498" s="851"/>
      <c r="B498" s="875"/>
      <c r="C498" s="852" t="s">
        <v>935</v>
      </c>
      <c r="D498" s="859">
        <v>0.48</v>
      </c>
      <c r="E498" s="855" t="s">
        <v>396</v>
      </c>
      <c r="F498" s="948">
        <v>400</v>
      </c>
      <c r="G498" s="857">
        <f>D498*F498</f>
        <v>192</v>
      </c>
      <c r="H498" s="968" t="s">
        <v>922</v>
      </c>
    </row>
    <row r="499" spans="1:8" hidden="1" x14ac:dyDescent="0.3">
      <c r="A499" s="851"/>
      <c r="B499" s="875"/>
      <c r="C499" s="852" t="s">
        <v>908</v>
      </c>
      <c r="D499" s="859">
        <v>0.2</v>
      </c>
      <c r="E499" s="855" t="s">
        <v>399</v>
      </c>
      <c r="F499" s="965">
        <v>12.92</v>
      </c>
      <c r="G499" s="857">
        <f>D499*F499</f>
        <v>2.5840000000000001</v>
      </c>
      <c r="H499" s="850"/>
    </row>
    <row r="500" spans="1:8" hidden="1" x14ac:dyDescent="0.3">
      <c r="A500" s="861"/>
      <c r="B500" s="862"/>
      <c r="C500" s="863" t="s">
        <v>947</v>
      </c>
      <c r="D500" s="864">
        <v>1</v>
      </c>
      <c r="E500" s="865" t="s">
        <v>33</v>
      </c>
      <c r="F500" s="866" t="s">
        <v>6</v>
      </c>
      <c r="G500" s="911">
        <f>SUM(G495:G499)</f>
        <v>567.58399999999995</v>
      </c>
      <c r="H500" s="868" t="s">
        <v>752</v>
      </c>
    </row>
    <row r="501" spans="1:8" hidden="1" x14ac:dyDescent="0.3">
      <c r="A501" s="958">
        <v>10.130000000000001</v>
      </c>
      <c r="B501" s="935" t="s">
        <v>948</v>
      </c>
      <c r="C501" s="853"/>
      <c r="D501" s="938" t="s">
        <v>745</v>
      </c>
      <c r="E501" s="939" t="s">
        <v>745</v>
      </c>
      <c r="F501" s="948" t="s">
        <v>745</v>
      </c>
      <c r="G501" s="966" t="s">
        <v>745</v>
      </c>
      <c r="H501" s="967" t="s">
        <v>745</v>
      </c>
    </row>
    <row r="502" spans="1:8" hidden="1" x14ac:dyDescent="0.3">
      <c r="A502" s="851"/>
      <c r="B502" s="846" t="s">
        <v>938</v>
      </c>
      <c r="C502" s="852"/>
      <c r="D502" s="859" t="s">
        <v>745</v>
      </c>
      <c r="E502" s="855" t="s">
        <v>745</v>
      </c>
      <c r="F502" s="856" t="s">
        <v>745</v>
      </c>
      <c r="G502" s="857" t="s">
        <v>745</v>
      </c>
      <c r="H502" s="963" t="s">
        <v>745</v>
      </c>
    </row>
    <row r="503" spans="1:8" hidden="1" x14ac:dyDescent="0.3">
      <c r="A503" s="851"/>
      <c r="B503" s="875"/>
      <c r="C503" s="852" t="s">
        <v>946</v>
      </c>
      <c r="D503" s="859">
        <v>1</v>
      </c>
      <c r="E503" s="855" t="s">
        <v>33</v>
      </c>
      <c r="F503" s="856">
        <v>373</v>
      </c>
      <c r="G503" s="857">
        <f>D503*F503</f>
        <v>373</v>
      </c>
      <c r="H503" s="968" t="s">
        <v>934</v>
      </c>
    </row>
    <row r="504" spans="1:8" hidden="1" x14ac:dyDescent="0.3">
      <c r="A504" s="851"/>
      <c r="B504" s="875"/>
      <c r="C504" s="852" t="s">
        <v>939</v>
      </c>
      <c r="D504" s="859">
        <v>0.48</v>
      </c>
      <c r="E504" s="855" t="s">
        <v>396</v>
      </c>
      <c r="F504" s="948">
        <v>842</v>
      </c>
      <c r="G504" s="857">
        <f>D504*F504</f>
        <v>404.15999999999997</v>
      </c>
      <c r="H504" s="968" t="s">
        <v>922</v>
      </c>
    </row>
    <row r="505" spans="1:8" hidden="1" x14ac:dyDescent="0.3">
      <c r="A505" s="851"/>
      <c r="B505" s="875"/>
      <c r="C505" s="852" t="s">
        <v>908</v>
      </c>
      <c r="D505" s="859">
        <v>0.2</v>
      </c>
      <c r="E505" s="855" t="s">
        <v>399</v>
      </c>
      <c r="F505" s="965">
        <v>12.92</v>
      </c>
      <c r="G505" s="857">
        <f>D505*F505</f>
        <v>2.5840000000000001</v>
      </c>
      <c r="H505" s="850"/>
    </row>
    <row r="506" spans="1:8" hidden="1" x14ac:dyDescent="0.3">
      <c r="A506" s="861"/>
      <c r="B506" s="862"/>
      <c r="C506" s="863" t="s">
        <v>947</v>
      </c>
      <c r="D506" s="864">
        <v>1</v>
      </c>
      <c r="E506" s="865" t="s">
        <v>33</v>
      </c>
      <c r="F506" s="866" t="s">
        <v>6</v>
      </c>
      <c r="G506" s="911">
        <f>SUM(G501:G505)</f>
        <v>779.74399999999991</v>
      </c>
      <c r="H506" s="868" t="s">
        <v>752</v>
      </c>
    </row>
    <row r="507" spans="1:8" hidden="1" x14ac:dyDescent="0.3">
      <c r="A507" s="869">
        <v>10.14</v>
      </c>
      <c r="B507" s="935" t="s">
        <v>931</v>
      </c>
      <c r="C507" s="853"/>
      <c r="D507" s="938" t="s">
        <v>745</v>
      </c>
      <c r="E507" s="939" t="s">
        <v>745</v>
      </c>
      <c r="F507" s="948" t="s">
        <v>745</v>
      </c>
      <c r="G507" s="966" t="s">
        <v>745</v>
      </c>
      <c r="H507" s="967" t="s">
        <v>745</v>
      </c>
    </row>
    <row r="508" spans="1:8" hidden="1" x14ac:dyDescent="0.3">
      <c r="A508" s="851"/>
      <c r="B508" s="846" t="s">
        <v>949</v>
      </c>
      <c r="C508" s="852"/>
      <c r="D508" s="859" t="s">
        <v>745</v>
      </c>
      <c r="E508" s="855" t="s">
        <v>745</v>
      </c>
      <c r="F508" s="856" t="s">
        <v>745</v>
      </c>
      <c r="G508" s="857" t="s">
        <v>745</v>
      </c>
      <c r="H508" s="963" t="s">
        <v>745</v>
      </c>
    </row>
    <row r="509" spans="1:8" hidden="1" x14ac:dyDescent="0.3">
      <c r="A509" s="851"/>
      <c r="B509" s="875"/>
      <c r="C509" s="852" t="s">
        <v>933</v>
      </c>
      <c r="D509" s="859">
        <v>2</v>
      </c>
      <c r="E509" s="855" t="s">
        <v>33</v>
      </c>
      <c r="F509" s="856">
        <v>167</v>
      </c>
      <c r="G509" s="857">
        <f>D509*F509</f>
        <v>334</v>
      </c>
      <c r="H509" s="968" t="s">
        <v>934</v>
      </c>
    </row>
    <row r="510" spans="1:8" hidden="1" x14ac:dyDescent="0.3">
      <c r="A510" s="851"/>
      <c r="B510" s="875"/>
      <c r="C510" s="852" t="s">
        <v>950</v>
      </c>
      <c r="D510" s="859">
        <v>0.48</v>
      </c>
      <c r="E510" s="855" t="s">
        <v>396</v>
      </c>
      <c r="F510" s="948">
        <v>396</v>
      </c>
      <c r="G510" s="857">
        <f>D510*F510</f>
        <v>190.07999999999998</v>
      </c>
      <c r="H510" s="968" t="s">
        <v>922</v>
      </c>
    </row>
    <row r="511" spans="1:8" hidden="1" x14ac:dyDescent="0.3">
      <c r="A511" s="851"/>
      <c r="B511" s="875"/>
      <c r="C511" s="852" t="s">
        <v>908</v>
      </c>
      <c r="D511" s="859">
        <v>0.28000000000000003</v>
      </c>
      <c r="E511" s="855" t="s">
        <v>399</v>
      </c>
      <c r="F511" s="965">
        <v>12.92</v>
      </c>
      <c r="G511" s="857">
        <f>D511*F511</f>
        <v>3.6176000000000004</v>
      </c>
      <c r="H511" s="850"/>
    </row>
    <row r="512" spans="1:8" hidden="1" x14ac:dyDescent="0.3">
      <c r="A512" s="861"/>
      <c r="B512" s="862"/>
      <c r="C512" s="863" t="s">
        <v>951</v>
      </c>
      <c r="D512" s="864">
        <v>1</v>
      </c>
      <c r="E512" s="865" t="s">
        <v>33</v>
      </c>
      <c r="F512" s="866" t="s">
        <v>6</v>
      </c>
      <c r="G512" s="911">
        <f>SUM(G507:G511)</f>
        <v>527.69759999999997</v>
      </c>
      <c r="H512" s="868" t="s">
        <v>752</v>
      </c>
    </row>
    <row r="513" spans="1:8" hidden="1" x14ac:dyDescent="0.3">
      <c r="A513" s="869">
        <v>10.15</v>
      </c>
      <c r="B513" s="935" t="s">
        <v>937</v>
      </c>
      <c r="C513" s="853"/>
      <c r="D513" s="938" t="s">
        <v>745</v>
      </c>
      <c r="E513" s="939" t="s">
        <v>745</v>
      </c>
      <c r="F513" s="948" t="s">
        <v>745</v>
      </c>
      <c r="G513" s="966" t="s">
        <v>745</v>
      </c>
      <c r="H513" s="967" t="s">
        <v>745</v>
      </c>
    </row>
    <row r="514" spans="1:8" hidden="1" x14ac:dyDescent="0.3">
      <c r="A514" s="851"/>
      <c r="B514" s="846" t="s">
        <v>952</v>
      </c>
      <c r="C514" s="852"/>
      <c r="D514" s="859" t="s">
        <v>745</v>
      </c>
      <c r="E514" s="855" t="s">
        <v>745</v>
      </c>
      <c r="F514" s="856" t="s">
        <v>745</v>
      </c>
      <c r="G514" s="857" t="s">
        <v>745</v>
      </c>
      <c r="H514" s="963" t="s">
        <v>745</v>
      </c>
    </row>
    <row r="515" spans="1:8" hidden="1" x14ac:dyDescent="0.3">
      <c r="A515" s="851"/>
      <c r="B515" s="875"/>
      <c r="C515" s="852" t="s">
        <v>933</v>
      </c>
      <c r="D515" s="859">
        <v>2</v>
      </c>
      <c r="E515" s="855" t="s">
        <v>33</v>
      </c>
      <c r="F515" s="856">
        <v>167</v>
      </c>
      <c r="G515" s="857">
        <f>D515*F515</f>
        <v>334</v>
      </c>
      <c r="H515" s="968" t="s">
        <v>934</v>
      </c>
    </row>
    <row r="516" spans="1:8" hidden="1" x14ac:dyDescent="0.3">
      <c r="A516" s="851"/>
      <c r="B516" s="875"/>
      <c r="C516" s="852" t="s">
        <v>953</v>
      </c>
      <c r="D516" s="859">
        <v>0.48</v>
      </c>
      <c r="E516" s="855" t="s">
        <v>396</v>
      </c>
      <c r="F516" s="948">
        <v>838</v>
      </c>
      <c r="G516" s="857">
        <f>D516*F516</f>
        <v>402.24</v>
      </c>
      <c r="H516" s="968" t="s">
        <v>922</v>
      </c>
    </row>
    <row r="517" spans="1:8" hidden="1" x14ac:dyDescent="0.3">
      <c r="A517" s="851"/>
      <c r="B517" s="875"/>
      <c r="C517" s="852" t="s">
        <v>908</v>
      </c>
      <c r="D517" s="859">
        <v>0.28000000000000003</v>
      </c>
      <c r="E517" s="855" t="s">
        <v>399</v>
      </c>
      <c r="F517" s="965">
        <v>12.92</v>
      </c>
      <c r="G517" s="857">
        <f>D517*F517</f>
        <v>3.6176000000000004</v>
      </c>
      <c r="H517" s="850"/>
    </row>
    <row r="518" spans="1:8" hidden="1" x14ac:dyDescent="0.3">
      <c r="A518" s="851"/>
      <c r="B518" s="875"/>
      <c r="C518" s="852" t="s">
        <v>951</v>
      </c>
      <c r="D518" s="854">
        <v>1</v>
      </c>
      <c r="E518" s="855" t="s">
        <v>33</v>
      </c>
      <c r="F518" s="876" t="s">
        <v>6</v>
      </c>
      <c r="G518" s="945">
        <f>SUM(G513:G517)</f>
        <v>739.85760000000005</v>
      </c>
      <c r="H518" s="878" t="s">
        <v>752</v>
      </c>
    </row>
    <row r="519" spans="1:8" hidden="1" x14ac:dyDescent="0.3">
      <c r="A519" s="851"/>
      <c r="B519" s="970"/>
      <c r="C519" s="852"/>
      <c r="D519" s="854"/>
      <c r="E519" s="855"/>
      <c r="F519" s="876"/>
      <c r="G519" s="945"/>
      <c r="H519" s="878"/>
    </row>
    <row r="520" spans="1:8" ht="19.5" hidden="1" thickBot="1" x14ac:dyDescent="0.35">
      <c r="A520" s="879"/>
      <c r="B520" s="946"/>
      <c r="C520" s="881"/>
      <c r="D520" s="882"/>
      <c r="E520" s="915"/>
      <c r="F520" s="916"/>
      <c r="G520" s="917"/>
      <c r="H520" s="941"/>
    </row>
    <row r="521" spans="1:8" hidden="1" x14ac:dyDescent="0.3">
      <c r="D521" s="886"/>
      <c r="E521" s="918"/>
      <c r="F521" s="919"/>
      <c r="G521" s="888" t="str">
        <f>$G$37</f>
        <v xml:space="preserve"> เมษายน 2549</v>
      </c>
      <c r="H521" s="888"/>
    </row>
    <row r="522" spans="1:8" ht="19.5" hidden="1" x14ac:dyDescent="0.3">
      <c r="A522" s="820" t="s">
        <v>954</v>
      </c>
      <c r="B522" s="820"/>
      <c r="C522" s="820"/>
      <c r="D522" s="820"/>
      <c r="E522" s="820"/>
      <c r="F522" s="820"/>
      <c r="G522" s="820"/>
      <c r="H522" s="820"/>
    </row>
    <row r="523" spans="1:8" ht="20.25" hidden="1" thickBot="1" x14ac:dyDescent="0.35">
      <c r="A523" s="889" t="s">
        <v>758</v>
      </c>
      <c r="B523" s="889"/>
      <c r="C523" s="889"/>
      <c r="D523" s="889"/>
      <c r="E523" s="889"/>
      <c r="F523" s="889"/>
      <c r="G523" s="889"/>
      <c r="H523" s="889"/>
    </row>
    <row r="524" spans="1:8" hidden="1" x14ac:dyDescent="0.3">
      <c r="A524" s="823" t="s">
        <v>424</v>
      </c>
      <c r="B524" s="824" t="s">
        <v>1</v>
      </c>
      <c r="C524" s="825"/>
      <c r="D524" s="826" t="s">
        <v>24</v>
      </c>
      <c r="E524" s="826" t="s">
        <v>25</v>
      </c>
      <c r="F524" s="827" t="s">
        <v>390</v>
      </c>
      <c r="G524" s="828" t="s">
        <v>743</v>
      </c>
      <c r="H524" s="829" t="s">
        <v>20</v>
      </c>
    </row>
    <row r="525" spans="1:8" hidden="1" x14ac:dyDescent="0.3">
      <c r="A525" s="830"/>
      <c r="B525" s="831"/>
      <c r="C525" s="832"/>
      <c r="D525" s="833"/>
      <c r="E525" s="833"/>
      <c r="F525" s="834" t="s">
        <v>31</v>
      </c>
      <c r="G525" s="835" t="s">
        <v>31</v>
      </c>
      <c r="H525" s="836"/>
    </row>
    <row r="526" spans="1:8" hidden="1" x14ac:dyDescent="0.3">
      <c r="A526" s="869">
        <v>10.16</v>
      </c>
      <c r="B526" s="935" t="s">
        <v>940</v>
      </c>
      <c r="C526" s="853"/>
      <c r="D526" s="938" t="s">
        <v>745</v>
      </c>
      <c r="E526" s="939" t="s">
        <v>745</v>
      </c>
      <c r="F526" s="948" t="s">
        <v>745</v>
      </c>
      <c r="G526" s="966" t="s">
        <v>745</v>
      </c>
      <c r="H526" s="967" t="s">
        <v>745</v>
      </c>
    </row>
    <row r="527" spans="1:8" hidden="1" x14ac:dyDescent="0.3">
      <c r="A527" s="851"/>
      <c r="B527" s="846" t="s">
        <v>949</v>
      </c>
      <c r="C527" s="852"/>
      <c r="D527" s="859" t="s">
        <v>745</v>
      </c>
      <c r="E527" s="855" t="s">
        <v>745</v>
      </c>
      <c r="F527" s="856" t="s">
        <v>745</v>
      </c>
      <c r="G527" s="857" t="s">
        <v>745</v>
      </c>
      <c r="H527" s="963" t="s">
        <v>745</v>
      </c>
    </row>
    <row r="528" spans="1:8" hidden="1" x14ac:dyDescent="0.3">
      <c r="A528" s="851"/>
      <c r="B528" s="875"/>
      <c r="C528" s="852" t="s">
        <v>941</v>
      </c>
      <c r="D528" s="859">
        <v>2</v>
      </c>
      <c r="E528" s="855" t="s">
        <v>33</v>
      </c>
      <c r="F528" s="856">
        <v>255</v>
      </c>
      <c r="G528" s="857">
        <f>D528*F528</f>
        <v>510</v>
      </c>
      <c r="H528" s="968" t="s">
        <v>934</v>
      </c>
    </row>
    <row r="529" spans="1:8" hidden="1" x14ac:dyDescent="0.3">
      <c r="A529" s="851"/>
      <c r="B529" s="875"/>
      <c r="C529" s="852" t="s">
        <v>950</v>
      </c>
      <c r="D529" s="859">
        <v>0.48</v>
      </c>
      <c r="E529" s="855" t="s">
        <v>396</v>
      </c>
      <c r="F529" s="948">
        <v>396</v>
      </c>
      <c r="G529" s="857">
        <f>D529*F529</f>
        <v>190.07999999999998</v>
      </c>
      <c r="H529" s="968" t="s">
        <v>922</v>
      </c>
    </row>
    <row r="530" spans="1:8" hidden="1" x14ac:dyDescent="0.3">
      <c r="A530" s="851"/>
      <c r="B530" s="875"/>
      <c r="C530" s="852" t="s">
        <v>908</v>
      </c>
      <c r="D530" s="859">
        <v>0.28000000000000003</v>
      </c>
      <c r="E530" s="855" t="s">
        <v>399</v>
      </c>
      <c r="F530" s="965">
        <v>12.92</v>
      </c>
      <c r="G530" s="857">
        <f>D530*F530</f>
        <v>3.6176000000000004</v>
      </c>
      <c r="H530" s="850"/>
    </row>
    <row r="531" spans="1:8" hidden="1" x14ac:dyDescent="0.3">
      <c r="A531" s="861"/>
      <c r="B531" s="862"/>
      <c r="C531" s="863" t="s">
        <v>955</v>
      </c>
      <c r="D531" s="864">
        <v>1</v>
      </c>
      <c r="E531" s="865" t="s">
        <v>33</v>
      </c>
      <c r="F531" s="866" t="s">
        <v>6</v>
      </c>
      <c r="G531" s="911">
        <f>SUM(G526:G530)</f>
        <v>703.69759999999997</v>
      </c>
      <c r="H531" s="868" t="s">
        <v>752</v>
      </c>
    </row>
    <row r="532" spans="1:8" hidden="1" x14ac:dyDescent="0.3">
      <c r="A532" s="869">
        <v>10.17</v>
      </c>
      <c r="B532" s="935" t="s">
        <v>944</v>
      </c>
      <c r="C532" s="853"/>
      <c r="D532" s="938" t="s">
        <v>745</v>
      </c>
      <c r="E532" s="939" t="s">
        <v>745</v>
      </c>
      <c r="F532" s="948" t="s">
        <v>745</v>
      </c>
      <c r="G532" s="966" t="s">
        <v>745</v>
      </c>
      <c r="H532" s="967" t="s">
        <v>745</v>
      </c>
    </row>
    <row r="533" spans="1:8" hidden="1" x14ac:dyDescent="0.3">
      <c r="A533" s="851"/>
      <c r="B533" s="846" t="s">
        <v>952</v>
      </c>
      <c r="C533" s="852"/>
      <c r="D533" s="859" t="s">
        <v>745</v>
      </c>
      <c r="E533" s="855" t="s">
        <v>745</v>
      </c>
      <c r="F533" s="856" t="s">
        <v>745</v>
      </c>
      <c r="G533" s="857" t="s">
        <v>745</v>
      </c>
      <c r="H533" s="963" t="s">
        <v>745</v>
      </c>
    </row>
    <row r="534" spans="1:8" hidden="1" x14ac:dyDescent="0.3">
      <c r="A534" s="851"/>
      <c r="B534" s="875"/>
      <c r="C534" s="852" t="s">
        <v>941</v>
      </c>
      <c r="D534" s="859">
        <v>2</v>
      </c>
      <c r="E534" s="855" t="s">
        <v>33</v>
      </c>
      <c r="F534" s="856">
        <v>255</v>
      </c>
      <c r="G534" s="857">
        <f>D534*F534</f>
        <v>510</v>
      </c>
      <c r="H534" s="968" t="s">
        <v>934</v>
      </c>
    </row>
    <row r="535" spans="1:8" hidden="1" x14ac:dyDescent="0.3">
      <c r="A535" s="851"/>
      <c r="B535" s="875"/>
      <c r="C535" s="852" t="s">
        <v>953</v>
      </c>
      <c r="D535" s="859">
        <v>0.48</v>
      </c>
      <c r="E535" s="855" t="s">
        <v>396</v>
      </c>
      <c r="F535" s="948">
        <v>838</v>
      </c>
      <c r="G535" s="857">
        <f>D535*F535</f>
        <v>402.24</v>
      </c>
      <c r="H535" s="968" t="s">
        <v>922</v>
      </c>
    </row>
    <row r="536" spans="1:8" hidden="1" x14ac:dyDescent="0.3">
      <c r="A536" s="851"/>
      <c r="B536" s="875"/>
      <c r="C536" s="852" t="s">
        <v>908</v>
      </c>
      <c r="D536" s="859">
        <v>0.28000000000000003</v>
      </c>
      <c r="E536" s="855" t="s">
        <v>399</v>
      </c>
      <c r="F536" s="965">
        <v>12.92</v>
      </c>
      <c r="G536" s="857">
        <f>D536*F536</f>
        <v>3.6176000000000004</v>
      </c>
      <c r="H536" s="850"/>
    </row>
    <row r="537" spans="1:8" hidden="1" x14ac:dyDescent="0.3">
      <c r="A537" s="861"/>
      <c r="B537" s="862"/>
      <c r="C537" s="863" t="s">
        <v>955</v>
      </c>
      <c r="D537" s="864">
        <v>1</v>
      </c>
      <c r="E537" s="865" t="s">
        <v>33</v>
      </c>
      <c r="F537" s="866" t="s">
        <v>6</v>
      </c>
      <c r="G537" s="911">
        <f>SUM(G532:G536)</f>
        <v>915.85760000000005</v>
      </c>
      <c r="H537" s="868" t="s">
        <v>752</v>
      </c>
    </row>
    <row r="538" spans="1:8" hidden="1" x14ac:dyDescent="0.3">
      <c r="A538" s="958">
        <v>10.18</v>
      </c>
      <c r="B538" s="935" t="s">
        <v>945</v>
      </c>
      <c r="C538" s="853"/>
      <c r="D538" s="847"/>
      <c r="E538" s="847"/>
      <c r="F538" s="948" t="s">
        <v>745</v>
      </c>
      <c r="G538" s="966" t="s">
        <v>745</v>
      </c>
      <c r="H538" s="967" t="s">
        <v>745</v>
      </c>
    </row>
    <row r="539" spans="1:8" hidden="1" x14ac:dyDescent="0.3">
      <c r="A539" s="851"/>
      <c r="B539" s="846" t="s">
        <v>949</v>
      </c>
      <c r="C539" s="852"/>
      <c r="D539" s="859" t="s">
        <v>745</v>
      </c>
      <c r="E539" s="855" t="s">
        <v>745</v>
      </c>
      <c r="F539" s="856" t="s">
        <v>745</v>
      </c>
      <c r="G539" s="857" t="s">
        <v>745</v>
      </c>
      <c r="H539" s="963" t="s">
        <v>745</v>
      </c>
    </row>
    <row r="540" spans="1:8" hidden="1" x14ac:dyDescent="0.3">
      <c r="A540" s="851"/>
      <c r="B540" s="875"/>
      <c r="C540" s="852" t="s">
        <v>946</v>
      </c>
      <c r="D540" s="859">
        <v>2</v>
      </c>
      <c r="E540" s="855" t="s">
        <v>33</v>
      </c>
      <c r="F540" s="856">
        <v>373</v>
      </c>
      <c r="G540" s="857">
        <f>D540*F540</f>
        <v>746</v>
      </c>
      <c r="H540" s="968" t="s">
        <v>934</v>
      </c>
    </row>
    <row r="541" spans="1:8" hidden="1" x14ac:dyDescent="0.3">
      <c r="A541" s="851"/>
      <c r="B541" s="875"/>
      <c r="C541" s="852" t="s">
        <v>950</v>
      </c>
      <c r="D541" s="859">
        <v>0.48</v>
      </c>
      <c r="E541" s="855" t="s">
        <v>396</v>
      </c>
      <c r="F541" s="948">
        <v>396</v>
      </c>
      <c r="G541" s="857">
        <f>D541*F541</f>
        <v>190.07999999999998</v>
      </c>
      <c r="H541" s="968" t="s">
        <v>922</v>
      </c>
    </row>
    <row r="542" spans="1:8" hidden="1" x14ac:dyDescent="0.3">
      <c r="A542" s="851"/>
      <c r="B542" s="875"/>
      <c r="C542" s="852" t="s">
        <v>908</v>
      </c>
      <c r="D542" s="859">
        <v>0.28000000000000003</v>
      </c>
      <c r="E542" s="855" t="s">
        <v>399</v>
      </c>
      <c r="F542" s="965">
        <v>12.92</v>
      </c>
      <c r="G542" s="857">
        <f>D542*F542</f>
        <v>3.6176000000000004</v>
      </c>
      <c r="H542" s="850"/>
    </row>
    <row r="543" spans="1:8" hidden="1" x14ac:dyDescent="0.3">
      <c r="A543" s="861"/>
      <c r="B543" s="862"/>
      <c r="C543" s="863" t="s">
        <v>956</v>
      </c>
      <c r="D543" s="864">
        <v>1</v>
      </c>
      <c r="E543" s="865" t="s">
        <v>33</v>
      </c>
      <c r="F543" s="866" t="s">
        <v>6</v>
      </c>
      <c r="G543" s="911">
        <f>SUM(G538:G542)</f>
        <v>939.69759999999997</v>
      </c>
      <c r="H543" s="868" t="s">
        <v>752</v>
      </c>
    </row>
    <row r="544" spans="1:8" hidden="1" x14ac:dyDescent="0.3">
      <c r="A544" s="958">
        <v>10.19</v>
      </c>
      <c r="B544" s="935" t="s">
        <v>948</v>
      </c>
      <c r="C544" s="853"/>
      <c r="D544" s="847"/>
      <c r="E544" s="847"/>
      <c r="F544" s="948" t="s">
        <v>745</v>
      </c>
      <c r="G544" s="966" t="s">
        <v>745</v>
      </c>
      <c r="H544" s="967" t="s">
        <v>745</v>
      </c>
    </row>
    <row r="545" spans="1:8" hidden="1" x14ac:dyDescent="0.3">
      <c r="A545" s="851"/>
      <c r="B545" s="846" t="s">
        <v>952</v>
      </c>
      <c r="C545" s="852"/>
      <c r="D545" s="859" t="s">
        <v>745</v>
      </c>
      <c r="E545" s="855" t="s">
        <v>745</v>
      </c>
      <c r="F545" s="856" t="s">
        <v>745</v>
      </c>
      <c r="G545" s="857" t="s">
        <v>745</v>
      </c>
      <c r="H545" s="963" t="s">
        <v>745</v>
      </c>
    </row>
    <row r="546" spans="1:8" hidden="1" x14ac:dyDescent="0.3">
      <c r="A546" s="851"/>
      <c r="B546" s="875"/>
      <c r="C546" s="852" t="s">
        <v>946</v>
      </c>
      <c r="D546" s="859">
        <v>2</v>
      </c>
      <c r="E546" s="855" t="s">
        <v>33</v>
      </c>
      <c r="F546" s="856">
        <v>373</v>
      </c>
      <c r="G546" s="857">
        <f>D546*F546</f>
        <v>746</v>
      </c>
      <c r="H546" s="968" t="s">
        <v>934</v>
      </c>
    </row>
    <row r="547" spans="1:8" hidden="1" x14ac:dyDescent="0.3">
      <c r="A547" s="851"/>
      <c r="B547" s="875"/>
      <c r="C547" s="852" t="s">
        <v>953</v>
      </c>
      <c r="D547" s="859">
        <v>0.48</v>
      </c>
      <c r="E547" s="855" t="s">
        <v>396</v>
      </c>
      <c r="F547" s="948">
        <v>838</v>
      </c>
      <c r="G547" s="857">
        <f>D547*F547</f>
        <v>402.24</v>
      </c>
      <c r="H547" s="968" t="s">
        <v>922</v>
      </c>
    </row>
    <row r="548" spans="1:8" hidden="1" x14ac:dyDescent="0.3">
      <c r="A548" s="851"/>
      <c r="B548" s="875"/>
      <c r="C548" s="852" t="s">
        <v>908</v>
      </c>
      <c r="D548" s="859">
        <v>0.28000000000000003</v>
      </c>
      <c r="E548" s="855" t="s">
        <v>399</v>
      </c>
      <c r="F548" s="965">
        <v>12.92</v>
      </c>
      <c r="G548" s="857">
        <f>D548*F548</f>
        <v>3.6176000000000004</v>
      </c>
      <c r="H548" s="850"/>
    </row>
    <row r="549" spans="1:8" hidden="1" x14ac:dyDescent="0.3">
      <c r="A549" s="861"/>
      <c r="B549" s="862"/>
      <c r="C549" s="863" t="s">
        <v>956</v>
      </c>
      <c r="D549" s="864">
        <v>1</v>
      </c>
      <c r="E549" s="865" t="s">
        <v>33</v>
      </c>
      <c r="F549" s="866" t="s">
        <v>6</v>
      </c>
      <c r="G549" s="911">
        <f>SUM(G544:G548)</f>
        <v>1151.8576</v>
      </c>
      <c r="H549" s="868" t="s">
        <v>752</v>
      </c>
    </row>
    <row r="550" spans="1:8" hidden="1" x14ac:dyDescent="0.3">
      <c r="A550" s="958">
        <v>10.199999999999999</v>
      </c>
      <c r="B550" s="935" t="s">
        <v>957</v>
      </c>
      <c r="C550" s="853"/>
      <c r="D550" s="847"/>
      <c r="E550" s="847"/>
      <c r="F550" s="948" t="s">
        <v>745</v>
      </c>
      <c r="G550" s="966" t="s">
        <v>745</v>
      </c>
      <c r="H550" s="967" t="s">
        <v>745</v>
      </c>
    </row>
    <row r="551" spans="1:8" hidden="1" x14ac:dyDescent="0.3">
      <c r="A551" s="851"/>
      <c r="B551" s="846" t="s">
        <v>932</v>
      </c>
      <c r="C551" s="852"/>
      <c r="D551" s="859" t="s">
        <v>745</v>
      </c>
      <c r="E551" s="855" t="s">
        <v>745</v>
      </c>
      <c r="F551" s="856" t="s">
        <v>745</v>
      </c>
      <c r="G551" s="857" t="s">
        <v>745</v>
      </c>
      <c r="H551" s="963" t="s">
        <v>745</v>
      </c>
    </row>
    <row r="552" spans="1:8" hidden="1" x14ac:dyDescent="0.3">
      <c r="A552" s="851"/>
      <c r="B552" s="875"/>
      <c r="C552" s="852" t="s">
        <v>958</v>
      </c>
      <c r="D552" s="859">
        <v>1</v>
      </c>
      <c r="E552" s="855" t="s">
        <v>33</v>
      </c>
      <c r="F552" s="856">
        <v>280</v>
      </c>
      <c r="G552" s="857">
        <f>D552*F552</f>
        <v>280</v>
      </c>
      <c r="H552" s="968" t="s">
        <v>934</v>
      </c>
    </row>
    <row r="553" spans="1:8" hidden="1" x14ac:dyDescent="0.3">
      <c r="A553" s="851"/>
      <c r="B553" s="875"/>
      <c r="C553" s="852" t="s">
        <v>935</v>
      </c>
      <c r="D553" s="859">
        <v>0.48</v>
      </c>
      <c r="E553" s="855" t="s">
        <v>396</v>
      </c>
      <c r="F553" s="948">
        <v>400</v>
      </c>
      <c r="G553" s="857">
        <f>D553*F553</f>
        <v>192</v>
      </c>
      <c r="H553" s="968" t="s">
        <v>922</v>
      </c>
    </row>
    <row r="554" spans="1:8" hidden="1" x14ac:dyDescent="0.3">
      <c r="A554" s="851"/>
      <c r="B554" s="875"/>
      <c r="C554" s="852" t="s">
        <v>908</v>
      </c>
      <c r="D554" s="859">
        <v>0.2</v>
      </c>
      <c r="E554" s="855" t="s">
        <v>399</v>
      </c>
      <c r="F554" s="965">
        <v>12.92</v>
      </c>
      <c r="G554" s="857">
        <f>D554*F554</f>
        <v>2.5840000000000001</v>
      </c>
      <c r="H554" s="850"/>
    </row>
    <row r="555" spans="1:8" hidden="1" x14ac:dyDescent="0.3">
      <c r="A555" s="923"/>
      <c r="B555" s="971"/>
      <c r="C555" s="972" t="s">
        <v>959</v>
      </c>
      <c r="D555" s="973">
        <v>1</v>
      </c>
      <c r="E555" s="974" t="s">
        <v>33</v>
      </c>
      <c r="F555" s="975" t="s">
        <v>6</v>
      </c>
      <c r="G555" s="976">
        <f>SUM(G550:G554)</f>
        <v>474.584</v>
      </c>
      <c r="H555" s="924" t="s">
        <v>752</v>
      </c>
    </row>
    <row r="556" spans="1:8" hidden="1" x14ac:dyDescent="0.3">
      <c r="A556" s="851"/>
      <c r="B556" s="970"/>
      <c r="C556" s="852"/>
      <c r="D556" s="854"/>
      <c r="E556" s="855"/>
      <c r="F556" s="876"/>
      <c r="G556" s="945"/>
      <c r="H556" s="878"/>
    </row>
    <row r="557" spans="1:8" ht="19.5" hidden="1" thickBot="1" x14ac:dyDescent="0.35">
      <c r="A557" s="879"/>
      <c r="B557" s="946"/>
      <c r="C557" s="881"/>
      <c r="D557" s="882"/>
      <c r="E557" s="915"/>
      <c r="F557" s="916"/>
      <c r="G557" s="917"/>
      <c r="H557" s="941"/>
    </row>
    <row r="558" spans="1:8" hidden="1" x14ac:dyDescent="0.3">
      <c r="D558" s="886"/>
      <c r="E558" s="918"/>
      <c r="F558" s="919"/>
      <c r="G558" s="888" t="str">
        <f>$G$37</f>
        <v xml:space="preserve"> เมษายน 2549</v>
      </c>
      <c r="H558" s="888"/>
    </row>
    <row r="559" spans="1:8" ht="19.5" hidden="1" x14ac:dyDescent="0.3">
      <c r="A559" s="820" t="s">
        <v>960</v>
      </c>
      <c r="B559" s="820"/>
      <c r="C559" s="820"/>
      <c r="D559" s="820"/>
      <c r="E559" s="820"/>
      <c r="F559" s="820"/>
      <c r="G559" s="820"/>
      <c r="H559" s="820"/>
    </row>
    <row r="560" spans="1:8" ht="20.25" hidden="1" thickBot="1" x14ac:dyDescent="0.35">
      <c r="A560" s="889" t="s">
        <v>758</v>
      </c>
      <c r="B560" s="889"/>
      <c r="C560" s="889"/>
      <c r="D560" s="889"/>
      <c r="E560" s="889"/>
      <c r="F560" s="889"/>
      <c r="G560" s="889"/>
      <c r="H560" s="889"/>
    </row>
    <row r="561" spans="1:8" hidden="1" x14ac:dyDescent="0.3">
      <c r="A561" s="823" t="s">
        <v>424</v>
      </c>
      <c r="B561" s="824" t="s">
        <v>1</v>
      </c>
      <c r="C561" s="825"/>
      <c r="D561" s="826" t="s">
        <v>24</v>
      </c>
      <c r="E561" s="826" t="s">
        <v>25</v>
      </c>
      <c r="F561" s="827" t="s">
        <v>390</v>
      </c>
      <c r="G561" s="828" t="s">
        <v>743</v>
      </c>
      <c r="H561" s="829" t="s">
        <v>20</v>
      </c>
    </row>
    <row r="562" spans="1:8" hidden="1" x14ac:dyDescent="0.3">
      <c r="A562" s="830"/>
      <c r="B562" s="831"/>
      <c r="C562" s="832"/>
      <c r="D562" s="833"/>
      <c r="E562" s="833"/>
      <c r="F562" s="834" t="s">
        <v>31</v>
      </c>
      <c r="G562" s="835" t="s">
        <v>31</v>
      </c>
      <c r="H562" s="836"/>
    </row>
    <row r="563" spans="1:8" hidden="1" x14ac:dyDescent="0.3">
      <c r="A563" s="869">
        <v>10.210000000000001</v>
      </c>
      <c r="B563" s="935" t="s">
        <v>961</v>
      </c>
      <c r="C563" s="853"/>
      <c r="D563" s="938" t="s">
        <v>745</v>
      </c>
      <c r="E563" s="939" t="s">
        <v>745</v>
      </c>
      <c r="F563" s="948" t="s">
        <v>745</v>
      </c>
      <c r="G563" s="966" t="s">
        <v>745</v>
      </c>
      <c r="H563" s="967" t="s">
        <v>745</v>
      </c>
    </row>
    <row r="564" spans="1:8" hidden="1" x14ac:dyDescent="0.3">
      <c r="A564" s="851"/>
      <c r="B564" s="846" t="s">
        <v>938</v>
      </c>
      <c r="C564" s="852"/>
      <c r="D564" s="859" t="s">
        <v>745</v>
      </c>
      <c r="E564" s="855" t="s">
        <v>745</v>
      </c>
      <c r="F564" s="856" t="s">
        <v>745</v>
      </c>
      <c r="G564" s="857" t="s">
        <v>745</v>
      </c>
      <c r="H564" s="963" t="s">
        <v>745</v>
      </c>
    </row>
    <row r="565" spans="1:8" hidden="1" x14ac:dyDescent="0.3">
      <c r="A565" s="851"/>
      <c r="B565" s="875"/>
      <c r="C565" s="852" t="s">
        <v>958</v>
      </c>
      <c r="D565" s="859">
        <v>1</v>
      </c>
      <c r="E565" s="855" t="s">
        <v>33</v>
      </c>
      <c r="F565" s="856">
        <v>280</v>
      </c>
      <c r="G565" s="857">
        <f>D565*F565</f>
        <v>280</v>
      </c>
      <c r="H565" s="968" t="s">
        <v>934</v>
      </c>
    </row>
    <row r="566" spans="1:8" hidden="1" x14ac:dyDescent="0.3">
      <c r="A566" s="851"/>
      <c r="B566" s="875"/>
      <c r="C566" s="852" t="s">
        <v>939</v>
      </c>
      <c r="D566" s="859">
        <v>0.48</v>
      </c>
      <c r="E566" s="855" t="s">
        <v>396</v>
      </c>
      <c r="F566" s="948">
        <v>842</v>
      </c>
      <c r="G566" s="857">
        <f>D566*F566</f>
        <v>404.15999999999997</v>
      </c>
      <c r="H566" s="968" t="s">
        <v>922</v>
      </c>
    </row>
    <row r="567" spans="1:8" hidden="1" x14ac:dyDescent="0.3">
      <c r="A567" s="851"/>
      <c r="B567" s="875"/>
      <c r="C567" s="852" t="s">
        <v>908</v>
      </c>
      <c r="D567" s="859">
        <v>0.2</v>
      </c>
      <c r="E567" s="855" t="s">
        <v>399</v>
      </c>
      <c r="F567" s="965">
        <v>12.92</v>
      </c>
      <c r="G567" s="857">
        <f>D567*F567</f>
        <v>2.5840000000000001</v>
      </c>
      <c r="H567" s="850"/>
    </row>
    <row r="568" spans="1:8" hidden="1" x14ac:dyDescent="0.3">
      <c r="A568" s="861"/>
      <c r="B568" s="862"/>
      <c r="C568" s="863" t="s">
        <v>959</v>
      </c>
      <c r="D568" s="864">
        <v>1</v>
      </c>
      <c r="E568" s="865" t="s">
        <v>33</v>
      </c>
      <c r="F568" s="866" t="s">
        <v>6</v>
      </c>
      <c r="G568" s="911">
        <f>SUM(G563:G567)</f>
        <v>686.74399999999991</v>
      </c>
      <c r="H568" s="868" t="s">
        <v>752</v>
      </c>
    </row>
    <row r="569" spans="1:8" hidden="1" x14ac:dyDescent="0.3">
      <c r="A569" s="869">
        <v>10.220000000000001</v>
      </c>
      <c r="B569" s="935" t="s">
        <v>962</v>
      </c>
      <c r="C569" s="853"/>
      <c r="D569" s="938" t="s">
        <v>745</v>
      </c>
      <c r="E569" s="939" t="s">
        <v>745</v>
      </c>
      <c r="F569" s="948" t="s">
        <v>745</v>
      </c>
      <c r="G569" s="966" t="s">
        <v>745</v>
      </c>
      <c r="H569" s="967" t="s">
        <v>745</v>
      </c>
    </row>
    <row r="570" spans="1:8" hidden="1" x14ac:dyDescent="0.3">
      <c r="A570" s="851"/>
      <c r="B570" s="846" t="s">
        <v>932</v>
      </c>
      <c r="C570" s="852"/>
      <c r="D570" s="859" t="s">
        <v>745</v>
      </c>
      <c r="E570" s="855" t="s">
        <v>745</v>
      </c>
      <c r="F570" s="856" t="s">
        <v>745</v>
      </c>
      <c r="G570" s="857" t="s">
        <v>745</v>
      </c>
      <c r="H570" s="963" t="s">
        <v>745</v>
      </c>
    </row>
    <row r="571" spans="1:8" hidden="1" x14ac:dyDescent="0.3">
      <c r="A571" s="851"/>
      <c r="B571" s="875"/>
      <c r="C571" s="852" t="s">
        <v>963</v>
      </c>
      <c r="D571" s="859">
        <v>1</v>
      </c>
      <c r="E571" s="855" t="s">
        <v>33</v>
      </c>
      <c r="F571" s="856">
        <v>441</v>
      </c>
      <c r="G571" s="857">
        <f>D571*F571</f>
        <v>441</v>
      </c>
      <c r="H571" s="968" t="s">
        <v>934</v>
      </c>
    </row>
    <row r="572" spans="1:8" hidden="1" x14ac:dyDescent="0.3">
      <c r="A572" s="851"/>
      <c r="B572" s="875"/>
      <c r="C572" s="852" t="s">
        <v>935</v>
      </c>
      <c r="D572" s="859">
        <v>0.48</v>
      </c>
      <c r="E572" s="855" t="s">
        <v>396</v>
      </c>
      <c r="F572" s="948">
        <v>400</v>
      </c>
      <c r="G572" s="857">
        <f>D572*F572</f>
        <v>192</v>
      </c>
      <c r="H572" s="968" t="s">
        <v>922</v>
      </c>
    </row>
    <row r="573" spans="1:8" hidden="1" x14ac:dyDescent="0.3">
      <c r="A573" s="851"/>
      <c r="B573" s="875"/>
      <c r="C573" s="852" t="s">
        <v>908</v>
      </c>
      <c r="D573" s="859">
        <v>0.2</v>
      </c>
      <c r="E573" s="855" t="s">
        <v>399</v>
      </c>
      <c r="F573" s="965">
        <v>12.92</v>
      </c>
      <c r="G573" s="857">
        <f>D573*F573</f>
        <v>2.5840000000000001</v>
      </c>
      <c r="H573" s="850"/>
    </row>
    <row r="574" spans="1:8" hidden="1" x14ac:dyDescent="0.3">
      <c r="A574" s="861"/>
      <c r="B574" s="862"/>
      <c r="C574" s="863" t="s">
        <v>964</v>
      </c>
      <c r="D574" s="864">
        <v>1</v>
      </c>
      <c r="E574" s="865" t="s">
        <v>33</v>
      </c>
      <c r="F574" s="866" t="s">
        <v>6</v>
      </c>
      <c r="G574" s="911">
        <f>SUM(G569:G573)</f>
        <v>635.58399999999995</v>
      </c>
      <c r="H574" s="868" t="s">
        <v>752</v>
      </c>
    </row>
    <row r="575" spans="1:8" hidden="1" x14ac:dyDescent="0.3">
      <c r="A575" s="958">
        <v>10.23</v>
      </c>
      <c r="B575" s="935" t="s">
        <v>965</v>
      </c>
      <c r="C575" s="853"/>
      <c r="D575" s="938" t="s">
        <v>745</v>
      </c>
      <c r="E575" s="939" t="s">
        <v>745</v>
      </c>
      <c r="F575" s="948" t="s">
        <v>745</v>
      </c>
      <c r="G575" s="966" t="s">
        <v>745</v>
      </c>
      <c r="H575" s="967" t="s">
        <v>745</v>
      </c>
    </row>
    <row r="576" spans="1:8" hidden="1" x14ac:dyDescent="0.3">
      <c r="A576" s="851"/>
      <c r="B576" s="846" t="s">
        <v>938</v>
      </c>
      <c r="C576" s="852"/>
      <c r="D576" s="859" t="s">
        <v>745</v>
      </c>
      <c r="E576" s="855" t="s">
        <v>745</v>
      </c>
      <c r="F576" s="856" t="s">
        <v>745</v>
      </c>
      <c r="G576" s="857" t="s">
        <v>745</v>
      </c>
      <c r="H576" s="963" t="s">
        <v>745</v>
      </c>
    </row>
    <row r="577" spans="1:8" hidden="1" x14ac:dyDescent="0.3">
      <c r="A577" s="851"/>
      <c r="B577" s="875"/>
      <c r="C577" s="852" t="s">
        <v>963</v>
      </c>
      <c r="D577" s="859">
        <v>1</v>
      </c>
      <c r="E577" s="855" t="s">
        <v>33</v>
      </c>
      <c r="F577" s="856">
        <v>441</v>
      </c>
      <c r="G577" s="857">
        <f>D577*F577</f>
        <v>441</v>
      </c>
      <c r="H577" s="968" t="s">
        <v>934</v>
      </c>
    </row>
    <row r="578" spans="1:8" hidden="1" x14ac:dyDescent="0.3">
      <c r="A578" s="851"/>
      <c r="B578" s="875"/>
      <c r="C578" s="852" t="s">
        <v>939</v>
      </c>
      <c r="D578" s="859">
        <v>0.48</v>
      </c>
      <c r="E578" s="855" t="s">
        <v>396</v>
      </c>
      <c r="F578" s="948">
        <v>842</v>
      </c>
      <c r="G578" s="857">
        <f>D578*F578</f>
        <v>404.15999999999997</v>
      </c>
      <c r="H578" s="968" t="s">
        <v>922</v>
      </c>
    </row>
    <row r="579" spans="1:8" hidden="1" x14ac:dyDescent="0.3">
      <c r="A579" s="851"/>
      <c r="B579" s="875"/>
      <c r="C579" s="852" t="s">
        <v>908</v>
      </c>
      <c r="D579" s="859">
        <v>0.2</v>
      </c>
      <c r="E579" s="855" t="s">
        <v>399</v>
      </c>
      <c r="F579" s="965">
        <v>12.92</v>
      </c>
      <c r="G579" s="857">
        <f>D579*F579</f>
        <v>2.5840000000000001</v>
      </c>
      <c r="H579" s="850"/>
    </row>
    <row r="580" spans="1:8" hidden="1" x14ac:dyDescent="0.3">
      <c r="A580" s="861"/>
      <c r="B580" s="862"/>
      <c r="C580" s="863" t="s">
        <v>964</v>
      </c>
      <c r="D580" s="864">
        <v>1</v>
      </c>
      <c r="E580" s="865" t="s">
        <v>33</v>
      </c>
      <c r="F580" s="866" t="s">
        <v>6</v>
      </c>
      <c r="G580" s="911">
        <f>SUM(G575:G579)</f>
        <v>847.74399999999991</v>
      </c>
      <c r="H580" s="868" t="s">
        <v>752</v>
      </c>
    </row>
    <row r="581" spans="1:8" hidden="1" x14ac:dyDescent="0.3">
      <c r="A581" s="958">
        <v>10.24</v>
      </c>
      <c r="B581" s="935" t="s">
        <v>966</v>
      </c>
      <c r="C581" s="853"/>
      <c r="D581" s="847"/>
      <c r="E581" s="847"/>
      <c r="F581" s="948" t="s">
        <v>745</v>
      </c>
      <c r="G581" s="966" t="s">
        <v>745</v>
      </c>
      <c r="H581" s="967" t="s">
        <v>745</v>
      </c>
    </row>
    <row r="582" spans="1:8" hidden="1" x14ac:dyDescent="0.3">
      <c r="A582" s="851"/>
      <c r="B582" s="846" t="s">
        <v>932</v>
      </c>
      <c r="C582" s="852"/>
      <c r="D582" s="859" t="s">
        <v>745</v>
      </c>
      <c r="E582" s="855" t="s">
        <v>745</v>
      </c>
      <c r="F582" s="856" t="s">
        <v>745</v>
      </c>
      <c r="G582" s="857" t="s">
        <v>745</v>
      </c>
      <c r="H582" s="963" t="s">
        <v>745</v>
      </c>
    </row>
    <row r="583" spans="1:8" hidden="1" x14ac:dyDescent="0.3">
      <c r="A583" s="851"/>
      <c r="B583" s="875"/>
      <c r="C583" s="852" t="s">
        <v>967</v>
      </c>
      <c r="D583" s="859">
        <v>1</v>
      </c>
      <c r="E583" s="855" t="s">
        <v>33</v>
      </c>
      <c r="F583" s="856">
        <v>647</v>
      </c>
      <c r="G583" s="857">
        <f>D583*F583</f>
        <v>647</v>
      </c>
      <c r="H583" s="968" t="s">
        <v>934</v>
      </c>
    </row>
    <row r="584" spans="1:8" hidden="1" x14ac:dyDescent="0.3">
      <c r="A584" s="851"/>
      <c r="B584" s="875"/>
      <c r="C584" s="852" t="s">
        <v>935</v>
      </c>
      <c r="D584" s="859">
        <v>0.48</v>
      </c>
      <c r="E584" s="855" t="s">
        <v>396</v>
      </c>
      <c r="F584" s="948">
        <v>400</v>
      </c>
      <c r="G584" s="857">
        <f>D584*F584</f>
        <v>192</v>
      </c>
      <c r="H584" s="968" t="s">
        <v>922</v>
      </c>
    </row>
    <row r="585" spans="1:8" hidden="1" x14ac:dyDescent="0.3">
      <c r="A585" s="851"/>
      <c r="B585" s="875"/>
      <c r="C585" s="852" t="s">
        <v>908</v>
      </c>
      <c r="D585" s="859">
        <v>0.2</v>
      </c>
      <c r="E585" s="855" t="s">
        <v>399</v>
      </c>
      <c r="F585" s="965">
        <v>12.92</v>
      </c>
      <c r="G585" s="857">
        <f>D585*F585</f>
        <v>2.5840000000000001</v>
      </c>
      <c r="H585" s="850"/>
    </row>
    <row r="586" spans="1:8" hidden="1" x14ac:dyDescent="0.3">
      <c r="A586" s="861"/>
      <c r="B586" s="862"/>
      <c r="C586" s="863" t="s">
        <v>968</v>
      </c>
      <c r="D586" s="864">
        <v>1</v>
      </c>
      <c r="E586" s="865" t="s">
        <v>33</v>
      </c>
      <c r="F586" s="866" t="s">
        <v>6</v>
      </c>
      <c r="G586" s="911">
        <f>SUM(G581:G585)</f>
        <v>841.58399999999995</v>
      </c>
      <c r="H586" s="868" t="s">
        <v>752</v>
      </c>
    </row>
    <row r="587" spans="1:8" hidden="1" x14ac:dyDescent="0.3">
      <c r="A587" s="958">
        <v>10.25</v>
      </c>
      <c r="B587" s="935" t="s">
        <v>969</v>
      </c>
      <c r="C587" s="853"/>
      <c r="D587" s="847"/>
      <c r="E587" s="847"/>
      <c r="F587" s="948" t="s">
        <v>745</v>
      </c>
      <c r="G587" s="966" t="s">
        <v>745</v>
      </c>
      <c r="H587" s="967" t="s">
        <v>745</v>
      </c>
    </row>
    <row r="588" spans="1:8" hidden="1" x14ac:dyDescent="0.3">
      <c r="A588" s="851"/>
      <c r="B588" s="846" t="s">
        <v>938</v>
      </c>
      <c r="C588" s="852"/>
      <c r="D588" s="859" t="s">
        <v>745</v>
      </c>
      <c r="E588" s="855" t="s">
        <v>745</v>
      </c>
      <c r="F588" s="856" t="s">
        <v>745</v>
      </c>
      <c r="G588" s="857" t="s">
        <v>745</v>
      </c>
      <c r="H588" s="963" t="s">
        <v>745</v>
      </c>
    </row>
    <row r="589" spans="1:8" hidden="1" x14ac:dyDescent="0.3">
      <c r="A589" s="851"/>
      <c r="B589" s="875"/>
      <c r="C589" s="852" t="s">
        <v>967</v>
      </c>
      <c r="D589" s="859">
        <v>1</v>
      </c>
      <c r="E589" s="855" t="s">
        <v>33</v>
      </c>
      <c r="F589" s="856">
        <v>647</v>
      </c>
      <c r="G589" s="857">
        <f>D589*F589</f>
        <v>647</v>
      </c>
      <c r="H589" s="968" t="s">
        <v>934</v>
      </c>
    </row>
    <row r="590" spans="1:8" hidden="1" x14ac:dyDescent="0.3">
      <c r="A590" s="851"/>
      <c r="B590" s="875"/>
      <c r="C590" s="852" t="s">
        <v>939</v>
      </c>
      <c r="D590" s="859">
        <v>0.48</v>
      </c>
      <c r="E590" s="855" t="s">
        <v>396</v>
      </c>
      <c r="F590" s="948">
        <v>842</v>
      </c>
      <c r="G590" s="857">
        <f>D590*F590</f>
        <v>404.15999999999997</v>
      </c>
      <c r="H590" s="968" t="s">
        <v>922</v>
      </c>
    </row>
    <row r="591" spans="1:8" hidden="1" x14ac:dyDescent="0.3">
      <c r="A591" s="851"/>
      <c r="B591" s="875"/>
      <c r="C591" s="852" t="s">
        <v>908</v>
      </c>
      <c r="D591" s="859">
        <v>0.2</v>
      </c>
      <c r="E591" s="855" t="s">
        <v>399</v>
      </c>
      <c r="F591" s="965">
        <v>12.92</v>
      </c>
      <c r="G591" s="857">
        <f>D591*F591</f>
        <v>2.5840000000000001</v>
      </c>
      <c r="H591" s="850"/>
    </row>
    <row r="592" spans="1:8" hidden="1" x14ac:dyDescent="0.3">
      <c r="A592" s="923"/>
      <c r="B592" s="971"/>
      <c r="C592" s="972" t="s">
        <v>968</v>
      </c>
      <c r="D592" s="973">
        <v>1</v>
      </c>
      <c r="E592" s="974" t="s">
        <v>33</v>
      </c>
      <c r="F592" s="975" t="s">
        <v>6</v>
      </c>
      <c r="G592" s="976">
        <f>SUM(G587:G591)</f>
        <v>1053.7439999999999</v>
      </c>
      <c r="H592" s="924" t="s">
        <v>752</v>
      </c>
    </row>
    <row r="593" spans="1:8" hidden="1" x14ac:dyDescent="0.3">
      <c r="A593" s="851"/>
      <c r="B593" s="970"/>
      <c r="C593" s="852"/>
      <c r="D593" s="854"/>
      <c r="E593" s="855"/>
      <c r="F593" s="876"/>
      <c r="G593" s="945"/>
      <c r="H593" s="878"/>
    </row>
    <row r="594" spans="1:8" ht="19.5" hidden="1" thickBot="1" x14ac:dyDescent="0.35">
      <c r="A594" s="879"/>
      <c r="B594" s="946"/>
      <c r="C594" s="881"/>
      <c r="D594" s="882"/>
      <c r="E594" s="915"/>
      <c r="F594" s="916"/>
      <c r="G594" s="917"/>
      <c r="H594" s="941"/>
    </row>
    <row r="595" spans="1:8" hidden="1" x14ac:dyDescent="0.3">
      <c r="D595" s="886"/>
      <c r="E595" s="918"/>
      <c r="F595" s="919"/>
      <c r="G595" s="888" t="str">
        <f>$G$37</f>
        <v xml:space="preserve"> เมษายน 2549</v>
      </c>
      <c r="H595" s="888"/>
    </row>
    <row r="596" spans="1:8" ht="19.5" hidden="1" x14ac:dyDescent="0.3">
      <c r="A596" s="820" t="s">
        <v>970</v>
      </c>
      <c r="B596" s="820"/>
      <c r="C596" s="820"/>
      <c r="D596" s="820"/>
      <c r="E596" s="820"/>
      <c r="F596" s="820"/>
      <c r="G596" s="820"/>
      <c r="H596" s="820"/>
    </row>
    <row r="597" spans="1:8" ht="20.25" hidden="1" thickBot="1" x14ac:dyDescent="0.35">
      <c r="A597" s="889" t="s">
        <v>758</v>
      </c>
      <c r="B597" s="889"/>
      <c r="C597" s="889"/>
      <c r="D597" s="889"/>
      <c r="E597" s="889"/>
      <c r="F597" s="889"/>
      <c r="G597" s="889"/>
      <c r="H597" s="889"/>
    </row>
    <row r="598" spans="1:8" hidden="1" x14ac:dyDescent="0.3">
      <c r="A598" s="823" t="s">
        <v>424</v>
      </c>
      <c r="B598" s="824" t="s">
        <v>1</v>
      </c>
      <c r="C598" s="825"/>
      <c r="D598" s="826" t="s">
        <v>24</v>
      </c>
      <c r="E598" s="826" t="s">
        <v>25</v>
      </c>
      <c r="F598" s="827" t="s">
        <v>390</v>
      </c>
      <c r="G598" s="828" t="s">
        <v>743</v>
      </c>
      <c r="H598" s="829" t="s">
        <v>20</v>
      </c>
    </row>
    <row r="599" spans="1:8" hidden="1" x14ac:dyDescent="0.3">
      <c r="A599" s="830"/>
      <c r="B599" s="831"/>
      <c r="C599" s="832"/>
      <c r="D599" s="833"/>
      <c r="E599" s="833"/>
      <c r="F599" s="834" t="s">
        <v>31</v>
      </c>
      <c r="G599" s="835" t="s">
        <v>31</v>
      </c>
      <c r="H599" s="836"/>
    </row>
    <row r="600" spans="1:8" hidden="1" x14ac:dyDescent="0.3">
      <c r="A600" s="869">
        <v>10.26</v>
      </c>
      <c r="B600" s="935" t="s">
        <v>971</v>
      </c>
      <c r="C600" s="853"/>
      <c r="D600" s="938" t="s">
        <v>745</v>
      </c>
      <c r="E600" s="939" t="s">
        <v>745</v>
      </c>
      <c r="F600" s="948" t="s">
        <v>745</v>
      </c>
      <c r="G600" s="966" t="s">
        <v>745</v>
      </c>
      <c r="H600" s="967" t="s">
        <v>745</v>
      </c>
    </row>
    <row r="601" spans="1:8" hidden="1" x14ac:dyDescent="0.3">
      <c r="A601" s="851"/>
      <c r="B601" s="846" t="s">
        <v>949</v>
      </c>
      <c r="C601" s="852"/>
      <c r="D601" s="859" t="s">
        <v>745</v>
      </c>
      <c r="E601" s="855" t="s">
        <v>745</v>
      </c>
      <c r="F601" s="856" t="s">
        <v>745</v>
      </c>
      <c r="G601" s="857" t="s">
        <v>745</v>
      </c>
      <c r="H601" s="963" t="s">
        <v>745</v>
      </c>
    </row>
    <row r="602" spans="1:8" hidden="1" x14ac:dyDescent="0.3">
      <c r="A602" s="851"/>
      <c r="B602" s="875"/>
      <c r="C602" s="852" t="s">
        <v>958</v>
      </c>
      <c r="D602" s="859">
        <v>2</v>
      </c>
      <c r="E602" s="855" t="s">
        <v>33</v>
      </c>
      <c r="F602" s="856">
        <v>280</v>
      </c>
      <c r="G602" s="857">
        <f>D602*F602</f>
        <v>560</v>
      </c>
      <c r="H602" s="968" t="s">
        <v>934</v>
      </c>
    </row>
    <row r="603" spans="1:8" hidden="1" x14ac:dyDescent="0.3">
      <c r="A603" s="851"/>
      <c r="B603" s="875"/>
      <c r="C603" s="852" t="s">
        <v>950</v>
      </c>
      <c r="D603" s="859">
        <v>0.48</v>
      </c>
      <c r="E603" s="855" t="s">
        <v>396</v>
      </c>
      <c r="F603" s="948">
        <v>396</v>
      </c>
      <c r="G603" s="857">
        <f>D603*F603</f>
        <v>190.07999999999998</v>
      </c>
      <c r="H603" s="968" t="s">
        <v>922</v>
      </c>
    </row>
    <row r="604" spans="1:8" hidden="1" x14ac:dyDescent="0.3">
      <c r="A604" s="851"/>
      <c r="B604" s="875"/>
      <c r="C604" s="852" t="s">
        <v>908</v>
      </c>
      <c r="D604" s="859">
        <v>0.28000000000000003</v>
      </c>
      <c r="E604" s="855" t="s">
        <v>399</v>
      </c>
      <c r="F604" s="965">
        <v>12.92</v>
      </c>
      <c r="G604" s="857">
        <f>D604*F604</f>
        <v>3.6176000000000004</v>
      </c>
      <c r="H604" s="850"/>
    </row>
    <row r="605" spans="1:8" hidden="1" x14ac:dyDescent="0.3">
      <c r="A605" s="861"/>
      <c r="B605" s="862"/>
      <c r="C605" s="863" t="s">
        <v>972</v>
      </c>
      <c r="D605" s="864">
        <v>1</v>
      </c>
      <c r="E605" s="865" t="s">
        <v>33</v>
      </c>
      <c r="F605" s="866" t="s">
        <v>6</v>
      </c>
      <c r="G605" s="911">
        <f>SUM(G600:G604)</f>
        <v>753.69759999999997</v>
      </c>
      <c r="H605" s="868" t="s">
        <v>752</v>
      </c>
    </row>
    <row r="606" spans="1:8" hidden="1" x14ac:dyDescent="0.3">
      <c r="A606" s="869">
        <v>10.27</v>
      </c>
      <c r="B606" s="935" t="s">
        <v>961</v>
      </c>
      <c r="C606" s="853"/>
      <c r="D606" s="938" t="s">
        <v>745</v>
      </c>
      <c r="E606" s="939" t="s">
        <v>745</v>
      </c>
      <c r="F606" s="948" t="s">
        <v>745</v>
      </c>
      <c r="G606" s="966" t="s">
        <v>745</v>
      </c>
      <c r="H606" s="967" t="s">
        <v>745</v>
      </c>
    </row>
    <row r="607" spans="1:8" hidden="1" x14ac:dyDescent="0.3">
      <c r="A607" s="851"/>
      <c r="B607" s="846" t="s">
        <v>952</v>
      </c>
      <c r="C607" s="852"/>
      <c r="D607" s="859" t="s">
        <v>745</v>
      </c>
      <c r="E607" s="855" t="s">
        <v>745</v>
      </c>
      <c r="F607" s="856" t="s">
        <v>745</v>
      </c>
      <c r="G607" s="857" t="s">
        <v>745</v>
      </c>
      <c r="H607" s="963" t="s">
        <v>745</v>
      </c>
    </row>
    <row r="608" spans="1:8" hidden="1" x14ac:dyDescent="0.3">
      <c r="A608" s="851"/>
      <c r="B608" s="875"/>
      <c r="C608" s="852" t="s">
        <v>958</v>
      </c>
      <c r="D608" s="859">
        <v>2</v>
      </c>
      <c r="E608" s="855" t="s">
        <v>33</v>
      </c>
      <c r="F608" s="856">
        <v>280</v>
      </c>
      <c r="G608" s="857">
        <f>D608*F608</f>
        <v>560</v>
      </c>
      <c r="H608" s="968" t="s">
        <v>934</v>
      </c>
    </row>
    <row r="609" spans="1:8" hidden="1" x14ac:dyDescent="0.3">
      <c r="A609" s="851"/>
      <c r="B609" s="875"/>
      <c r="C609" s="852" t="s">
        <v>953</v>
      </c>
      <c r="D609" s="859">
        <v>0.48</v>
      </c>
      <c r="E609" s="855" t="s">
        <v>396</v>
      </c>
      <c r="F609" s="948">
        <v>838</v>
      </c>
      <c r="G609" s="857">
        <f>D609*F609</f>
        <v>402.24</v>
      </c>
      <c r="H609" s="968" t="s">
        <v>922</v>
      </c>
    </row>
    <row r="610" spans="1:8" hidden="1" x14ac:dyDescent="0.3">
      <c r="A610" s="851"/>
      <c r="B610" s="875"/>
      <c r="C610" s="852" t="s">
        <v>908</v>
      </c>
      <c r="D610" s="859">
        <v>0.28000000000000003</v>
      </c>
      <c r="E610" s="855" t="s">
        <v>399</v>
      </c>
      <c r="F610" s="965">
        <v>12.92</v>
      </c>
      <c r="G610" s="857">
        <f>D610*F610</f>
        <v>3.6176000000000004</v>
      </c>
      <c r="H610" s="850"/>
    </row>
    <row r="611" spans="1:8" hidden="1" x14ac:dyDescent="0.3">
      <c r="A611" s="861"/>
      <c r="B611" s="862"/>
      <c r="C611" s="863" t="s">
        <v>972</v>
      </c>
      <c r="D611" s="864">
        <v>1</v>
      </c>
      <c r="E611" s="865" t="s">
        <v>33</v>
      </c>
      <c r="F611" s="866" t="s">
        <v>6</v>
      </c>
      <c r="G611" s="911">
        <f>SUM(G606:G610)</f>
        <v>965.85760000000005</v>
      </c>
      <c r="H611" s="868" t="s">
        <v>752</v>
      </c>
    </row>
    <row r="612" spans="1:8" hidden="1" x14ac:dyDescent="0.3">
      <c r="A612" s="869">
        <v>10.28</v>
      </c>
      <c r="B612" s="935" t="s">
        <v>962</v>
      </c>
      <c r="C612" s="853"/>
      <c r="D612" s="938" t="s">
        <v>745</v>
      </c>
      <c r="E612" s="939" t="s">
        <v>745</v>
      </c>
      <c r="F612" s="948" t="s">
        <v>745</v>
      </c>
      <c r="G612" s="966" t="s">
        <v>745</v>
      </c>
      <c r="H612" s="967" t="s">
        <v>745</v>
      </c>
    </row>
    <row r="613" spans="1:8" hidden="1" x14ac:dyDescent="0.3">
      <c r="A613" s="851"/>
      <c r="B613" s="846" t="s">
        <v>949</v>
      </c>
      <c r="C613" s="852"/>
      <c r="D613" s="859" t="s">
        <v>745</v>
      </c>
      <c r="E613" s="855" t="s">
        <v>745</v>
      </c>
      <c r="F613" s="856" t="s">
        <v>745</v>
      </c>
      <c r="G613" s="857" t="s">
        <v>745</v>
      </c>
      <c r="H613" s="963" t="s">
        <v>745</v>
      </c>
    </row>
    <row r="614" spans="1:8" hidden="1" x14ac:dyDescent="0.3">
      <c r="A614" s="851"/>
      <c r="B614" s="875"/>
      <c r="C614" s="852" t="s">
        <v>963</v>
      </c>
      <c r="D614" s="859">
        <v>2</v>
      </c>
      <c r="E614" s="855" t="s">
        <v>33</v>
      </c>
      <c r="F614" s="856">
        <v>441</v>
      </c>
      <c r="G614" s="857">
        <f>D614*F614</f>
        <v>882</v>
      </c>
      <c r="H614" s="968" t="s">
        <v>934</v>
      </c>
    </row>
    <row r="615" spans="1:8" hidden="1" x14ac:dyDescent="0.3">
      <c r="A615" s="851"/>
      <c r="B615" s="875"/>
      <c r="C615" s="852" t="s">
        <v>950</v>
      </c>
      <c r="D615" s="859">
        <v>0.48</v>
      </c>
      <c r="E615" s="855" t="s">
        <v>396</v>
      </c>
      <c r="F615" s="948">
        <v>396</v>
      </c>
      <c r="G615" s="857">
        <f>D615*F615</f>
        <v>190.07999999999998</v>
      </c>
      <c r="H615" s="968" t="s">
        <v>922</v>
      </c>
    </row>
    <row r="616" spans="1:8" hidden="1" x14ac:dyDescent="0.3">
      <c r="A616" s="851"/>
      <c r="B616" s="875"/>
      <c r="C616" s="852" t="s">
        <v>908</v>
      </c>
      <c r="D616" s="859">
        <v>0.28000000000000003</v>
      </c>
      <c r="E616" s="855" t="s">
        <v>399</v>
      </c>
      <c r="F616" s="965">
        <v>12.92</v>
      </c>
      <c r="G616" s="857">
        <f>D616*F616</f>
        <v>3.6176000000000004</v>
      </c>
      <c r="H616" s="850"/>
    </row>
    <row r="617" spans="1:8" hidden="1" x14ac:dyDescent="0.3">
      <c r="A617" s="861"/>
      <c r="B617" s="862"/>
      <c r="C617" s="863" t="s">
        <v>973</v>
      </c>
      <c r="D617" s="864">
        <v>1</v>
      </c>
      <c r="E617" s="865" t="s">
        <v>33</v>
      </c>
      <c r="F617" s="866" t="s">
        <v>6</v>
      </c>
      <c r="G617" s="911">
        <f>SUM(G612:G616)</f>
        <v>1075.6976</v>
      </c>
      <c r="H617" s="868" t="s">
        <v>752</v>
      </c>
    </row>
    <row r="618" spans="1:8" hidden="1" x14ac:dyDescent="0.3">
      <c r="A618" s="869">
        <v>10.29</v>
      </c>
      <c r="B618" s="935" t="s">
        <v>965</v>
      </c>
      <c r="C618" s="853"/>
      <c r="D618" s="938" t="s">
        <v>745</v>
      </c>
      <c r="E618" s="939" t="s">
        <v>745</v>
      </c>
      <c r="F618" s="948" t="s">
        <v>745</v>
      </c>
      <c r="G618" s="966" t="s">
        <v>745</v>
      </c>
      <c r="H618" s="967" t="s">
        <v>745</v>
      </c>
    </row>
    <row r="619" spans="1:8" hidden="1" x14ac:dyDescent="0.3">
      <c r="A619" s="851"/>
      <c r="B619" s="846" t="s">
        <v>952</v>
      </c>
      <c r="C619" s="852"/>
      <c r="D619" s="859" t="s">
        <v>745</v>
      </c>
      <c r="E619" s="855" t="s">
        <v>745</v>
      </c>
      <c r="F619" s="856" t="s">
        <v>745</v>
      </c>
      <c r="G619" s="857" t="s">
        <v>745</v>
      </c>
      <c r="H619" s="963" t="s">
        <v>745</v>
      </c>
    </row>
    <row r="620" spans="1:8" hidden="1" x14ac:dyDescent="0.3">
      <c r="A620" s="851"/>
      <c r="B620" s="875"/>
      <c r="C620" s="852" t="s">
        <v>963</v>
      </c>
      <c r="D620" s="859">
        <v>2</v>
      </c>
      <c r="E620" s="855" t="s">
        <v>33</v>
      </c>
      <c r="F620" s="856">
        <v>441</v>
      </c>
      <c r="G620" s="857">
        <f>D620*F620</f>
        <v>882</v>
      </c>
      <c r="H620" s="968" t="s">
        <v>934</v>
      </c>
    </row>
    <row r="621" spans="1:8" hidden="1" x14ac:dyDescent="0.3">
      <c r="A621" s="851"/>
      <c r="B621" s="875"/>
      <c r="C621" s="852" t="s">
        <v>953</v>
      </c>
      <c r="D621" s="859">
        <v>0.48</v>
      </c>
      <c r="E621" s="855" t="s">
        <v>396</v>
      </c>
      <c r="F621" s="948">
        <v>838</v>
      </c>
      <c r="G621" s="857">
        <f>D621*F621</f>
        <v>402.24</v>
      </c>
      <c r="H621" s="968" t="s">
        <v>922</v>
      </c>
    </row>
    <row r="622" spans="1:8" hidden="1" x14ac:dyDescent="0.3">
      <c r="A622" s="851"/>
      <c r="B622" s="875"/>
      <c r="C622" s="852" t="s">
        <v>908</v>
      </c>
      <c r="D622" s="859">
        <v>0.28000000000000003</v>
      </c>
      <c r="E622" s="855" t="s">
        <v>399</v>
      </c>
      <c r="F622" s="965">
        <v>12.92</v>
      </c>
      <c r="G622" s="857">
        <f>D622*F622</f>
        <v>3.6176000000000004</v>
      </c>
      <c r="H622" s="850"/>
    </row>
    <row r="623" spans="1:8" hidden="1" x14ac:dyDescent="0.3">
      <c r="A623" s="861"/>
      <c r="B623" s="862"/>
      <c r="C623" s="863" t="s">
        <v>973</v>
      </c>
      <c r="D623" s="864">
        <v>1</v>
      </c>
      <c r="E623" s="865" t="s">
        <v>33</v>
      </c>
      <c r="F623" s="866" t="s">
        <v>6</v>
      </c>
      <c r="G623" s="911">
        <f>SUM(G618:G622)</f>
        <v>1287.8576</v>
      </c>
      <c r="H623" s="868" t="s">
        <v>752</v>
      </c>
    </row>
    <row r="624" spans="1:8" hidden="1" x14ac:dyDescent="0.3">
      <c r="A624" s="958">
        <v>10.3</v>
      </c>
      <c r="B624" s="935" t="s">
        <v>974</v>
      </c>
      <c r="C624" s="853"/>
      <c r="D624" s="847"/>
      <c r="E624" s="847"/>
      <c r="F624" s="948" t="s">
        <v>745</v>
      </c>
      <c r="G624" s="966" t="s">
        <v>745</v>
      </c>
      <c r="H624" s="967" t="s">
        <v>745</v>
      </c>
    </row>
    <row r="625" spans="1:8" hidden="1" x14ac:dyDescent="0.3">
      <c r="A625" s="851"/>
      <c r="B625" s="846" t="s">
        <v>949</v>
      </c>
      <c r="C625" s="852"/>
      <c r="D625" s="859" t="s">
        <v>745</v>
      </c>
      <c r="E625" s="855" t="s">
        <v>745</v>
      </c>
      <c r="F625" s="856" t="s">
        <v>745</v>
      </c>
      <c r="G625" s="857" t="s">
        <v>745</v>
      </c>
      <c r="H625" s="963" t="s">
        <v>745</v>
      </c>
    </row>
    <row r="626" spans="1:8" hidden="1" x14ac:dyDescent="0.3">
      <c r="A626" s="851"/>
      <c r="B626" s="875"/>
      <c r="C626" s="852" t="s">
        <v>967</v>
      </c>
      <c r="D626" s="859">
        <v>2</v>
      </c>
      <c r="E626" s="855" t="s">
        <v>33</v>
      </c>
      <c r="F626" s="856">
        <v>647</v>
      </c>
      <c r="G626" s="857">
        <f>D626*F626</f>
        <v>1294</v>
      </c>
      <c r="H626" s="968" t="s">
        <v>934</v>
      </c>
    </row>
    <row r="627" spans="1:8" hidden="1" x14ac:dyDescent="0.3">
      <c r="A627" s="851"/>
      <c r="B627" s="875"/>
      <c r="C627" s="852" t="s">
        <v>950</v>
      </c>
      <c r="D627" s="859">
        <v>0.48</v>
      </c>
      <c r="E627" s="855" t="s">
        <v>396</v>
      </c>
      <c r="F627" s="948">
        <v>396</v>
      </c>
      <c r="G627" s="857">
        <f>D627*F627</f>
        <v>190.07999999999998</v>
      </c>
      <c r="H627" s="968" t="s">
        <v>922</v>
      </c>
    </row>
    <row r="628" spans="1:8" hidden="1" x14ac:dyDescent="0.3">
      <c r="A628" s="851"/>
      <c r="B628" s="875"/>
      <c r="C628" s="852" t="s">
        <v>908</v>
      </c>
      <c r="D628" s="859">
        <v>0.28000000000000003</v>
      </c>
      <c r="E628" s="855" t="s">
        <v>399</v>
      </c>
      <c r="F628" s="965">
        <v>12.92</v>
      </c>
      <c r="G628" s="857">
        <f>D628*F628</f>
        <v>3.6176000000000004</v>
      </c>
      <c r="H628" s="850"/>
    </row>
    <row r="629" spans="1:8" hidden="1" x14ac:dyDescent="0.3">
      <c r="A629" s="923"/>
      <c r="B629" s="971"/>
      <c r="C629" s="972" t="s">
        <v>975</v>
      </c>
      <c r="D629" s="973">
        <v>1</v>
      </c>
      <c r="E629" s="974" t="s">
        <v>33</v>
      </c>
      <c r="F629" s="975" t="s">
        <v>6</v>
      </c>
      <c r="G629" s="976">
        <f>SUM(G624:G628)</f>
        <v>1487.6976</v>
      </c>
      <c r="H629" s="924" t="s">
        <v>752</v>
      </c>
    </row>
    <row r="630" spans="1:8" hidden="1" x14ac:dyDescent="0.3">
      <c r="A630" s="851"/>
      <c r="B630" s="970"/>
      <c r="C630" s="852"/>
      <c r="D630" s="854"/>
      <c r="E630" s="855"/>
      <c r="F630" s="876"/>
      <c r="G630" s="945"/>
      <c r="H630" s="878"/>
    </row>
    <row r="631" spans="1:8" ht="19.5" hidden="1" thickBot="1" x14ac:dyDescent="0.35">
      <c r="A631" s="879"/>
      <c r="B631" s="946"/>
      <c r="C631" s="881"/>
      <c r="D631" s="882"/>
      <c r="E631" s="915"/>
      <c r="F631" s="916"/>
      <c r="G631" s="917"/>
      <c r="H631" s="941"/>
    </row>
    <row r="632" spans="1:8" hidden="1" x14ac:dyDescent="0.3">
      <c r="D632" s="886"/>
      <c r="E632" s="918"/>
      <c r="F632" s="919"/>
      <c r="G632" s="888" t="str">
        <f>$G$37</f>
        <v xml:space="preserve"> เมษายน 2549</v>
      </c>
      <c r="H632" s="888"/>
    </row>
    <row r="633" spans="1:8" ht="19.5" hidden="1" x14ac:dyDescent="0.3">
      <c r="A633" s="820" t="s">
        <v>976</v>
      </c>
      <c r="B633" s="820"/>
      <c r="C633" s="820"/>
      <c r="D633" s="820"/>
      <c r="E633" s="820"/>
      <c r="F633" s="820"/>
      <c r="G633" s="820"/>
      <c r="H633" s="820"/>
    </row>
    <row r="634" spans="1:8" ht="20.25" hidden="1" thickBot="1" x14ac:dyDescent="0.35">
      <c r="A634" s="889" t="s">
        <v>758</v>
      </c>
      <c r="B634" s="889"/>
      <c r="C634" s="889"/>
      <c r="D634" s="889"/>
      <c r="E634" s="889"/>
      <c r="F634" s="889"/>
      <c r="G634" s="889"/>
      <c r="H634" s="889"/>
    </row>
    <row r="635" spans="1:8" hidden="1" x14ac:dyDescent="0.3">
      <c r="A635" s="823" t="s">
        <v>424</v>
      </c>
      <c r="B635" s="824" t="s">
        <v>1</v>
      </c>
      <c r="C635" s="825"/>
      <c r="D635" s="826" t="s">
        <v>24</v>
      </c>
      <c r="E635" s="826" t="s">
        <v>25</v>
      </c>
      <c r="F635" s="827" t="s">
        <v>390</v>
      </c>
      <c r="G635" s="828" t="s">
        <v>743</v>
      </c>
      <c r="H635" s="829" t="s">
        <v>20</v>
      </c>
    </row>
    <row r="636" spans="1:8" hidden="1" x14ac:dyDescent="0.3">
      <c r="A636" s="830"/>
      <c r="B636" s="831"/>
      <c r="C636" s="832"/>
      <c r="D636" s="833"/>
      <c r="E636" s="833"/>
      <c r="F636" s="834" t="s">
        <v>31</v>
      </c>
      <c r="G636" s="835" t="s">
        <v>31</v>
      </c>
      <c r="H636" s="836"/>
    </row>
    <row r="637" spans="1:8" hidden="1" x14ac:dyDescent="0.3">
      <c r="A637" s="869">
        <v>10.31</v>
      </c>
      <c r="B637" s="935" t="s">
        <v>977</v>
      </c>
      <c r="C637" s="853"/>
      <c r="D637" s="847"/>
      <c r="E637" s="847"/>
      <c r="F637" s="948" t="s">
        <v>745</v>
      </c>
      <c r="G637" s="966" t="s">
        <v>745</v>
      </c>
      <c r="H637" s="967" t="s">
        <v>745</v>
      </c>
    </row>
    <row r="638" spans="1:8" hidden="1" x14ac:dyDescent="0.3">
      <c r="A638" s="851"/>
      <c r="B638" s="846" t="s">
        <v>952</v>
      </c>
      <c r="C638" s="852"/>
      <c r="D638" s="859" t="s">
        <v>745</v>
      </c>
      <c r="E638" s="855" t="s">
        <v>745</v>
      </c>
      <c r="F638" s="856" t="s">
        <v>745</v>
      </c>
      <c r="G638" s="857" t="s">
        <v>745</v>
      </c>
      <c r="H638" s="963" t="s">
        <v>745</v>
      </c>
    </row>
    <row r="639" spans="1:8" hidden="1" x14ac:dyDescent="0.3">
      <c r="A639" s="851"/>
      <c r="B639" s="875"/>
      <c r="C639" s="852" t="s">
        <v>967</v>
      </c>
      <c r="D639" s="859">
        <v>2</v>
      </c>
      <c r="E639" s="855" t="s">
        <v>33</v>
      </c>
      <c r="F639" s="856">
        <v>647</v>
      </c>
      <c r="G639" s="857">
        <f>D639*F639</f>
        <v>1294</v>
      </c>
      <c r="H639" s="968" t="s">
        <v>934</v>
      </c>
    </row>
    <row r="640" spans="1:8" hidden="1" x14ac:dyDescent="0.3">
      <c r="A640" s="851"/>
      <c r="B640" s="875"/>
      <c r="C640" s="852" t="s">
        <v>953</v>
      </c>
      <c r="D640" s="859">
        <v>0.48</v>
      </c>
      <c r="E640" s="855" t="s">
        <v>396</v>
      </c>
      <c r="F640" s="948">
        <v>838</v>
      </c>
      <c r="G640" s="857">
        <f>D640*F640</f>
        <v>402.24</v>
      </c>
      <c r="H640" s="968" t="s">
        <v>922</v>
      </c>
    </row>
    <row r="641" spans="1:8" hidden="1" x14ac:dyDescent="0.3">
      <c r="A641" s="851"/>
      <c r="B641" s="875"/>
      <c r="C641" s="852" t="s">
        <v>908</v>
      </c>
      <c r="D641" s="859">
        <v>0.28000000000000003</v>
      </c>
      <c r="E641" s="855" t="s">
        <v>399</v>
      </c>
      <c r="F641" s="965">
        <v>12.92</v>
      </c>
      <c r="G641" s="857">
        <f>D641*F641</f>
        <v>3.6176000000000004</v>
      </c>
      <c r="H641" s="850"/>
    </row>
    <row r="642" spans="1:8" hidden="1" x14ac:dyDescent="0.3">
      <c r="A642" s="861"/>
      <c r="B642" s="862"/>
      <c r="C642" s="863" t="s">
        <v>975</v>
      </c>
      <c r="D642" s="864">
        <v>1</v>
      </c>
      <c r="E642" s="865" t="s">
        <v>33</v>
      </c>
      <c r="F642" s="866" t="s">
        <v>6</v>
      </c>
      <c r="G642" s="911">
        <f>SUM(G637:G641)</f>
        <v>1699.8576</v>
      </c>
      <c r="H642" s="868" t="s">
        <v>752</v>
      </c>
    </row>
    <row r="643" spans="1:8" hidden="1" x14ac:dyDescent="0.3">
      <c r="A643" s="869">
        <v>10.32</v>
      </c>
      <c r="B643" s="935" t="s">
        <v>978</v>
      </c>
      <c r="C643" s="853"/>
      <c r="D643" s="938" t="s">
        <v>745</v>
      </c>
      <c r="E643" s="939" t="s">
        <v>745</v>
      </c>
      <c r="F643" s="948" t="s">
        <v>745</v>
      </c>
      <c r="G643" s="966" t="s">
        <v>745</v>
      </c>
      <c r="H643" s="967" t="s">
        <v>745</v>
      </c>
    </row>
    <row r="644" spans="1:8" hidden="1" x14ac:dyDescent="0.3">
      <c r="A644" s="851"/>
      <c r="B644" s="846" t="s">
        <v>979</v>
      </c>
      <c r="C644" s="852"/>
      <c r="D644" s="859" t="s">
        <v>745</v>
      </c>
      <c r="E644" s="855" t="s">
        <v>745</v>
      </c>
      <c r="F644" s="856" t="s">
        <v>745</v>
      </c>
      <c r="G644" s="857" t="s">
        <v>745</v>
      </c>
      <c r="H644" s="963" t="s">
        <v>745</v>
      </c>
    </row>
    <row r="645" spans="1:8" hidden="1" x14ac:dyDescent="0.3">
      <c r="A645" s="851"/>
      <c r="B645" s="875"/>
      <c r="C645" s="852" t="s">
        <v>980</v>
      </c>
      <c r="D645" s="859">
        <v>1</v>
      </c>
      <c r="E645" s="855" t="s">
        <v>33</v>
      </c>
      <c r="F645" s="856">
        <v>226</v>
      </c>
      <c r="G645" s="857">
        <f>D645*F645</f>
        <v>226</v>
      </c>
      <c r="H645" s="968" t="s">
        <v>934</v>
      </c>
    </row>
    <row r="646" spans="1:8" hidden="1" x14ac:dyDescent="0.3">
      <c r="A646" s="851"/>
      <c r="B646" s="875"/>
      <c r="C646" s="852" t="s">
        <v>935</v>
      </c>
      <c r="D646" s="859">
        <v>0.48</v>
      </c>
      <c r="E646" s="855" t="s">
        <v>396</v>
      </c>
      <c r="F646" s="948">
        <v>400</v>
      </c>
      <c r="G646" s="857">
        <f>D646*F646</f>
        <v>192</v>
      </c>
      <c r="H646" s="968" t="s">
        <v>922</v>
      </c>
    </row>
    <row r="647" spans="1:8" hidden="1" x14ac:dyDescent="0.3">
      <c r="A647" s="851"/>
      <c r="B647" s="875"/>
      <c r="C647" s="852" t="s">
        <v>908</v>
      </c>
      <c r="D647" s="859">
        <v>0.2</v>
      </c>
      <c r="E647" s="855" t="s">
        <v>399</v>
      </c>
      <c r="F647" s="965">
        <v>12.92</v>
      </c>
      <c r="G647" s="857">
        <f>D647*F647</f>
        <v>2.5840000000000001</v>
      </c>
      <c r="H647" s="850"/>
    </row>
    <row r="648" spans="1:8" hidden="1" x14ac:dyDescent="0.3">
      <c r="A648" s="861"/>
      <c r="B648" s="862"/>
      <c r="C648" s="863" t="s">
        <v>981</v>
      </c>
      <c r="D648" s="864">
        <v>1</v>
      </c>
      <c r="E648" s="865" t="s">
        <v>33</v>
      </c>
      <c r="F648" s="866" t="s">
        <v>6</v>
      </c>
      <c r="G648" s="911">
        <f>SUM(G643:G647)</f>
        <v>420.584</v>
      </c>
      <c r="H648" s="868" t="s">
        <v>752</v>
      </c>
    </row>
    <row r="649" spans="1:8" hidden="1" x14ac:dyDescent="0.3">
      <c r="A649" s="958">
        <v>10.33</v>
      </c>
      <c r="B649" s="935" t="s">
        <v>978</v>
      </c>
      <c r="C649" s="853"/>
      <c r="D649" s="938" t="s">
        <v>745</v>
      </c>
      <c r="E649" s="939" t="s">
        <v>745</v>
      </c>
      <c r="F649" s="948" t="s">
        <v>745</v>
      </c>
      <c r="G649" s="966" t="s">
        <v>745</v>
      </c>
      <c r="H649" s="967" t="s">
        <v>745</v>
      </c>
    </row>
    <row r="650" spans="1:8" hidden="1" x14ac:dyDescent="0.3">
      <c r="A650" s="851"/>
      <c r="B650" s="846" t="s">
        <v>982</v>
      </c>
      <c r="C650" s="852"/>
      <c r="D650" s="847"/>
      <c r="E650" s="847"/>
      <c r="F650" s="856" t="s">
        <v>745</v>
      </c>
      <c r="G650" s="857" t="s">
        <v>745</v>
      </c>
      <c r="H650" s="963" t="s">
        <v>745</v>
      </c>
    </row>
    <row r="651" spans="1:8" hidden="1" x14ac:dyDescent="0.3">
      <c r="A651" s="851"/>
      <c r="B651" s="875"/>
      <c r="C651" s="852" t="s">
        <v>980</v>
      </c>
      <c r="D651" s="859">
        <v>1</v>
      </c>
      <c r="E651" s="855" t="s">
        <v>33</v>
      </c>
      <c r="F651" s="856">
        <v>226</v>
      </c>
      <c r="G651" s="857">
        <f>D651*F651</f>
        <v>226</v>
      </c>
      <c r="H651" s="968" t="s">
        <v>934</v>
      </c>
    </row>
    <row r="652" spans="1:8" hidden="1" x14ac:dyDescent="0.3">
      <c r="A652" s="851"/>
      <c r="B652" s="875"/>
      <c r="C652" s="852" t="s">
        <v>939</v>
      </c>
      <c r="D652" s="859">
        <v>0.48</v>
      </c>
      <c r="E652" s="855" t="s">
        <v>396</v>
      </c>
      <c r="F652" s="948">
        <v>842</v>
      </c>
      <c r="G652" s="857">
        <f>D652*F652</f>
        <v>404.15999999999997</v>
      </c>
      <c r="H652" s="968" t="s">
        <v>922</v>
      </c>
    </row>
    <row r="653" spans="1:8" hidden="1" x14ac:dyDescent="0.3">
      <c r="A653" s="851"/>
      <c r="B653" s="875"/>
      <c r="C653" s="852" t="s">
        <v>908</v>
      </c>
      <c r="D653" s="859">
        <v>0.2</v>
      </c>
      <c r="E653" s="855" t="s">
        <v>399</v>
      </c>
      <c r="F653" s="965">
        <v>12.92</v>
      </c>
      <c r="G653" s="857">
        <f>D653*F653</f>
        <v>2.5840000000000001</v>
      </c>
      <c r="H653" s="850"/>
    </row>
    <row r="654" spans="1:8" hidden="1" x14ac:dyDescent="0.3">
      <c r="A654" s="861"/>
      <c r="B654" s="862"/>
      <c r="C654" s="863" t="s">
        <v>981</v>
      </c>
      <c r="D654" s="864">
        <v>1</v>
      </c>
      <c r="E654" s="865" t="s">
        <v>33</v>
      </c>
      <c r="F654" s="866" t="s">
        <v>6</v>
      </c>
      <c r="G654" s="911">
        <f>SUM(G649:G653)</f>
        <v>632.74399999999991</v>
      </c>
      <c r="H654" s="868" t="s">
        <v>752</v>
      </c>
    </row>
    <row r="655" spans="1:8" hidden="1" x14ac:dyDescent="0.3">
      <c r="A655" s="869">
        <v>10.34</v>
      </c>
      <c r="B655" s="935" t="s">
        <v>983</v>
      </c>
      <c r="C655" s="853"/>
      <c r="D655" s="938" t="s">
        <v>745</v>
      </c>
      <c r="E655" s="939" t="s">
        <v>745</v>
      </c>
      <c r="F655" s="948" t="s">
        <v>745</v>
      </c>
      <c r="G655" s="966" t="s">
        <v>745</v>
      </c>
      <c r="H655" s="967" t="s">
        <v>745</v>
      </c>
    </row>
    <row r="656" spans="1:8" hidden="1" x14ac:dyDescent="0.3">
      <c r="A656" s="851"/>
      <c r="B656" s="846" t="s">
        <v>979</v>
      </c>
      <c r="C656" s="852"/>
      <c r="D656" s="859" t="s">
        <v>745</v>
      </c>
      <c r="E656" s="855" t="s">
        <v>745</v>
      </c>
      <c r="F656" s="856" t="s">
        <v>745</v>
      </c>
      <c r="G656" s="857" t="s">
        <v>745</v>
      </c>
      <c r="H656" s="963" t="s">
        <v>745</v>
      </c>
    </row>
    <row r="657" spans="1:8" hidden="1" x14ac:dyDescent="0.3">
      <c r="A657" s="851"/>
      <c r="B657" s="875"/>
      <c r="C657" s="852" t="s">
        <v>984</v>
      </c>
      <c r="D657" s="859">
        <v>1</v>
      </c>
      <c r="E657" s="855" t="s">
        <v>33</v>
      </c>
      <c r="F657" s="856">
        <v>294</v>
      </c>
      <c r="G657" s="857">
        <f>D657*F657</f>
        <v>294</v>
      </c>
      <c r="H657" s="968" t="s">
        <v>934</v>
      </c>
    </row>
    <row r="658" spans="1:8" hidden="1" x14ac:dyDescent="0.3">
      <c r="A658" s="851"/>
      <c r="B658" s="875"/>
      <c r="C658" s="852" t="s">
        <v>935</v>
      </c>
      <c r="D658" s="859">
        <v>0.48</v>
      </c>
      <c r="E658" s="855" t="s">
        <v>396</v>
      </c>
      <c r="F658" s="948">
        <v>400</v>
      </c>
      <c r="G658" s="857">
        <f>D658*F658</f>
        <v>192</v>
      </c>
      <c r="H658" s="968" t="s">
        <v>922</v>
      </c>
    </row>
    <row r="659" spans="1:8" hidden="1" x14ac:dyDescent="0.3">
      <c r="A659" s="851"/>
      <c r="B659" s="875"/>
      <c r="C659" s="852" t="s">
        <v>908</v>
      </c>
      <c r="D659" s="859">
        <v>0.2</v>
      </c>
      <c r="E659" s="855" t="s">
        <v>399</v>
      </c>
      <c r="F659" s="965">
        <v>12.92</v>
      </c>
      <c r="G659" s="857">
        <f>D659*F659</f>
        <v>2.5840000000000001</v>
      </c>
      <c r="H659" s="850"/>
    </row>
    <row r="660" spans="1:8" hidden="1" x14ac:dyDescent="0.3">
      <c r="A660" s="861"/>
      <c r="B660" s="862"/>
      <c r="C660" s="863" t="s">
        <v>985</v>
      </c>
      <c r="D660" s="864">
        <v>1</v>
      </c>
      <c r="E660" s="865" t="s">
        <v>33</v>
      </c>
      <c r="F660" s="866" t="s">
        <v>6</v>
      </c>
      <c r="G660" s="911">
        <f>SUM(G655:G659)</f>
        <v>488.584</v>
      </c>
      <c r="H660" s="868" t="s">
        <v>752</v>
      </c>
    </row>
    <row r="661" spans="1:8" hidden="1" x14ac:dyDescent="0.3">
      <c r="A661" s="958">
        <v>10.35</v>
      </c>
      <c r="B661" s="935" t="s">
        <v>983</v>
      </c>
      <c r="C661" s="853"/>
      <c r="D661" s="938" t="s">
        <v>745</v>
      </c>
      <c r="E661" s="939" t="s">
        <v>745</v>
      </c>
      <c r="F661" s="948" t="s">
        <v>745</v>
      </c>
      <c r="G661" s="966" t="s">
        <v>745</v>
      </c>
      <c r="H661" s="967" t="s">
        <v>745</v>
      </c>
    </row>
    <row r="662" spans="1:8" hidden="1" x14ac:dyDescent="0.3">
      <c r="A662" s="851"/>
      <c r="B662" s="846" t="s">
        <v>982</v>
      </c>
      <c r="C662" s="852"/>
      <c r="D662" s="847"/>
      <c r="E662" s="847"/>
      <c r="F662" s="856" t="s">
        <v>745</v>
      </c>
      <c r="G662" s="857" t="s">
        <v>745</v>
      </c>
      <c r="H662" s="963" t="s">
        <v>745</v>
      </c>
    </row>
    <row r="663" spans="1:8" hidden="1" x14ac:dyDescent="0.3">
      <c r="A663" s="851"/>
      <c r="B663" s="875"/>
      <c r="C663" s="852" t="s">
        <v>984</v>
      </c>
      <c r="D663" s="859">
        <v>1</v>
      </c>
      <c r="E663" s="855" t="s">
        <v>33</v>
      </c>
      <c r="F663" s="856">
        <v>294</v>
      </c>
      <c r="G663" s="857">
        <f>D663*F663</f>
        <v>294</v>
      </c>
      <c r="H663" s="968" t="s">
        <v>934</v>
      </c>
    </row>
    <row r="664" spans="1:8" hidden="1" x14ac:dyDescent="0.3">
      <c r="A664" s="851"/>
      <c r="B664" s="875"/>
      <c r="C664" s="852" t="s">
        <v>939</v>
      </c>
      <c r="D664" s="859">
        <v>0.48</v>
      </c>
      <c r="E664" s="855" t="s">
        <v>396</v>
      </c>
      <c r="F664" s="948">
        <v>842</v>
      </c>
      <c r="G664" s="857">
        <f>D664*F664</f>
        <v>404.15999999999997</v>
      </c>
      <c r="H664" s="968" t="s">
        <v>922</v>
      </c>
    </row>
    <row r="665" spans="1:8" hidden="1" x14ac:dyDescent="0.3">
      <c r="A665" s="851"/>
      <c r="B665" s="875"/>
      <c r="C665" s="852" t="s">
        <v>908</v>
      </c>
      <c r="D665" s="859">
        <v>0.2</v>
      </c>
      <c r="E665" s="855" t="s">
        <v>399</v>
      </c>
      <c r="F665" s="965">
        <v>12.92</v>
      </c>
      <c r="G665" s="857">
        <f>D665*F665</f>
        <v>2.5840000000000001</v>
      </c>
      <c r="H665" s="850"/>
    </row>
    <row r="666" spans="1:8" hidden="1" x14ac:dyDescent="0.3">
      <c r="A666" s="923"/>
      <c r="B666" s="971"/>
      <c r="C666" s="972" t="s">
        <v>985</v>
      </c>
      <c r="D666" s="973">
        <v>1</v>
      </c>
      <c r="E666" s="974" t="s">
        <v>33</v>
      </c>
      <c r="F666" s="975" t="s">
        <v>6</v>
      </c>
      <c r="G666" s="976">
        <f>SUM(G661:G665)</f>
        <v>700.74399999999991</v>
      </c>
      <c r="H666" s="924" t="s">
        <v>752</v>
      </c>
    </row>
    <row r="667" spans="1:8" hidden="1" x14ac:dyDescent="0.3">
      <c r="A667" s="851"/>
      <c r="B667" s="970"/>
      <c r="C667" s="852"/>
      <c r="D667" s="854"/>
      <c r="E667" s="855"/>
      <c r="F667" s="876"/>
      <c r="G667" s="945"/>
      <c r="H667" s="878"/>
    </row>
    <row r="668" spans="1:8" ht="19.5" hidden="1" thickBot="1" x14ac:dyDescent="0.35">
      <c r="A668" s="879"/>
      <c r="B668" s="946"/>
      <c r="C668" s="881"/>
      <c r="D668" s="882"/>
      <c r="E668" s="915"/>
      <c r="F668" s="916"/>
      <c r="G668" s="917"/>
      <c r="H668" s="941"/>
    </row>
    <row r="669" spans="1:8" hidden="1" x14ac:dyDescent="0.3">
      <c r="D669" s="886"/>
      <c r="E669" s="918"/>
      <c r="F669" s="919"/>
      <c r="G669" s="888" t="str">
        <f>$G$37</f>
        <v xml:space="preserve"> เมษายน 2549</v>
      </c>
      <c r="H669" s="888"/>
    </row>
    <row r="670" spans="1:8" ht="19.5" hidden="1" x14ac:dyDescent="0.3">
      <c r="A670" s="820" t="s">
        <v>986</v>
      </c>
      <c r="B670" s="820"/>
      <c r="C670" s="820"/>
      <c r="D670" s="820"/>
      <c r="E670" s="820"/>
      <c r="F670" s="820"/>
      <c r="G670" s="820"/>
      <c r="H670" s="820"/>
    </row>
    <row r="671" spans="1:8" ht="20.25" hidden="1" thickBot="1" x14ac:dyDescent="0.35">
      <c r="A671" s="889" t="s">
        <v>758</v>
      </c>
      <c r="B671" s="889"/>
      <c r="C671" s="889"/>
      <c r="D671" s="889"/>
      <c r="E671" s="889"/>
      <c r="F671" s="889"/>
      <c r="G671" s="889"/>
      <c r="H671" s="889"/>
    </row>
    <row r="672" spans="1:8" hidden="1" x14ac:dyDescent="0.3">
      <c r="A672" s="823" t="s">
        <v>424</v>
      </c>
      <c r="B672" s="824" t="s">
        <v>1</v>
      </c>
      <c r="C672" s="825"/>
      <c r="D672" s="826" t="s">
        <v>24</v>
      </c>
      <c r="E672" s="826" t="s">
        <v>25</v>
      </c>
      <c r="F672" s="827" t="s">
        <v>390</v>
      </c>
      <c r="G672" s="828" t="s">
        <v>743</v>
      </c>
      <c r="H672" s="829" t="s">
        <v>20</v>
      </c>
    </row>
    <row r="673" spans="1:8" hidden="1" x14ac:dyDescent="0.3">
      <c r="A673" s="830"/>
      <c r="B673" s="831"/>
      <c r="C673" s="832"/>
      <c r="D673" s="833"/>
      <c r="E673" s="833"/>
      <c r="F673" s="834" t="s">
        <v>31</v>
      </c>
      <c r="G673" s="835" t="s">
        <v>31</v>
      </c>
      <c r="H673" s="836"/>
    </row>
    <row r="674" spans="1:8" hidden="1" x14ac:dyDescent="0.3">
      <c r="A674" s="869">
        <v>10.36</v>
      </c>
      <c r="B674" s="935" t="s">
        <v>978</v>
      </c>
      <c r="C674" s="853"/>
      <c r="D674" s="938" t="s">
        <v>745</v>
      </c>
      <c r="E674" s="939" t="s">
        <v>745</v>
      </c>
      <c r="F674" s="948" t="s">
        <v>745</v>
      </c>
      <c r="G674" s="966" t="s">
        <v>745</v>
      </c>
      <c r="H674" s="967" t="s">
        <v>745</v>
      </c>
    </row>
    <row r="675" spans="1:8" hidden="1" x14ac:dyDescent="0.3">
      <c r="A675" s="851"/>
      <c r="B675" s="846" t="s">
        <v>987</v>
      </c>
      <c r="C675" s="852"/>
      <c r="D675" s="859" t="s">
        <v>745</v>
      </c>
      <c r="E675" s="855" t="s">
        <v>745</v>
      </c>
      <c r="F675" s="856" t="s">
        <v>745</v>
      </c>
      <c r="G675" s="857" t="s">
        <v>745</v>
      </c>
      <c r="H675" s="963" t="s">
        <v>745</v>
      </c>
    </row>
    <row r="676" spans="1:8" hidden="1" x14ac:dyDescent="0.3">
      <c r="A676" s="851"/>
      <c r="B676" s="875"/>
      <c r="C676" s="852" t="s">
        <v>980</v>
      </c>
      <c r="D676" s="859">
        <v>2</v>
      </c>
      <c r="E676" s="855" t="s">
        <v>33</v>
      </c>
      <c r="F676" s="856">
        <v>226</v>
      </c>
      <c r="G676" s="857">
        <f>D676*F676</f>
        <v>452</v>
      </c>
      <c r="H676" s="968" t="s">
        <v>934</v>
      </c>
    </row>
    <row r="677" spans="1:8" hidden="1" x14ac:dyDescent="0.3">
      <c r="A677" s="851"/>
      <c r="B677" s="875"/>
      <c r="C677" s="852" t="s">
        <v>950</v>
      </c>
      <c r="D677" s="859">
        <v>0.48</v>
      </c>
      <c r="E677" s="855" t="s">
        <v>396</v>
      </c>
      <c r="F677" s="948">
        <v>396</v>
      </c>
      <c r="G677" s="857">
        <f>D677*F677</f>
        <v>190.07999999999998</v>
      </c>
      <c r="H677" s="968" t="s">
        <v>922</v>
      </c>
    </row>
    <row r="678" spans="1:8" hidden="1" x14ac:dyDescent="0.3">
      <c r="A678" s="851"/>
      <c r="B678" s="875"/>
      <c r="C678" s="852" t="s">
        <v>908</v>
      </c>
      <c r="D678" s="859">
        <v>0.28000000000000003</v>
      </c>
      <c r="E678" s="855" t="s">
        <v>399</v>
      </c>
      <c r="F678" s="965">
        <v>12.92</v>
      </c>
      <c r="G678" s="857">
        <f>D678*F678</f>
        <v>3.6176000000000004</v>
      </c>
      <c r="H678" s="850"/>
    </row>
    <row r="679" spans="1:8" hidden="1" x14ac:dyDescent="0.3">
      <c r="A679" s="861"/>
      <c r="B679" s="862"/>
      <c r="C679" s="863" t="s">
        <v>988</v>
      </c>
      <c r="D679" s="864">
        <v>1</v>
      </c>
      <c r="E679" s="865" t="s">
        <v>33</v>
      </c>
      <c r="F679" s="866" t="s">
        <v>6</v>
      </c>
      <c r="G679" s="911">
        <f>SUM(G674:G678)</f>
        <v>645.69759999999997</v>
      </c>
      <c r="H679" s="868" t="s">
        <v>752</v>
      </c>
    </row>
    <row r="680" spans="1:8" hidden="1" x14ac:dyDescent="0.3">
      <c r="A680" s="958">
        <v>10.37</v>
      </c>
      <c r="B680" s="935" t="s">
        <v>978</v>
      </c>
      <c r="C680" s="853"/>
      <c r="D680" s="938" t="s">
        <v>745</v>
      </c>
      <c r="E680" s="939" t="s">
        <v>745</v>
      </c>
      <c r="F680" s="948" t="s">
        <v>745</v>
      </c>
      <c r="G680" s="966" t="s">
        <v>745</v>
      </c>
      <c r="H680" s="967" t="s">
        <v>745</v>
      </c>
    </row>
    <row r="681" spans="1:8" hidden="1" x14ac:dyDescent="0.3">
      <c r="A681" s="851"/>
      <c r="B681" s="846" t="s">
        <v>989</v>
      </c>
      <c r="C681" s="852"/>
      <c r="D681" s="847"/>
      <c r="E681" s="847"/>
      <c r="F681" s="856" t="s">
        <v>745</v>
      </c>
      <c r="G681" s="857" t="s">
        <v>745</v>
      </c>
      <c r="H681" s="963" t="s">
        <v>745</v>
      </c>
    </row>
    <row r="682" spans="1:8" hidden="1" x14ac:dyDescent="0.3">
      <c r="A682" s="851"/>
      <c r="B682" s="875"/>
      <c r="C682" s="852" t="s">
        <v>980</v>
      </c>
      <c r="D682" s="859">
        <v>2</v>
      </c>
      <c r="E682" s="855" t="s">
        <v>33</v>
      </c>
      <c r="F682" s="856">
        <v>226</v>
      </c>
      <c r="G682" s="857">
        <f>D682*F682</f>
        <v>452</v>
      </c>
      <c r="H682" s="968" t="s">
        <v>934</v>
      </c>
    </row>
    <row r="683" spans="1:8" hidden="1" x14ac:dyDescent="0.3">
      <c r="A683" s="851"/>
      <c r="B683" s="875"/>
      <c r="C683" s="852" t="s">
        <v>953</v>
      </c>
      <c r="D683" s="859">
        <v>0.48</v>
      </c>
      <c r="E683" s="855" t="s">
        <v>396</v>
      </c>
      <c r="F683" s="948">
        <v>838</v>
      </c>
      <c r="G683" s="857">
        <f>D683*F683</f>
        <v>402.24</v>
      </c>
      <c r="H683" s="968" t="s">
        <v>922</v>
      </c>
    </row>
    <row r="684" spans="1:8" hidden="1" x14ac:dyDescent="0.3">
      <c r="A684" s="851"/>
      <c r="B684" s="875"/>
      <c r="C684" s="852" t="s">
        <v>908</v>
      </c>
      <c r="D684" s="859">
        <v>0.28000000000000003</v>
      </c>
      <c r="E684" s="855" t="s">
        <v>399</v>
      </c>
      <c r="F684" s="965">
        <v>12.92</v>
      </c>
      <c r="G684" s="857">
        <f>D684*F684</f>
        <v>3.6176000000000004</v>
      </c>
      <c r="H684" s="850"/>
    </row>
    <row r="685" spans="1:8" hidden="1" x14ac:dyDescent="0.3">
      <c r="A685" s="861"/>
      <c r="B685" s="862"/>
      <c r="C685" s="863" t="s">
        <v>988</v>
      </c>
      <c r="D685" s="864">
        <v>1</v>
      </c>
      <c r="E685" s="865" t="s">
        <v>33</v>
      </c>
      <c r="F685" s="866" t="s">
        <v>6</v>
      </c>
      <c r="G685" s="911">
        <f>SUM(G680:G684)</f>
        <v>857.85760000000005</v>
      </c>
      <c r="H685" s="868" t="s">
        <v>752</v>
      </c>
    </row>
    <row r="686" spans="1:8" hidden="1" x14ac:dyDescent="0.3">
      <c r="A686" s="869">
        <v>10.38</v>
      </c>
      <c r="B686" s="935" t="s">
        <v>983</v>
      </c>
      <c r="C686" s="853"/>
      <c r="D686" s="938" t="s">
        <v>745</v>
      </c>
      <c r="E686" s="939" t="s">
        <v>745</v>
      </c>
      <c r="F686" s="948" t="s">
        <v>745</v>
      </c>
      <c r="G686" s="966" t="s">
        <v>745</v>
      </c>
      <c r="H686" s="967" t="s">
        <v>745</v>
      </c>
    </row>
    <row r="687" spans="1:8" hidden="1" x14ac:dyDescent="0.3">
      <c r="A687" s="851"/>
      <c r="B687" s="846" t="s">
        <v>987</v>
      </c>
      <c r="C687" s="852"/>
      <c r="D687" s="859" t="s">
        <v>745</v>
      </c>
      <c r="E687" s="855" t="s">
        <v>745</v>
      </c>
      <c r="F687" s="856" t="s">
        <v>745</v>
      </c>
      <c r="G687" s="857" t="s">
        <v>745</v>
      </c>
      <c r="H687" s="963" t="s">
        <v>745</v>
      </c>
    </row>
    <row r="688" spans="1:8" hidden="1" x14ac:dyDescent="0.3">
      <c r="A688" s="851"/>
      <c r="B688" s="875"/>
      <c r="C688" s="852" t="s">
        <v>984</v>
      </c>
      <c r="D688" s="859">
        <v>2</v>
      </c>
      <c r="E688" s="855" t="s">
        <v>33</v>
      </c>
      <c r="F688" s="856">
        <v>294</v>
      </c>
      <c r="G688" s="857">
        <f>D688*F688</f>
        <v>588</v>
      </c>
      <c r="H688" s="968" t="s">
        <v>934</v>
      </c>
    </row>
    <row r="689" spans="1:8" hidden="1" x14ac:dyDescent="0.3">
      <c r="A689" s="851"/>
      <c r="B689" s="875"/>
      <c r="C689" s="852" t="s">
        <v>950</v>
      </c>
      <c r="D689" s="859">
        <v>0.48</v>
      </c>
      <c r="E689" s="855" t="s">
        <v>396</v>
      </c>
      <c r="F689" s="948">
        <v>396</v>
      </c>
      <c r="G689" s="857">
        <f>D689*F689</f>
        <v>190.07999999999998</v>
      </c>
      <c r="H689" s="968" t="s">
        <v>922</v>
      </c>
    </row>
    <row r="690" spans="1:8" hidden="1" x14ac:dyDescent="0.3">
      <c r="A690" s="851"/>
      <c r="B690" s="875"/>
      <c r="C690" s="852" t="s">
        <v>908</v>
      </c>
      <c r="D690" s="859">
        <v>0.28000000000000003</v>
      </c>
      <c r="E690" s="855" t="s">
        <v>399</v>
      </c>
      <c r="F690" s="965">
        <v>12.92</v>
      </c>
      <c r="G690" s="857">
        <f>D690*F690</f>
        <v>3.6176000000000004</v>
      </c>
      <c r="H690" s="850"/>
    </row>
    <row r="691" spans="1:8" hidden="1" x14ac:dyDescent="0.3">
      <c r="A691" s="861"/>
      <c r="B691" s="862"/>
      <c r="C691" s="863" t="s">
        <v>990</v>
      </c>
      <c r="D691" s="864">
        <v>1</v>
      </c>
      <c r="E691" s="865" t="s">
        <v>33</v>
      </c>
      <c r="F691" s="866" t="s">
        <v>6</v>
      </c>
      <c r="G691" s="911">
        <f>SUM(G686:G690)</f>
        <v>781.69759999999997</v>
      </c>
      <c r="H691" s="868" t="s">
        <v>752</v>
      </c>
    </row>
    <row r="692" spans="1:8" hidden="1" x14ac:dyDescent="0.3">
      <c r="A692" s="958">
        <v>10.39</v>
      </c>
      <c r="B692" s="935" t="s">
        <v>983</v>
      </c>
      <c r="C692" s="853"/>
      <c r="D692" s="938" t="s">
        <v>745</v>
      </c>
      <c r="E692" s="939" t="s">
        <v>745</v>
      </c>
      <c r="F692" s="948" t="s">
        <v>745</v>
      </c>
      <c r="G692" s="966" t="s">
        <v>745</v>
      </c>
      <c r="H692" s="967" t="s">
        <v>745</v>
      </c>
    </row>
    <row r="693" spans="1:8" hidden="1" x14ac:dyDescent="0.3">
      <c r="A693" s="851"/>
      <c r="B693" s="846" t="s">
        <v>989</v>
      </c>
      <c r="C693" s="852"/>
      <c r="D693" s="847"/>
      <c r="E693" s="847"/>
      <c r="F693" s="856" t="s">
        <v>745</v>
      </c>
      <c r="G693" s="857" t="s">
        <v>745</v>
      </c>
      <c r="H693" s="963" t="s">
        <v>745</v>
      </c>
    </row>
    <row r="694" spans="1:8" hidden="1" x14ac:dyDescent="0.3">
      <c r="A694" s="851"/>
      <c r="B694" s="875"/>
      <c r="C694" s="852" t="s">
        <v>984</v>
      </c>
      <c r="D694" s="859">
        <v>2</v>
      </c>
      <c r="E694" s="855" t="s">
        <v>33</v>
      </c>
      <c r="F694" s="856">
        <v>294</v>
      </c>
      <c r="G694" s="857">
        <f>D694*F694</f>
        <v>588</v>
      </c>
      <c r="H694" s="968" t="s">
        <v>934</v>
      </c>
    </row>
    <row r="695" spans="1:8" hidden="1" x14ac:dyDescent="0.3">
      <c r="A695" s="851"/>
      <c r="B695" s="875"/>
      <c r="C695" s="852" t="s">
        <v>953</v>
      </c>
      <c r="D695" s="859">
        <v>0.48</v>
      </c>
      <c r="E695" s="855" t="s">
        <v>396</v>
      </c>
      <c r="F695" s="948">
        <v>838</v>
      </c>
      <c r="G695" s="857">
        <f>D695*F695</f>
        <v>402.24</v>
      </c>
      <c r="H695" s="968" t="s">
        <v>922</v>
      </c>
    </row>
    <row r="696" spans="1:8" hidden="1" x14ac:dyDescent="0.3">
      <c r="A696" s="851"/>
      <c r="B696" s="875"/>
      <c r="C696" s="852" t="s">
        <v>908</v>
      </c>
      <c r="D696" s="859">
        <v>0.28000000000000003</v>
      </c>
      <c r="E696" s="855" t="s">
        <v>399</v>
      </c>
      <c r="F696" s="965">
        <v>12.92</v>
      </c>
      <c r="G696" s="857">
        <f>D696*F696</f>
        <v>3.6176000000000004</v>
      </c>
      <c r="H696" s="850"/>
    </row>
    <row r="697" spans="1:8" hidden="1" x14ac:dyDescent="0.3">
      <c r="A697" s="861"/>
      <c r="B697" s="862"/>
      <c r="C697" s="863" t="s">
        <v>990</v>
      </c>
      <c r="D697" s="864">
        <v>1</v>
      </c>
      <c r="E697" s="865" t="s">
        <v>33</v>
      </c>
      <c r="F697" s="866" t="s">
        <v>6</v>
      </c>
      <c r="G697" s="911">
        <f>SUM(G692:G696)</f>
        <v>993.85760000000005</v>
      </c>
      <c r="H697" s="868" t="s">
        <v>752</v>
      </c>
    </row>
    <row r="698" spans="1:8" hidden="1" x14ac:dyDescent="0.3">
      <c r="A698" s="958">
        <v>10.4</v>
      </c>
      <c r="B698" s="935" t="s">
        <v>991</v>
      </c>
      <c r="C698" s="853"/>
      <c r="D698" s="938" t="s">
        <v>745</v>
      </c>
      <c r="E698" s="939" t="s">
        <v>745</v>
      </c>
      <c r="F698" s="948" t="s">
        <v>745</v>
      </c>
      <c r="G698" s="966" t="s">
        <v>745</v>
      </c>
      <c r="H698" s="967" t="s">
        <v>745</v>
      </c>
    </row>
    <row r="699" spans="1:8" hidden="1" x14ac:dyDescent="0.3">
      <c r="A699" s="851"/>
      <c r="B699" s="846" t="s">
        <v>979</v>
      </c>
      <c r="C699" s="852"/>
      <c r="D699" s="859" t="s">
        <v>745</v>
      </c>
      <c r="E699" s="855" t="s">
        <v>745</v>
      </c>
      <c r="F699" s="856" t="s">
        <v>745</v>
      </c>
      <c r="G699" s="857" t="s">
        <v>745</v>
      </c>
      <c r="H699" s="963" t="s">
        <v>745</v>
      </c>
    </row>
    <row r="700" spans="1:8" hidden="1" x14ac:dyDescent="0.3">
      <c r="A700" s="851"/>
      <c r="B700" s="875"/>
      <c r="C700" s="852" t="s">
        <v>992</v>
      </c>
      <c r="D700" s="859">
        <v>1</v>
      </c>
      <c r="E700" s="855" t="s">
        <v>33</v>
      </c>
      <c r="F700" s="856">
        <v>79.33</v>
      </c>
      <c r="G700" s="857">
        <f>D700*F700</f>
        <v>79.33</v>
      </c>
      <c r="H700" s="968" t="s">
        <v>934</v>
      </c>
    </row>
    <row r="701" spans="1:8" hidden="1" x14ac:dyDescent="0.3">
      <c r="A701" s="851"/>
      <c r="B701" s="875"/>
      <c r="C701" s="852" t="s">
        <v>935</v>
      </c>
      <c r="D701" s="859">
        <v>0.48</v>
      </c>
      <c r="E701" s="855" t="s">
        <v>396</v>
      </c>
      <c r="F701" s="948">
        <v>400</v>
      </c>
      <c r="G701" s="857">
        <f>D701*F701</f>
        <v>192</v>
      </c>
      <c r="H701" s="968" t="s">
        <v>922</v>
      </c>
    </row>
    <row r="702" spans="1:8" hidden="1" x14ac:dyDescent="0.3">
      <c r="A702" s="851"/>
      <c r="B702" s="875"/>
      <c r="C702" s="852" t="s">
        <v>908</v>
      </c>
      <c r="D702" s="859">
        <v>0.2</v>
      </c>
      <c r="E702" s="855" t="s">
        <v>399</v>
      </c>
      <c r="F702" s="965">
        <v>12.92</v>
      </c>
      <c r="G702" s="857">
        <f>D702*F702</f>
        <v>2.5840000000000001</v>
      </c>
      <c r="H702" s="850"/>
    </row>
    <row r="703" spans="1:8" hidden="1" x14ac:dyDescent="0.3">
      <c r="A703" s="923"/>
      <c r="B703" s="971"/>
      <c r="C703" s="852" t="s">
        <v>993</v>
      </c>
      <c r="D703" s="859">
        <v>1</v>
      </c>
      <c r="E703" s="855" t="s">
        <v>33</v>
      </c>
      <c r="F703" s="965">
        <v>5</v>
      </c>
      <c r="G703" s="857">
        <f>D703*F703</f>
        <v>5</v>
      </c>
      <c r="H703" s="977"/>
    </row>
    <row r="704" spans="1:8" hidden="1" x14ac:dyDescent="0.3">
      <c r="A704" s="923"/>
      <c r="B704" s="971"/>
      <c r="C704" s="972" t="s">
        <v>994</v>
      </c>
      <c r="D704" s="973">
        <v>1</v>
      </c>
      <c r="E704" s="974" t="s">
        <v>33</v>
      </c>
      <c r="F704" s="975" t="s">
        <v>6</v>
      </c>
      <c r="G704" s="976">
        <f>SUM(G698:G703)</f>
        <v>278.91399999999999</v>
      </c>
      <c r="H704" s="924" t="s">
        <v>752</v>
      </c>
    </row>
    <row r="705" spans="1:8" ht="19.5" hidden="1" thickBot="1" x14ac:dyDescent="0.35">
      <c r="A705" s="879"/>
      <c r="B705" s="946"/>
      <c r="C705" s="881"/>
      <c r="D705" s="882"/>
      <c r="E705" s="915"/>
      <c r="F705" s="916"/>
      <c r="G705" s="917"/>
      <c r="H705" s="941"/>
    </row>
    <row r="706" spans="1:8" hidden="1" x14ac:dyDescent="0.3">
      <c r="D706" s="886"/>
      <c r="E706" s="918"/>
      <c r="F706" s="919"/>
      <c r="G706" s="888" t="str">
        <f>$G$37</f>
        <v xml:space="preserve"> เมษายน 2549</v>
      </c>
      <c r="H706" s="888"/>
    </row>
    <row r="707" spans="1:8" ht="19.5" hidden="1" x14ac:dyDescent="0.3">
      <c r="A707" s="820" t="s">
        <v>995</v>
      </c>
      <c r="B707" s="820"/>
      <c r="C707" s="820"/>
      <c r="D707" s="820"/>
      <c r="E707" s="820"/>
      <c r="F707" s="820"/>
      <c r="G707" s="820"/>
      <c r="H707" s="820"/>
    </row>
    <row r="708" spans="1:8" ht="20.25" hidden="1" thickBot="1" x14ac:dyDescent="0.35">
      <c r="A708" s="889" t="s">
        <v>758</v>
      </c>
      <c r="B708" s="889"/>
      <c r="C708" s="889"/>
      <c r="D708" s="889"/>
      <c r="E708" s="889"/>
      <c r="F708" s="889"/>
      <c r="G708" s="889"/>
      <c r="H708" s="889"/>
    </row>
    <row r="709" spans="1:8" hidden="1" x14ac:dyDescent="0.3">
      <c r="A709" s="823" t="s">
        <v>424</v>
      </c>
      <c r="B709" s="824" t="s">
        <v>1</v>
      </c>
      <c r="C709" s="825"/>
      <c r="D709" s="826" t="s">
        <v>24</v>
      </c>
      <c r="E709" s="826" t="s">
        <v>25</v>
      </c>
      <c r="F709" s="827" t="s">
        <v>390</v>
      </c>
      <c r="G709" s="828" t="s">
        <v>743</v>
      </c>
      <c r="H709" s="829" t="s">
        <v>20</v>
      </c>
    </row>
    <row r="710" spans="1:8" hidden="1" x14ac:dyDescent="0.3">
      <c r="A710" s="830"/>
      <c r="B710" s="831"/>
      <c r="C710" s="832"/>
      <c r="D710" s="833"/>
      <c r="E710" s="833"/>
      <c r="F710" s="834" t="s">
        <v>31</v>
      </c>
      <c r="G710" s="835" t="s">
        <v>31</v>
      </c>
      <c r="H710" s="836"/>
    </row>
    <row r="711" spans="1:8" hidden="1" x14ac:dyDescent="0.3">
      <c r="A711" s="958">
        <v>10.41</v>
      </c>
      <c r="B711" s="935" t="s">
        <v>991</v>
      </c>
      <c r="C711" s="853"/>
      <c r="D711" s="938" t="s">
        <v>745</v>
      </c>
      <c r="E711" s="939" t="s">
        <v>745</v>
      </c>
      <c r="F711" s="948" t="s">
        <v>745</v>
      </c>
      <c r="G711" s="966" t="s">
        <v>745</v>
      </c>
      <c r="H711" s="967" t="s">
        <v>745</v>
      </c>
    </row>
    <row r="712" spans="1:8" hidden="1" x14ac:dyDescent="0.3">
      <c r="A712" s="851"/>
      <c r="B712" s="846" t="s">
        <v>982</v>
      </c>
      <c r="C712" s="852"/>
      <c r="D712" s="859" t="s">
        <v>745</v>
      </c>
      <c r="E712" s="855" t="s">
        <v>745</v>
      </c>
      <c r="F712" s="856" t="s">
        <v>745</v>
      </c>
      <c r="G712" s="857" t="s">
        <v>745</v>
      </c>
      <c r="H712" s="963" t="s">
        <v>745</v>
      </c>
    </row>
    <row r="713" spans="1:8" hidden="1" x14ac:dyDescent="0.3">
      <c r="A713" s="851"/>
      <c r="B713" s="875"/>
      <c r="C713" s="852" t="s">
        <v>992</v>
      </c>
      <c r="D713" s="859">
        <v>1</v>
      </c>
      <c r="E713" s="855" t="s">
        <v>33</v>
      </c>
      <c r="F713" s="856">
        <v>79.33</v>
      </c>
      <c r="G713" s="857">
        <f>D713*F713</f>
        <v>79.33</v>
      </c>
      <c r="H713" s="968" t="s">
        <v>934</v>
      </c>
    </row>
    <row r="714" spans="1:8" hidden="1" x14ac:dyDescent="0.3">
      <c r="A714" s="851"/>
      <c r="B714" s="875"/>
      <c r="C714" s="852" t="s">
        <v>939</v>
      </c>
      <c r="D714" s="859">
        <v>0.48</v>
      </c>
      <c r="E714" s="855" t="s">
        <v>396</v>
      </c>
      <c r="F714" s="948">
        <v>842</v>
      </c>
      <c r="G714" s="857">
        <f>D714*F714</f>
        <v>404.15999999999997</v>
      </c>
      <c r="H714" s="968" t="s">
        <v>922</v>
      </c>
    </row>
    <row r="715" spans="1:8" hidden="1" x14ac:dyDescent="0.3">
      <c r="A715" s="851"/>
      <c r="B715" s="875"/>
      <c r="C715" s="852" t="s">
        <v>908</v>
      </c>
      <c r="D715" s="859">
        <v>0.2</v>
      </c>
      <c r="E715" s="855" t="s">
        <v>399</v>
      </c>
      <c r="F715" s="965">
        <v>12.92</v>
      </c>
      <c r="G715" s="857">
        <f>D715*F715</f>
        <v>2.5840000000000001</v>
      </c>
      <c r="H715" s="850"/>
    </row>
    <row r="716" spans="1:8" hidden="1" x14ac:dyDescent="0.3">
      <c r="A716" s="923"/>
      <c r="B716" s="971"/>
      <c r="C716" s="852" t="s">
        <v>993</v>
      </c>
      <c r="D716" s="859">
        <v>1</v>
      </c>
      <c r="E716" s="855" t="s">
        <v>33</v>
      </c>
      <c r="F716" s="965">
        <v>5</v>
      </c>
      <c r="G716" s="857">
        <f>D716*F716</f>
        <v>5</v>
      </c>
      <c r="H716" s="977"/>
    </row>
    <row r="717" spans="1:8" hidden="1" x14ac:dyDescent="0.3">
      <c r="A717" s="861"/>
      <c r="B717" s="862"/>
      <c r="C717" s="863" t="s">
        <v>994</v>
      </c>
      <c r="D717" s="864">
        <v>1</v>
      </c>
      <c r="E717" s="865" t="s">
        <v>33</v>
      </c>
      <c r="F717" s="866" t="s">
        <v>6</v>
      </c>
      <c r="G717" s="911">
        <f>SUM(G711:G716)</f>
        <v>491.07399999999996</v>
      </c>
      <c r="H717" s="868" t="s">
        <v>752</v>
      </c>
    </row>
    <row r="718" spans="1:8" hidden="1" x14ac:dyDescent="0.3">
      <c r="A718" s="869">
        <v>10.42</v>
      </c>
      <c r="B718" s="935" t="s">
        <v>996</v>
      </c>
      <c r="C718" s="853"/>
      <c r="D718" s="938" t="s">
        <v>745</v>
      </c>
      <c r="E718" s="939" t="s">
        <v>745</v>
      </c>
      <c r="F718" s="948" t="s">
        <v>745</v>
      </c>
      <c r="G718" s="966" t="s">
        <v>745</v>
      </c>
      <c r="H718" s="967" t="s">
        <v>745</v>
      </c>
    </row>
    <row r="719" spans="1:8" hidden="1" x14ac:dyDescent="0.3">
      <c r="A719" s="851"/>
      <c r="B719" s="846" t="s">
        <v>979</v>
      </c>
      <c r="C719" s="852"/>
      <c r="D719" s="859" t="s">
        <v>745</v>
      </c>
      <c r="E719" s="855" t="s">
        <v>745</v>
      </c>
      <c r="F719" s="856" t="s">
        <v>745</v>
      </c>
      <c r="G719" s="857" t="s">
        <v>745</v>
      </c>
      <c r="H719" s="963" t="s">
        <v>745</v>
      </c>
    </row>
    <row r="720" spans="1:8" hidden="1" x14ac:dyDescent="0.3">
      <c r="A720" s="851"/>
      <c r="B720" s="875"/>
      <c r="C720" s="852" t="s">
        <v>997</v>
      </c>
      <c r="D720" s="859">
        <v>1</v>
      </c>
      <c r="E720" s="855" t="s">
        <v>33</v>
      </c>
      <c r="F720" s="856">
        <v>83.33</v>
      </c>
      <c r="G720" s="857">
        <f>D720*F720</f>
        <v>83.33</v>
      </c>
      <c r="H720" s="968" t="s">
        <v>934</v>
      </c>
    </row>
    <row r="721" spans="1:8" hidden="1" x14ac:dyDescent="0.3">
      <c r="A721" s="851"/>
      <c r="B721" s="875"/>
      <c r="C721" s="852" t="s">
        <v>935</v>
      </c>
      <c r="D721" s="859">
        <v>0.48</v>
      </c>
      <c r="E721" s="855" t="s">
        <v>396</v>
      </c>
      <c r="F721" s="948">
        <v>400</v>
      </c>
      <c r="G721" s="857">
        <f>D721*F721</f>
        <v>192</v>
      </c>
      <c r="H721" s="968" t="s">
        <v>922</v>
      </c>
    </row>
    <row r="722" spans="1:8" hidden="1" x14ac:dyDescent="0.3">
      <c r="A722" s="851"/>
      <c r="B722" s="875"/>
      <c r="C722" s="852" t="s">
        <v>908</v>
      </c>
      <c r="D722" s="859">
        <v>0.2</v>
      </c>
      <c r="E722" s="855" t="s">
        <v>399</v>
      </c>
      <c r="F722" s="965">
        <v>12.92</v>
      </c>
      <c r="G722" s="857">
        <f>D722*F722</f>
        <v>2.5840000000000001</v>
      </c>
      <c r="H722" s="850"/>
    </row>
    <row r="723" spans="1:8" hidden="1" x14ac:dyDescent="0.3">
      <c r="A723" s="923"/>
      <c r="B723" s="971"/>
      <c r="C723" s="852" t="s">
        <v>993</v>
      </c>
      <c r="D723" s="859">
        <v>1</v>
      </c>
      <c r="E723" s="855" t="s">
        <v>33</v>
      </c>
      <c r="F723" s="965">
        <v>5</v>
      </c>
      <c r="G723" s="857">
        <f>D723*F723</f>
        <v>5</v>
      </c>
      <c r="H723" s="977"/>
    </row>
    <row r="724" spans="1:8" hidden="1" x14ac:dyDescent="0.3">
      <c r="A724" s="861"/>
      <c r="B724" s="862"/>
      <c r="C724" s="863" t="s">
        <v>998</v>
      </c>
      <c r="D724" s="864">
        <v>1</v>
      </c>
      <c r="E724" s="865" t="s">
        <v>33</v>
      </c>
      <c r="F724" s="866" t="s">
        <v>6</v>
      </c>
      <c r="G724" s="911">
        <f>SUM(G718:G723)</f>
        <v>282.91399999999999</v>
      </c>
      <c r="H724" s="868" t="s">
        <v>752</v>
      </c>
    </row>
    <row r="725" spans="1:8" hidden="1" x14ac:dyDescent="0.3">
      <c r="A725" s="958">
        <v>10.43</v>
      </c>
      <c r="B725" s="935" t="s">
        <v>996</v>
      </c>
      <c r="C725" s="853"/>
      <c r="D725" s="938" t="s">
        <v>745</v>
      </c>
      <c r="E725" s="939" t="s">
        <v>745</v>
      </c>
      <c r="F725" s="948" t="s">
        <v>745</v>
      </c>
      <c r="G725" s="966" t="s">
        <v>745</v>
      </c>
      <c r="H725" s="967" t="s">
        <v>745</v>
      </c>
    </row>
    <row r="726" spans="1:8" hidden="1" x14ac:dyDescent="0.3">
      <c r="A726" s="851"/>
      <c r="B726" s="846" t="s">
        <v>982</v>
      </c>
      <c r="C726" s="852"/>
      <c r="D726" s="859" t="s">
        <v>745</v>
      </c>
      <c r="E726" s="855" t="s">
        <v>745</v>
      </c>
      <c r="F726" s="856" t="s">
        <v>745</v>
      </c>
      <c r="G726" s="857" t="s">
        <v>745</v>
      </c>
      <c r="H726" s="963" t="s">
        <v>745</v>
      </c>
    </row>
    <row r="727" spans="1:8" hidden="1" x14ac:dyDescent="0.3">
      <c r="A727" s="851"/>
      <c r="B727" s="875"/>
      <c r="C727" s="852" t="s">
        <v>997</v>
      </c>
      <c r="D727" s="859">
        <v>1</v>
      </c>
      <c r="E727" s="855" t="s">
        <v>33</v>
      </c>
      <c r="F727" s="856">
        <v>83.33</v>
      </c>
      <c r="G727" s="857">
        <f>D727*F727</f>
        <v>83.33</v>
      </c>
      <c r="H727" s="968" t="s">
        <v>934</v>
      </c>
    </row>
    <row r="728" spans="1:8" hidden="1" x14ac:dyDescent="0.3">
      <c r="A728" s="851"/>
      <c r="B728" s="875"/>
      <c r="C728" s="852" t="s">
        <v>939</v>
      </c>
      <c r="D728" s="859">
        <v>0.48</v>
      </c>
      <c r="E728" s="855" t="s">
        <v>396</v>
      </c>
      <c r="F728" s="948">
        <v>842</v>
      </c>
      <c r="G728" s="857">
        <f>D728*F728</f>
        <v>404.15999999999997</v>
      </c>
      <c r="H728" s="968" t="s">
        <v>922</v>
      </c>
    </row>
    <row r="729" spans="1:8" hidden="1" x14ac:dyDescent="0.3">
      <c r="A729" s="851"/>
      <c r="B729" s="875"/>
      <c r="C729" s="852" t="s">
        <v>908</v>
      </c>
      <c r="D729" s="859">
        <v>0.2</v>
      </c>
      <c r="E729" s="855" t="s">
        <v>399</v>
      </c>
      <c r="F729" s="965">
        <v>12.92</v>
      </c>
      <c r="G729" s="857">
        <f>D729*F729</f>
        <v>2.5840000000000001</v>
      </c>
      <c r="H729" s="850"/>
    </row>
    <row r="730" spans="1:8" hidden="1" x14ac:dyDescent="0.3">
      <c r="A730" s="923"/>
      <c r="B730" s="971"/>
      <c r="C730" s="852" t="s">
        <v>993</v>
      </c>
      <c r="D730" s="859">
        <v>1</v>
      </c>
      <c r="E730" s="855" t="s">
        <v>33</v>
      </c>
      <c r="F730" s="965">
        <v>5</v>
      </c>
      <c r="G730" s="857">
        <f>D730*F730</f>
        <v>5</v>
      </c>
      <c r="H730" s="977"/>
    </row>
    <row r="731" spans="1:8" hidden="1" x14ac:dyDescent="0.3">
      <c r="A731" s="861"/>
      <c r="B731" s="862"/>
      <c r="C731" s="863" t="s">
        <v>998</v>
      </c>
      <c r="D731" s="864">
        <v>1</v>
      </c>
      <c r="E731" s="865" t="s">
        <v>33</v>
      </c>
      <c r="F731" s="866" t="s">
        <v>6</v>
      </c>
      <c r="G731" s="911">
        <f>SUM(G725:G730)</f>
        <v>495.07399999999996</v>
      </c>
      <c r="H731" s="868" t="s">
        <v>752</v>
      </c>
    </row>
    <row r="732" spans="1:8" hidden="1" x14ac:dyDescent="0.3">
      <c r="A732" s="869">
        <v>10.44</v>
      </c>
      <c r="B732" s="935" t="s">
        <v>991</v>
      </c>
      <c r="C732" s="853"/>
      <c r="D732" s="938" t="s">
        <v>745</v>
      </c>
      <c r="E732" s="939" t="s">
        <v>745</v>
      </c>
      <c r="F732" s="948" t="s">
        <v>745</v>
      </c>
      <c r="G732" s="966" t="s">
        <v>745</v>
      </c>
      <c r="H732" s="967" t="s">
        <v>745</v>
      </c>
    </row>
    <row r="733" spans="1:8" hidden="1" x14ac:dyDescent="0.3">
      <c r="A733" s="851"/>
      <c r="B733" s="846" t="s">
        <v>987</v>
      </c>
      <c r="C733" s="852"/>
      <c r="D733" s="859" t="s">
        <v>745</v>
      </c>
      <c r="E733" s="855" t="s">
        <v>745</v>
      </c>
      <c r="F733" s="856" t="s">
        <v>745</v>
      </c>
      <c r="G733" s="857" t="s">
        <v>745</v>
      </c>
      <c r="H733" s="963" t="s">
        <v>745</v>
      </c>
    </row>
    <row r="734" spans="1:8" hidden="1" x14ac:dyDescent="0.3">
      <c r="A734" s="851"/>
      <c r="B734" s="875"/>
      <c r="C734" s="852" t="s">
        <v>992</v>
      </c>
      <c r="D734" s="859">
        <v>2</v>
      </c>
      <c r="E734" s="855" t="s">
        <v>33</v>
      </c>
      <c r="F734" s="856">
        <v>79.33</v>
      </c>
      <c r="G734" s="857">
        <f>D734*F734</f>
        <v>158.66</v>
      </c>
      <c r="H734" s="968" t="s">
        <v>934</v>
      </c>
    </row>
    <row r="735" spans="1:8" hidden="1" x14ac:dyDescent="0.3">
      <c r="A735" s="851"/>
      <c r="B735" s="875"/>
      <c r="C735" s="852" t="s">
        <v>950</v>
      </c>
      <c r="D735" s="859">
        <v>0.48</v>
      </c>
      <c r="E735" s="855" t="s">
        <v>396</v>
      </c>
      <c r="F735" s="948">
        <v>400</v>
      </c>
      <c r="G735" s="857">
        <f>D735*F735</f>
        <v>192</v>
      </c>
      <c r="H735" s="968" t="s">
        <v>922</v>
      </c>
    </row>
    <row r="736" spans="1:8" hidden="1" x14ac:dyDescent="0.3">
      <c r="A736" s="851"/>
      <c r="B736" s="875"/>
      <c r="C736" s="852" t="s">
        <v>908</v>
      </c>
      <c r="D736" s="859">
        <v>0.28000000000000003</v>
      </c>
      <c r="E736" s="855" t="s">
        <v>399</v>
      </c>
      <c r="F736" s="965">
        <v>12.92</v>
      </c>
      <c r="G736" s="857">
        <f>D736*F736</f>
        <v>3.6176000000000004</v>
      </c>
      <c r="H736" s="850"/>
    </row>
    <row r="737" spans="1:8" hidden="1" x14ac:dyDescent="0.3">
      <c r="A737" s="923"/>
      <c r="B737" s="971"/>
      <c r="C737" s="852" t="s">
        <v>993</v>
      </c>
      <c r="D737" s="859">
        <v>2</v>
      </c>
      <c r="E737" s="855" t="s">
        <v>33</v>
      </c>
      <c r="F737" s="965">
        <v>5</v>
      </c>
      <c r="G737" s="857">
        <f>D737*F737</f>
        <v>10</v>
      </c>
      <c r="H737" s="977"/>
    </row>
    <row r="738" spans="1:8" hidden="1" x14ac:dyDescent="0.3">
      <c r="A738" s="861"/>
      <c r="B738" s="862"/>
      <c r="C738" s="863" t="s">
        <v>999</v>
      </c>
      <c r="D738" s="864">
        <v>1</v>
      </c>
      <c r="E738" s="865" t="s">
        <v>33</v>
      </c>
      <c r="F738" s="866" t="s">
        <v>6</v>
      </c>
      <c r="G738" s="911">
        <f>SUM(G732:G737)</f>
        <v>364.27759999999995</v>
      </c>
      <c r="H738" s="868" t="s">
        <v>752</v>
      </c>
    </row>
    <row r="739" spans="1:8" hidden="1" x14ac:dyDescent="0.3">
      <c r="A739" s="958">
        <v>10.45</v>
      </c>
      <c r="B739" s="935" t="s">
        <v>991</v>
      </c>
      <c r="C739" s="853"/>
      <c r="D739" s="938" t="s">
        <v>745</v>
      </c>
      <c r="E739" s="939" t="s">
        <v>745</v>
      </c>
      <c r="F739" s="948" t="s">
        <v>745</v>
      </c>
      <c r="G739" s="966" t="s">
        <v>745</v>
      </c>
      <c r="H739" s="967" t="s">
        <v>745</v>
      </c>
    </row>
    <row r="740" spans="1:8" hidden="1" x14ac:dyDescent="0.3">
      <c r="A740" s="851"/>
      <c r="B740" s="846" t="s">
        <v>989</v>
      </c>
      <c r="C740" s="852"/>
      <c r="D740" s="847"/>
      <c r="E740" s="847"/>
      <c r="F740" s="856" t="s">
        <v>745</v>
      </c>
      <c r="G740" s="857" t="s">
        <v>745</v>
      </c>
      <c r="H740" s="963" t="s">
        <v>745</v>
      </c>
    </row>
    <row r="741" spans="1:8" hidden="1" x14ac:dyDescent="0.3">
      <c r="A741" s="851"/>
      <c r="B741" s="875"/>
      <c r="C741" s="852" t="s">
        <v>992</v>
      </c>
      <c r="D741" s="859">
        <v>2</v>
      </c>
      <c r="E741" s="855" t="s">
        <v>33</v>
      </c>
      <c r="F741" s="856">
        <v>79.33</v>
      </c>
      <c r="G741" s="857">
        <f>D741*F741</f>
        <v>158.66</v>
      </c>
      <c r="H741" s="968" t="s">
        <v>934</v>
      </c>
    </row>
    <row r="742" spans="1:8" hidden="1" x14ac:dyDescent="0.3">
      <c r="A742" s="851"/>
      <c r="B742" s="875"/>
      <c r="C742" s="852" t="s">
        <v>953</v>
      </c>
      <c r="D742" s="859">
        <v>0.48</v>
      </c>
      <c r="E742" s="855" t="s">
        <v>396</v>
      </c>
      <c r="F742" s="948">
        <v>838</v>
      </c>
      <c r="G742" s="857">
        <f>D742*F742</f>
        <v>402.24</v>
      </c>
      <c r="H742" s="968" t="s">
        <v>922</v>
      </c>
    </row>
    <row r="743" spans="1:8" hidden="1" x14ac:dyDescent="0.3">
      <c r="A743" s="851"/>
      <c r="B743" s="875"/>
      <c r="C743" s="852" t="s">
        <v>908</v>
      </c>
      <c r="D743" s="859">
        <v>0.28000000000000003</v>
      </c>
      <c r="E743" s="855" t="s">
        <v>399</v>
      </c>
      <c r="F743" s="965">
        <v>12.92</v>
      </c>
      <c r="G743" s="857">
        <f>D743*F743</f>
        <v>3.6176000000000004</v>
      </c>
      <c r="H743" s="850"/>
    </row>
    <row r="744" spans="1:8" hidden="1" x14ac:dyDescent="0.3">
      <c r="A744" s="923"/>
      <c r="B744" s="971"/>
      <c r="C744" s="852" t="s">
        <v>993</v>
      </c>
      <c r="D744" s="859">
        <v>2</v>
      </c>
      <c r="E744" s="855" t="s">
        <v>33</v>
      </c>
      <c r="F744" s="965">
        <v>5</v>
      </c>
      <c r="G744" s="857">
        <f>D744*F744</f>
        <v>10</v>
      </c>
      <c r="H744" s="977"/>
    </row>
    <row r="745" spans="1:8" ht="19.5" hidden="1" thickBot="1" x14ac:dyDescent="0.35">
      <c r="A745" s="879"/>
      <c r="B745" s="880"/>
      <c r="C745" s="881" t="s">
        <v>999</v>
      </c>
      <c r="D745" s="882">
        <v>1</v>
      </c>
      <c r="E745" s="915" t="s">
        <v>33</v>
      </c>
      <c r="F745" s="916" t="s">
        <v>6</v>
      </c>
      <c r="G745" s="917">
        <f>SUM(G739:G744)</f>
        <v>574.51760000000002</v>
      </c>
      <c r="H745" s="941" t="s">
        <v>752</v>
      </c>
    </row>
    <row r="746" spans="1:8" hidden="1" x14ac:dyDescent="0.3">
      <c r="D746" s="886"/>
      <c r="E746" s="918"/>
      <c r="F746" s="919"/>
      <c r="G746" s="888" t="str">
        <f>$G$37</f>
        <v xml:space="preserve"> เมษายน 2549</v>
      </c>
      <c r="H746" s="888"/>
    </row>
    <row r="747" spans="1:8" ht="19.5" hidden="1" x14ac:dyDescent="0.3">
      <c r="A747" s="820" t="s">
        <v>1000</v>
      </c>
      <c r="B747" s="820"/>
      <c r="C747" s="820"/>
      <c r="D747" s="820"/>
      <c r="E747" s="820"/>
      <c r="F747" s="820"/>
      <c r="G747" s="820"/>
      <c r="H747" s="820"/>
    </row>
    <row r="748" spans="1:8" ht="20.25" hidden="1" thickBot="1" x14ac:dyDescent="0.35">
      <c r="A748" s="889" t="s">
        <v>758</v>
      </c>
      <c r="B748" s="889"/>
      <c r="C748" s="889"/>
      <c r="D748" s="889"/>
      <c r="E748" s="889"/>
      <c r="F748" s="889"/>
      <c r="G748" s="889"/>
      <c r="H748" s="889"/>
    </row>
    <row r="749" spans="1:8" hidden="1" x14ac:dyDescent="0.3">
      <c r="A749" s="823" t="s">
        <v>424</v>
      </c>
      <c r="B749" s="824" t="s">
        <v>1</v>
      </c>
      <c r="C749" s="825"/>
      <c r="D749" s="826" t="s">
        <v>24</v>
      </c>
      <c r="E749" s="826" t="s">
        <v>25</v>
      </c>
      <c r="F749" s="827" t="s">
        <v>390</v>
      </c>
      <c r="G749" s="828" t="s">
        <v>743</v>
      </c>
      <c r="H749" s="829" t="s">
        <v>20</v>
      </c>
    </row>
    <row r="750" spans="1:8" hidden="1" x14ac:dyDescent="0.3">
      <c r="A750" s="830"/>
      <c r="B750" s="831"/>
      <c r="C750" s="832"/>
      <c r="D750" s="833"/>
      <c r="E750" s="833"/>
      <c r="F750" s="834" t="s">
        <v>31</v>
      </c>
      <c r="G750" s="835" t="s">
        <v>31</v>
      </c>
      <c r="H750" s="836"/>
    </row>
    <row r="751" spans="1:8" hidden="1" x14ac:dyDescent="0.3">
      <c r="A751" s="869">
        <v>10.46</v>
      </c>
      <c r="B751" s="935" t="s">
        <v>996</v>
      </c>
      <c r="C751" s="853"/>
      <c r="D751" s="938" t="s">
        <v>745</v>
      </c>
      <c r="E751" s="939" t="s">
        <v>745</v>
      </c>
      <c r="F751" s="948" t="s">
        <v>745</v>
      </c>
      <c r="G751" s="966" t="s">
        <v>745</v>
      </c>
      <c r="H751" s="967" t="s">
        <v>745</v>
      </c>
    </row>
    <row r="752" spans="1:8" hidden="1" x14ac:dyDescent="0.3">
      <c r="A752" s="851"/>
      <c r="B752" s="846" t="s">
        <v>987</v>
      </c>
      <c r="C752" s="852"/>
      <c r="D752" s="859" t="s">
        <v>745</v>
      </c>
      <c r="E752" s="855" t="s">
        <v>745</v>
      </c>
      <c r="F752" s="856" t="s">
        <v>745</v>
      </c>
      <c r="G752" s="857" t="s">
        <v>745</v>
      </c>
      <c r="H752" s="963" t="s">
        <v>745</v>
      </c>
    </row>
    <row r="753" spans="1:8" hidden="1" x14ac:dyDescent="0.3">
      <c r="A753" s="851"/>
      <c r="B753" s="875"/>
      <c r="C753" s="852" t="s">
        <v>997</v>
      </c>
      <c r="D753" s="859">
        <v>2</v>
      </c>
      <c r="E753" s="855" t="s">
        <v>33</v>
      </c>
      <c r="F753" s="856">
        <v>83.33</v>
      </c>
      <c r="G753" s="857">
        <f>D753*F753</f>
        <v>166.66</v>
      </c>
      <c r="H753" s="968" t="s">
        <v>934</v>
      </c>
    </row>
    <row r="754" spans="1:8" hidden="1" x14ac:dyDescent="0.3">
      <c r="A754" s="851"/>
      <c r="B754" s="875"/>
      <c r="C754" s="852" t="s">
        <v>950</v>
      </c>
      <c r="D754" s="859">
        <v>0.48</v>
      </c>
      <c r="E754" s="855" t="s">
        <v>396</v>
      </c>
      <c r="F754" s="948">
        <v>388</v>
      </c>
      <c r="G754" s="857">
        <f>D754*F754</f>
        <v>186.23999999999998</v>
      </c>
      <c r="H754" s="968" t="s">
        <v>922</v>
      </c>
    </row>
    <row r="755" spans="1:8" hidden="1" x14ac:dyDescent="0.3">
      <c r="A755" s="851"/>
      <c r="B755" s="875"/>
      <c r="C755" s="852" t="s">
        <v>908</v>
      </c>
      <c r="D755" s="859">
        <v>0.28000000000000003</v>
      </c>
      <c r="E755" s="855" t="s">
        <v>399</v>
      </c>
      <c r="F755" s="965">
        <v>12.92</v>
      </c>
      <c r="G755" s="857">
        <f>D755*F755</f>
        <v>3.6176000000000004</v>
      </c>
      <c r="H755" s="850"/>
    </row>
    <row r="756" spans="1:8" hidden="1" x14ac:dyDescent="0.3">
      <c r="A756" s="923"/>
      <c r="B756" s="971"/>
      <c r="C756" s="852" t="s">
        <v>993</v>
      </c>
      <c r="D756" s="859">
        <v>2</v>
      </c>
      <c r="E756" s="855" t="s">
        <v>33</v>
      </c>
      <c r="F756" s="965">
        <v>5</v>
      </c>
      <c r="G756" s="857">
        <f>D756*F756</f>
        <v>10</v>
      </c>
      <c r="H756" s="977"/>
    </row>
    <row r="757" spans="1:8" hidden="1" x14ac:dyDescent="0.3">
      <c r="A757" s="861"/>
      <c r="B757" s="862"/>
      <c r="C757" s="863" t="s">
        <v>1001</v>
      </c>
      <c r="D757" s="864">
        <v>1</v>
      </c>
      <c r="E757" s="865" t="s">
        <v>33</v>
      </c>
      <c r="F757" s="866" t="s">
        <v>6</v>
      </c>
      <c r="G757" s="911">
        <f>SUM(G751:G756)</f>
        <v>366.51759999999996</v>
      </c>
      <c r="H757" s="868" t="s">
        <v>752</v>
      </c>
    </row>
    <row r="758" spans="1:8" hidden="1" x14ac:dyDescent="0.3">
      <c r="A758" s="958">
        <v>10.47</v>
      </c>
      <c r="B758" s="935" t="s">
        <v>996</v>
      </c>
      <c r="C758" s="853"/>
      <c r="D758" s="938" t="s">
        <v>745</v>
      </c>
      <c r="E758" s="939" t="s">
        <v>745</v>
      </c>
      <c r="F758" s="948" t="s">
        <v>745</v>
      </c>
      <c r="G758" s="966" t="s">
        <v>745</v>
      </c>
      <c r="H758" s="967" t="s">
        <v>745</v>
      </c>
    </row>
    <row r="759" spans="1:8" hidden="1" x14ac:dyDescent="0.3">
      <c r="A759" s="851"/>
      <c r="B759" s="846" t="s">
        <v>989</v>
      </c>
      <c r="C759" s="852"/>
      <c r="D759" s="847"/>
      <c r="E759" s="847"/>
      <c r="F759" s="856" t="s">
        <v>745</v>
      </c>
      <c r="G759" s="857" t="s">
        <v>745</v>
      </c>
      <c r="H759" s="963" t="s">
        <v>745</v>
      </c>
    </row>
    <row r="760" spans="1:8" hidden="1" x14ac:dyDescent="0.3">
      <c r="A760" s="851"/>
      <c r="B760" s="875"/>
      <c r="C760" s="852" t="s">
        <v>997</v>
      </c>
      <c r="D760" s="859">
        <v>2</v>
      </c>
      <c r="E760" s="855" t="s">
        <v>33</v>
      </c>
      <c r="F760" s="856">
        <v>83.33</v>
      </c>
      <c r="G760" s="857">
        <f>D760*F760</f>
        <v>166.66</v>
      </c>
      <c r="H760" s="968" t="s">
        <v>934</v>
      </c>
    </row>
    <row r="761" spans="1:8" hidden="1" x14ac:dyDescent="0.3">
      <c r="A761" s="851"/>
      <c r="B761" s="875"/>
      <c r="C761" s="852" t="s">
        <v>953</v>
      </c>
      <c r="D761" s="859">
        <v>0.48</v>
      </c>
      <c r="E761" s="855" t="s">
        <v>396</v>
      </c>
      <c r="F761" s="948">
        <v>838</v>
      </c>
      <c r="G761" s="857">
        <f>D761*F761</f>
        <v>402.24</v>
      </c>
      <c r="H761" s="968" t="s">
        <v>922</v>
      </c>
    </row>
    <row r="762" spans="1:8" hidden="1" x14ac:dyDescent="0.3">
      <c r="A762" s="851"/>
      <c r="B762" s="875"/>
      <c r="C762" s="852" t="s">
        <v>908</v>
      </c>
      <c r="D762" s="859">
        <v>0.28000000000000003</v>
      </c>
      <c r="E762" s="855" t="s">
        <v>399</v>
      </c>
      <c r="F762" s="965">
        <v>12.92</v>
      </c>
      <c r="G762" s="857">
        <f>D762*F762</f>
        <v>3.6176000000000004</v>
      </c>
      <c r="H762" s="850"/>
    </row>
    <row r="763" spans="1:8" hidden="1" x14ac:dyDescent="0.3">
      <c r="A763" s="923"/>
      <c r="B763" s="971"/>
      <c r="C763" s="852" t="s">
        <v>993</v>
      </c>
      <c r="D763" s="859">
        <v>2</v>
      </c>
      <c r="E763" s="855" t="s">
        <v>33</v>
      </c>
      <c r="F763" s="965">
        <v>5</v>
      </c>
      <c r="G763" s="857">
        <f>D763*F763</f>
        <v>10</v>
      </c>
      <c r="H763" s="977"/>
    </row>
    <row r="764" spans="1:8" hidden="1" x14ac:dyDescent="0.3">
      <c r="A764" s="861"/>
      <c r="B764" s="862"/>
      <c r="C764" s="863" t="s">
        <v>1001</v>
      </c>
      <c r="D764" s="864">
        <v>1</v>
      </c>
      <c r="E764" s="865" t="s">
        <v>33</v>
      </c>
      <c r="F764" s="866" t="s">
        <v>6</v>
      </c>
      <c r="G764" s="911">
        <f>SUM(G758:G763)</f>
        <v>582.51760000000002</v>
      </c>
      <c r="H764" s="868" t="s">
        <v>752</v>
      </c>
    </row>
    <row r="765" spans="1:8" hidden="1" x14ac:dyDescent="0.3">
      <c r="A765" s="958">
        <v>10.48</v>
      </c>
      <c r="B765" s="935" t="s">
        <v>1002</v>
      </c>
      <c r="C765" s="853"/>
      <c r="D765" s="938" t="s">
        <v>745</v>
      </c>
      <c r="E765" s="939" t="s">
        <v>745</v>
      </c>
      <c r="F765" s="948" t="s">
        <v>745</v>
      </c>
      <c r="G765" s="966" t="s">
        <v>745</v>
      </c>
      <c r="H765" s="967" t="s">
        <v>745</v>
      </c>
    </row>
    <row r="766" spans="1:8" hidden="1" x14ac:dyDescent="0.3">
      <c r="A766" s="851"/>
      <c r="B766" s="846" t="s">
        <v>1003</v>
      </c>
      <c r="C766" s="852"/>
      <c r="D766" s="847"/>
      <c r="E766" s="847"/>
      <c r="F766" s="856" t="s">
        <v>745</v>
      </c>
      <c r="G766" s="857" t="s">
        <v>745</v>
      </c>
      <c r="H766" s="963" t="s">
        <v>745</v>
      </c>
    </row>
    <row r="767" spans="1:8" hidden="1" x14ac:dyDescent="0.3">
      <c r="A767" s="851"/>
      <c r="B767" s="875"/>
      <c r="C767" s="852" t="s">
        <v>992</v>
      </c>
      <c r="D767" s="859">
        <v>2</v>
      </c>
      <c r="E767" s="855" t="s">
        <v>33</v>
      </c>
      <c r="F767" s="856">
        <v>190.4</v>
      </c>
      <c r="G767" s="857">
        <f>D767*F767</f>
        <v>380.8</v>
      </c>
      <c r="H767" s="968" t="s">
        <v>934</v>
      </c>
    </row>
    <row r="768" spans="1:8" hidden="1" x14ac:dyDescent="0.3">
      <c r="A768" s="851"/>
      <c r="B768" s="875"/>
      <c r="C768" s="852" t="s">
        <v>1004</v>
      </c>
      <c r="D768" s="859">
        <v>1</v>
      </c>
      <c r="E768" s="855" t="s">
        <v>33</v>
      </c>
      <c r="F768" s="948">
        <v>170</v>
      </c>
      <c r="G768" s="857">
        <f>D768*F768</f>
        <v>170</v>
      </c>
      <c r="H768" s="850"/>
    </row>
    <row r="769" spans="1:8" hidden="1" x14ac:dyDescent="0.3">
      <c r="A769" s="851"/>
      <c r="B769" s="875"/>
      <c r="C769" s="852" t="s">
        <v>1005</v>
      </c>
      <c r="D769" s="859">
        <v>0.11</v>
      </c>
      <c r="E769" s="855" t="s">
        <v>399</v>
      </c>
      <c r="F769" s="965">
        <v>25</v>
      </c>
      <c r="G769" s="857">
        <f>D769*F769</f>
        <v>2.75</v>
      </c>
      <c r="H769" s="850"/>
    </row>
    <row r="770" spans="1:8" hidden="1" x14ac:dyDescent="0.3">
      <c r="A770" s="923"/>
      <c r="B770" s="971"/>
      <c r="C770" s="852" t="s">
        <v>993</v>
      </c>
      <c r="D770" s="859">
        <v>2</v>
      </c>
      <c r="E770" s="855" t="s">
        <v>33</v>
      </c>
      <c r="F770" s="965">
        <v>5</v>
      </c>
      <c r="G770" s="857">
        <f>D770*F770</f>
        <v>10</v>
      </c>
      <c r="H770" s="977"/>
    </row>
    <row r="771" spans="1:8" hidden="1" x14ac:dyDescent="0.3">
      <c r="A771" s="923"/>
      <c r="B771" s="971"/>
      <c r="C771" s="852" t="s">
        <v>1006</v>
      </c>
      <c r="D771" s="859">
        <v>1</v>
      </c>
      <c r="E771" s="855" t="s">
        <v>33</v>
      </c>
      <c r="F771" s="965">
        <v>100</v>
      </c>
      <c r="G771" s="857">
        <f>D771*F771</f>
        <v>100</v>
      </c>
      <c r="H771" s="977"/>
    </row>
    <row r="772" spans="1:8" hidden="1" x14ac:dyDescent="0.3">
      <c r="A772" s="861"/>
      <c r="B772" s="862"/>
      <c r="C772" s="863" t="s">
        <v>1007</v>
      </c>
      <c r="D772" s="864">
        <v>1</v>
      </c>
      <c r="E772" s="865" t="s">
        <v>33</v>
      </c>
      <c r="F772" s="866" t="s">
        <v>6</v>
      </c>
      <c r="G772" s="911">
        <f>SUM(G765:G771)</f>
        <v>663.55</v>
      </c>
      <c r="H772" s="912" t="s">
        <v>1008</v>
      </c>
    </row>
    <row r="773" spans="1:8" hidden="1" x14ac:dyDescent="0.3">
      <c r="A773" s="958">
        <v>10.49</v>
      </c>
      <c r="B773" s="935" t="s">
        <v>996</v>
      </c>
      <c r="C773" s="853"/>
      <c r="D773" s="938" t="s">
        <v>745</v>
      </c>
      <c r="E773" s="939" t="s">
        <v>745</v>
      </c>
      <c r="F773" s="948" t="s">
        <v>745</v>
      </c>
      <c r="G773" s="966" t="s">
        <v>745</v>
      </c>
      <c r="H773" s="967" t="s">
        <v>745</v>
      </c>
    </row>
    <row r="774" spans="1:8" hidden="1" x14ac:dyDescent="0.3">
      <c r="A774" s="851"/>
      <c r="B774" s="846" t="s">
        <v>1003</v>
      </c>
      <c r="C774" s="852"/>
      <c r="D774" s="847"/>
      <c r="E774" s="847"/>
      <c r="F774" s="856" t="s">
        <v>745</v>
      </c>
      <c r="G774" s="857" t="s">
        <v>745</v>
      </c>
      <c r="H774" s="963" t="s">
        <v>745</v>
      </c>
    </row>
    <row r="775" spans="1:8" hidden="1" x14ac:dyDescent="0.3">
      <c r="A775" s="851"/>
      <c r="B775" s="875"/>
      <c r="C775" s="852" t="s">
        <v>997</v>
      </c>
      <c r="D775" s="859">
        <v>2</v>
      </c>
      <c r="E775" s="855" t="s">
        <v>33</v>
      </c>
      <c r="F775" s="856">
        <v>200</v>
      </c>
      <c r="G775" s="857">
        <f>D775*F775</f>
        <v>400</v>
      </c>
      <c r="H775" s="968" t="s">
        <v>934</v>
      </c>
    </row>
    <row r="776" spans="1:8" hidden="1" x14ac:dyDescent="0.3">
      <c r="A776" s="851"/>
      <c r="B776" s="875"/>
      <c r="C776" s="852" t="s">
        <v>1004</v>
      </c>
      <c r="D776" s="859">
        <v>1</v>
      </c>
      <c r="E776" s="855" t="s">
        <v>33</v>
      </c>
      <c r="F776" s="948">
        <v>170</v>
      </c>
      <c r="G776" s="857">
        <f>D776*F776</f>
        <v>170</v>
      </c>
      <c r="H776" s="850"/>
    </row>
    <row r="777" spans="1:8" hidden="1" x14ac:dyDescent="0.3">
      <c r="A777" s="851"/>
      <c r="B777" s="875"/>
      <c r="C777" s="852" t="s">
        <v>1005</v>
      </c>
      <c r="D777" s="859">
        <v>0.11</v>
      </c>
      <c r="E777" s="855" t="s">
        <v>399</v>
      </c>
      <c r="F777" s="965">
        <v>25</v>
      </c>
      <c r="G777" s="857">
        <f>D777*F777</f>
        <v>2.75</v>
      </c>
      <c r="H777" s="850"/>
    </row>
    <row r="778" spans="1:8" hidden="1" x14ac:dyDescent="0.3">
      <c r="A778" s="923"/>
      <c r="B778" s="971"/>
      <c r="C778" s="852" t="s">
        <v>993</v>
      </c>
      <c r="D778" s="859">
        <v>2</v>
      </c>
      <c r="E778" s="855" t="s">
        <v>33</v>
      </c>
      <c r="F778" s="965">
        <v>5</v>
      </c>
      <c r="G778" s="857">
        <f>D778*F778</f>
        <v>10</v>
      </c>
      <c r="H778" s="977"/>
    </row>
    <row r="779" spans="1:8" hidden="1" x14ac:dyDescent="0.3">
      <c r="A779" s="923"/>
      <c r="B779" s="971"/>
      <c r="C779" s="852" t="s">
        <v>1006</v>
      </c>
      <c r="D779" s="859">
        <v>1</v>
      </c>
      <c r="E779" s="855" t="s">
        <v>33</v>
      </c>
      <c r="F779" s="965">
        <v>100</v>
      </c>
      <c r="G779" s="857">
        <f>D779*F779</f>
        <v>100</v>
      </c>
      <c r="H779" s="977"/>
    </row>
    <row r="780" spans="1:8" hidden="1" x14ac:dyDescent="0.3">
      <c r="A780" s="861"/>
      <c r="B780" s="862"/>
      <c r="C780" s="863" t="s">
        <v>1009</v>
      </c>
      <c r="D780" s="864">
        <v>1</v>
      </c>
      <c r="E780" s="865" t="s">
        <v>33</v>
      </c>
      <c r="F780" s="866" t="s">
        <v>6</v>
      </c>
      <c r="G780" s="911">
        <f>SUM(G773:G779)</f>
        <v>682.75</v>
      </c>
      <c r="H780" s="912" t="s">
        <v>1008</v>
      </c>
    </row>
    <row r="781" spans="1:8" hidden="1" x14ac:dyDescent="0.3">
      <c r="A781" s="958">
        <v>10.5</v>
      </c>
      <c r="B781" s="935" t="s">
        <v>1010</v>
      </c>
      <c r="C781" s="853"/>
      <c r="D781" s="978"/>
      <c r="E781" s="939"/>
      <c r="F781" s="979"/>
      <c r="G781" s="980"/>
      <c r="H781" s="981"/>
    </row>
    <row r="782" spans="1:8" ht="19.5" hidden="1" thickBot="1" x14ac:dyDescent="0.35">
      <c r="A782" s="879"/>
      <c r="B782" s="982" t="s">
        <v>1003</v>
      </c>
      <c r="C782" s="881"/>
      <c r="D782" s="883"/>
      <c r="E782" s="883"/>
      <c r="F782" s="916" t="s">
        <v>15</v>
      </c>
      <c r="G782" s="917">
        <v>849</v>
      </c>
      <c r="H782" s="959" t="s">
        <v>1008</v>
      </c>
    </row>
    <row r="783" spans="1:8" hidden="1" x14ac:dyDescent="0.3">
      <c r="B783" s="983"/>
      <c r="D783" s="886"/>
      <c r="E783" s="918"/>
      <c r="F783" s="919"/>
      <c r="G783" s="888" t="str">
        <f>$G$37</f>
        <v xml:space="preserve"> เมษายน 2549</v>
      </c>
      <c r="H783" s="888"/>
    </row>
    <row r="784" spans="1:8" ht="19.5" hidden="1" x14ac:dyDescent="0.3">
      <c r="A784" s="820" t="s">
        <v>1011</v>
      </c>
      <c r="B784" s="820"/>
      <c r="C784" s="820"/>
      <c r="D784" s="820"/>
      <c r="E784" s="820"/>
      <c r="F784" s="820"/>
      <c r="G784" s="820"/>
      <c r="H784" s="820"/>
    </row>
    <row r="785" spans="1:8" ht="20.25" hidden="1" thickBot="1" x14ac:dyDescent="0.35">
      <c r="A785" s="889" t="s">
        <v>758</v>
      </c>
      <c r="B785" s="889"/>
      <c r="C785" s="889"/>
      <c r="D785" s="889"/>
      <c r="E785" s="889"/>
      <c r="F785" s="889"/>
      <c r="G785" s="889"/>
      <c r="H785" s="889"/>
    </row>
    <row r="786" spans="1:8" hidden="1" x14ac:dyDescent="0.3">
      <c r="A786" s="823" t="s">
        <v>424</v>
      </c>
      <c r="B786" s="824" t="s">
        <v>1</v>
      </c>
      <c r="C786" s="825"/>
      <c r="D786" s="826" t="s">
        <v>24</v>
      </c>
      <c r="E786" s="826" t="s">
        <v>25</v>
      </c>
      <c r="F786" s="827" t="s">
        <v>390</v>
      </c>
      <c r="G786" s="828" t="s">
        <v>743</v>
      </c>
      <c r="H786" s="829" t="s">
        <v>20</v>
      </c>
    </row>
    <row r="787" spans="1:8" hidden="1" x14ac:dyDescent="0.3">
      <c r="A787" s="830"/>
      <c r="B787" s="831"/>
      <c r="C787" s="832"/>
      <c r="D787" s="833"/>
      <c r="E787" s="833"/>
      <c r="F787" s="834" t="s">
        <v>31</v>
      </c>
      <c r="G787" s="835" t="s">
        <v>31</v>
      </c>
      <c r="H787" s="836"/>
    </row>
    <row r="788" spans="1:8" s="844" customFormat="1" ht="19.5" hidden="1" x14ac:dyDescent="0.3">
      <c r="A788" s="837">
        <v>11</v>
      </c>
      <c r="B788" s="838" t="s">
        <v>1012</v>
      </c>
      <c r="C788" s="890"/>
      <c r="D788" s="840"/>
      <c r="E788" s="840"/>
      <c r="F788" s="841"/>
      <c r="G788" s="842" t="s">
        <v>745</v>
      </c>
      <c r="H788" s="843"/>
    </row>
    <row r="789" spans="1:8" hidden="1" x14ac:dyDescent="0.3">
      <c r="A789" s="869">
        <v>11.1</v>
      </c>
      <c r="B789" s="846" t="s">
        <v>1365</v>
      </c>
      <c r="C789" s="852"/>
      <c r="D789" s="847"/>
      <c r="E789" s="847"/>
      <c r="F789" s="848"/>
      <c r="G789" s="849" t="s">
        <v>745</v>
      </c>
      <c r="H789" s="850"/>
    </row>
    <row r="790" spans="1:8" hidden="1" x14ac:dyDescent="0.3">
      <c r="A790" s="851"/>
      <c r="B790" s="852" t="s">
        <v>788</v>
      </c>
      <c r="C790" s="853"/>
      <c r="D790" s="859">
        <v>20.02</v>
      </c>
      <c r="E790" s="855" t="s">
        <v>399</v>
      </c>
      <c r="F790" s="856">
        <v>2.4900000000000002</v>
      </c>
      <c r="G790" s="857">
        <f>D790*F790</f>
        <v>49.849800000000002</v>
      </c>
      <c r="H790" s="900" t="s">
        <v>745</v>
      </c>
    </row>
    <row r="791" spans="1:8" hidden="1" x14ac:dyDescent="0.3">
      <c r="A791" s="851"/>
      <c r="B791" s="852" t="s">
        <v>748</v>
      </c>
      <c r="C791" s="853"/>
      <c r="D791" s="859">
        <v>0.11</v>
      </c>
      <c r="E791" s="855" t="s">
        <v>34</v>
      </c>
      <c r="F791" s="856">
        <v>514.02</v>
      </c>
      <c r="G791" s="857">
        <f>D791*F791</f>
        <v>56.542200000000001</v>
      </c>
      <c r="H791" s="850"/>
    </row>
    <row r="792" spans="1:8" hidden="1" x14ac:dyDescent="0.3">
      <c r="A792" s="851"/>
      <c r="B792" s="852" t="s">
        <v>835</v>
      </c>
      <c r="C792" s="853"/>
      <c r="D792" s="854">
        <v>6</v>
      </c>
      <c r="E792" s="855" t="s">
        <v>540</v>
      </c>
      <c r="F792" s="860">
        <v>1.44E-2</v>
      </c>
      <c r="G792" s="857">
        <f>D792*F792</f>
        <v>8.6400000000000005E-2</v>
      </c>
      <c r="H792" s="850"/>
    </row>
    <row r="793" spans="1:8" hidden="1" x14ac:dyDescent="0.3">
      <c r="A793" s="861"/>
      <c r="B793" s="862"/>
      <c r="C793" s="863" t="s">
        <v>1013</v>
      </c>
      <c r="D793" s="864">
        <v>1</v>
      </c>
      <c r="E793" s="865" t="s">
        <v>33</v>
      </c>
      <c r="F793" s="866" t="s">
        <v>6</v>
      </c>
      <c r="G793" s="911">
        <f>SUM(G790:G792)</f>
        <v>106.47839999999999</v>
      </c>
      <c r="H793" s="868" t="s">
        <v>752</v>
      </c>
    </row>
    <row r="794" spans="1:8" hidden="1" x14ac:dyDescent="0.3">
      <c r="A794" s="869">
        <v>11.2</v>
      </c>
      <c r="B794" s="846" t="s">
        <v>1366</v>
      </c>
      <c r="C794" s="852"/>
      <c r="D794" s="847"/>
      <c r="E794" s="847"/>
      <c r="F794" s="848"/>
      <c r="G794" s="849" t="s">
        <v>745</v>
      </c>
      <c r="H794" s="850"/>
    </row>
    <row r="795" spans="1:8" hidden="1" x14ac:dyDescent="0.3">
      <c r="A795" s="851"/>
      <c r="B795" s="852" t="s">
        <v>788</v>
      </c>
      <c r="C795" s="853"/>
      <c r="D795" s="859">
        <v>21.51</v>
      </c>
      <c r="E795" s="855" t="s">
        <v>399</v>
      </c>
      <c r="F795" s="856">
        <v>1.962</v>
      </c>
      <c r="G795" s="857">
        <f>D795*F795</f>
        <v>42.202620000000003</v>
      </c>
      <c r="H795" s="900" t="s">
        <v>745</v>
      </c>
    </row>
    <row r="796" spans="1:8" hidden="1" x14ac:dyDescent="0.3">
      <c r="A796" s="851"/>
      <c r="B796" s="852" t="s">
        <v>748</v>
      </c>
      <c r="C796" s="853"/>
      <c r="D796" s="859">
        <v>0.11</v>
      </c>
      <c r="E796" s="855" t="s">
        <v>34</v>
      </c>
      <c r="F796" s="856">
        <v>514.02</v>
      </c>
      <c r="G796" s="857">
        <f>D796*F796</f>
        <v>56.542200000000001</v>
      </c>
      <c r="H796" s="850"/>
    </row>
    <row r="797" spans="1:8" hidden="1" x14ac:dyDescent="0.3">
      <c r="A797" s="851"/>
      <c r="B797" s="852" t="s">
        <v>835</v>
      </c>
      <c r="C797" s="853"/>
      <c r="D797" s="854">
        <v>6</v>
      </c>
      <c r="E797" s="855" t="s">
        <v>540</v>
      </c>
      <c r="F797" s="860"/>
      <c r="G797" s="857">
        <f>D797*F797</f>
        <v>0</v>
      </c>
      <c r="H797" s="850"/>
    </row>
    <row r="798" spans="1:8" hidden="1" x14ac:dyDescent="0.3">
      <c r="A798" s="861"/>
      <c r="B798" s="862"/>
      <c r="C798" s="863" t="s">
        <v>1014</v>
      </c>
      <c r="D798" s="864">
        <v>1</v>
      </c>
      <c r="E798" s="865" t="s">
        <v>33</v>
      </c>
      <c r="F798" s="866" t="s">
        <v>6</v>
      </c>
      <c r="G798" s="911">
        <f>SUM(G795:G797)</f>
        <v>98.744820000000004</v>
      </c>
      <c r="H798" s="868" t="s">
        <v>752</v>
      </c>
    </row>
    <row r="799" spans="1:8" hidden="1" x14ac:dyDescent="0.3">
      <c r="A799" s="869">
        <v>11.3</v>
      </c>
      <c r="B799" s="846" t="s">
        <v>1367</v>
      </c>
      <c r="C799" s="852"/>
      <c r="D799" s="847"/>
      <c r="E799" s="847"/>
      <c r="F799" s="848"/>
      <c r="G799" s="849" t="s">
        <v>745</v>
      </c>
      <c r="H799" s="850"/>
    </row>
    <row r="800" spans="1:8" hidden="1" x14ac:dyDescent="0.3">
      <c r="A800" s="851"/>
      <c r="B800" s="852" t="s">
        <v>788</v>
      </c>
      <c r="C800" s="853"/>
      <c r="D800" s="859">
        <v>21.51</v>
      </c>
      <c r="E800" s="855" t="s">
        <v>399</v>
      </c>
      <c r="F800" s="856">
        <v>2.08</v>
      </c>
      <c r="G800" s="857">
        <f>D800*F800</f>
        <v>44.740800000000007</v>
      </c>
      <c r="H800" s="900" t="s">
        <v>745</v>
      </c>
    </row>
    <row r="801" spans="1:8" hidden="1" x14ac:dyDescent="0.3">
      <c r="A801" s="851"/>
      <c r="B801" s="852" t="s">
        <v>748</v>
      </c>
      <c r="C801" s="853"/>
      <c r="D801" s="859">
        <v>0.11</v>
      </c>
      <c r="E801" s="855" t="s">
        <v>34</v>
      </c>
      <c r="F801" s="856">
        <v>287.5</v>
      </c>
      <c r="G801" s="857">
        <f>D801*F801</f>
        <v>31.625</v>
      </c>
      <c r="H801" s="850"/>
    </row>
    <row r="802" spans="1:8" hidden="1" x14ac:dyDescent="0.3">
      <c r="A802" s="851"/>
      <c r="B802" s="852" t="s">
        <v>1015</v>
      </c>
      <c r="C802" s="853"/>
      <c r="D802" s="859">
        <v>0.25</v>
      </c>
      <c r="E802" s="855" t="s">
        <v>540</v>
      </c>
      <c r="F802" s="944">
        <v>25</v>
      </c>
      <c r="G802" s="857">
        <f>D802*F802</f>
        <v>6.25</v>
      </c>
      <c r="H802" s="850"/>
    </row>
    <row r="803" spans="1:8" hidden="1" x14ac:dyDescent="0.3">
      <c r="A803" s="851"/>
      <c r="B803" s="852" t="s">
        <v>835</v>
      </c>
      <c r="C803" s="853"/>
      <c r="D803" s="854">
        <v>6</v>
      </c>
      <c r="E803" s="855" t="s">
        <v>540</v>
      </c>
      <c r="F803" s="860">
        <v>1.44E-2</v>
      </c>
      <c r="G803" s="857">
        <f>D803*F803</f>
        <v>8.6400000000000005E-2</v>
      </c>
      <c r="H803" s="850"/>
    </row>
    <row r="804" spans="1:8" hidden="1" x14ac:dyDescent="0.3">
      <c r="A804" s="861"/>
      <c r="B804" s="862"/>
      <c r="C804" s="863" t="s">
        <v>1016</v>
      </c>
      <c r="D804" s="864">
        <v>1</v>
      </c>
      <c r="E804" s="865" t="s">
        <v>33</v>
      </c>
      <c r="F804" s="866" t="s">
        <v>6</v>
      </c>
      <c r="G804" s="911">
        <f>SUM(G800:G803)</f>
        <v>82.702200000000005</v>
      </c>
      <c r="H804" s="868" t="s">
        <v>752</v>
      </c>
    </row>
    <row r="805" spans="1:8" hidden="1" x14ac:dyDescent="0.3">
      <c r="A805" s="869">
        <v>11.4</v>
      </c>
      <c r="B805" s="935" t="s">
        <v>1368</v>
      </c>
      <c r="C805" s="853"/>
      <c r="D805" s="870"/>
      <c r="E805" s="870"/>
      <c r="F805" s="871"/>
      <c r="G805" s="872" t="s">
        <v>745</v>
      </c>
      <c r="H805" s="873"/>
    </row>
    <row r="806" spans="1:8" hidden="1" x14ac:dyDescent="0.3">
      <c r="A806" s="851"/>
      <c r="B806" s="852" t="s">
        <v>788</v>
      </c>
      <c r="C806" s="853"/>
      <c r="D806" s="859">
        <v>20.02</v>
      </c>
      <c r="E806" s="855" t="s">
        <v>399</v>
      </c>
      <c r="F806" s="856">
        <v>2.35514</v>
      </c>
      <c r="G806" s="857">
        <f t="shared" ref="G806:G811" si="17">D806*F806</f>
        <v>47.1499028</v>
      </c>
      <c r="H806" s="900" t="s">
        <v>745</v>
      </c>
    </row>
    <row r="807" spans="1:8" hidden="1" x14ac:dyDescent="0.3">
      <c r="A807" s="851"/>
      <c r="B807" s="852" t="s">
        <v>842</v>
      </c>
      <c r="C807" s="853"/>
      <c r="D807" s="859">
        <v>8.42</v>
      </c>
      <c r="E807" s="855" t="s">
        <v>399</v>
      </c>
      <c r="F807" s="856">
        <v>6</v>
      </c>
      <c r="G807" s="857">
        <f t="shared" si="17"/>
        <v>50.519999999999996</v>
      </c>
      <c r="H807" s="858" t="s">
        <v>745</v>
      </c>
    </row>
    <row r="808" spans="1:8" hidden="1" x14ac:dyDescent="0.3">
      <c r="A808" s="851"/>
      <c r="B808" s="852" t="s">
        <v>843</v>
      </c>
      <c r="C808" s="853"/>
      <c r="D808" s="859">
        <v>28.03</v>
      </c>
      <c r="E808" s="855" t="s">
        <v>399</v>
      </c>
      <c r="F808" s="856">
        <v>2.8</v>
      </c>
      <c r="G808" s="857">
        <f t="shared" si="17"/>
        <v>78.483999999999995</v>
      </c>
      <c r="H808" s="850"/>
    </row>
    <row r="809" spans="1:8" hidden="1" x14ac:dyDescent="0.3">
      <c r="A809" s="936"/>
      <c r="B809" s="852" t="s">
        <v>844</v>
      </c>
      <c r="C809" s="853"/>
      <c r="D809" s="859">
        <v>0.5</v>
      </c>
      <c r="E809" s="855" t="s">
        <v>399</v>
      </c>
      <c r="F809" s="948">
        <v>65</v>
      </c>
      <c r="G809" s="857">
        <f t="shared" si="17"/>
        <v>32.5</v>
      </c>
      <c r="H809" s="873"/>
    </row>
    <row r="810" spans="1:8" hidden="1" x14ac:dyDescent="0.3">
      <c r="A810" s="936"/>
      <c r="B810" s="852" t="s">
        <v>748</v>
      </c>
      <c r="C810" s="853"/>
      <c r="D810" s="859">
        <v>0.11</v>
      </c>
      <c r="E810" s="855" t="s">
        <v>34</v>
      </c>
      <c r="F810" s="856">
        <v>514.02</v>
      </c>
      <c r="G810" s="857">
        <f t="shared" si="17"/>
        <v>56.542200000000001</v>
      </c>
      <c r="H810" s="873"/>
    </row>
    <row r="811" spans="1:8" hidden="1" x14ac:dyDescent="0.3">
      <c r="A811" s="936"/>
      <c r="B811" s="852" t="s">
        <v>835</v>
      </c>
      <c r="C811" s="853"/>
      <c r="D811" s="854">
        <v>10</v>
      </c>
      <c r="E811" s="855" t="s">
        <v>540</v>
      </c>
      <c r="F811" s="860"/>
      <c r="G811" s="857">
        <f t="shared" si="17"/>
        <v>0</v>
      </c>
      <c r="H811" s="873"/>
    </row>
    <row r="812" spans="1:8" hidden="1" x14ac:dyDescent="0.3">
      <c r="A812" s="861"/>
      <c r="B812" s="949"/>
      <c r="C812" s="863" t="s">
        <v>1017</v>
      </c>
      <c r="D812" s="864">
        <v>1</v>
      </c>
      <c r="E812" s="865" t="s">
        <v>33</v>
      </c>
      <c r="F812" s="866" t="s">
        <v>6</v>
      </c>
      <c r="G812" s="911">
        <f>SUM(G806:G811)</f>
        <v>265.19610279999995</v>
      </c>
      <c r="H812" s="868" t="s">
        <v>752</v>
      </c>
    </row>
    <row r="813" spans="1:8" hidden="1" x14ac:dyDescent="0.3">
      <c r="A813" s="869">
        <v>11.5</v>
      </c>
      <c r="B813" s="935" t="s">
        <v>1369</v>
      </c>
      <c r="C813" s="853"/>
      <c r="D813" s="870"/>
      <c r="E813" s="870"/>
      <c r="F813" s="871"/>
      <c r="G813" s="872" t="s">
        <v>745</v>
      </c>
      <c r="H813" s="873"/>
    </row>
    <row r="814" spans="1:8" hidden="1" x14ac:dyDescent="0.3">
      <c r="A814" s="851"/>
      <c r="B814" s="852" t="s">
        <v>788</v>
      </c>
      <c r="C814" s="853"/>
      <c r="D814" s="859">
        <v>20.02</v>
      </c>
      <c r="E814" s="855" t="s">
        <v>399</v>
      </c>
      <c r="F814" s="856">
        <v>2.08</v>
      </c>
      <c r="G814" s="857">
        <f t="shared" ref="G814:G819" si="18">D814*F814</f>
        <v>41.641600000000004</v>
      </c>
      <c r="H814" s="900" t="s">
        <v>745</v>
      </c>
    </row>
    <row r="815" spans="1:8" hidden="1" x14ac:dyDescent="0.3">
      <c r="A815" s="851"/>
      <c r="B815" s="852" t="s">
        <v>842</v>
      </c>
      <c r="C815" s="853"/>
      <c r="D815" s="859">
        <v>8.42</v>
      </c>
      <c r="E815" s="855" t="s">
        <v>399</v>
      </c>
      <c r="F815" s="856">
        <v>5.47</v>
      </c>
      <c r="G815" s="857">
        <f t="shared" si="18"/>
        <v>46.057399999999994</v>
      </c>
      <c r="H815" s="858" t="s">
        <v>745</v>
      </c>
    </row>
    <row r="816" spans="1:8" hidden="1" x14ac:dyDescent="0.3">
      <c r="A816" s="851"/>
      <c r="B816" s="852" t="s">
        <v>846</v>
      </c>
      <c r="C816" s="853"/>
      <c r="D816" s="859">
        <v>22</v>
      </c>
      <c r="E816" s="855" t="s">
        <v>399</v>
      </c>
      <c r="F816" s="856">
        <v>2.2000000000000002</v>
      </c>
      <c r="G816" s="857">
        <f t="shared" si="18"/>
        <v>48.400000000000006</v>
      </c>
      <c r="H816" s="850"/>
    </row>
    <row r="817" spans="1:8" hidden="1" x14ac:dyDescent="0.3">
      <c r="A817" s="936"/>
      <c r="B817" s="852" t="s">
        <v>844</v>
      </c>
      <c r="C817" s="853"/>
      <c r="D817" s="859">
        <v>0.5</v>
      </c>
      <c r="E817" s="855" t="s">
        <v>399</v>
      </c>
      <c r="F817" s="948">
        <v>65</v>
      </c>
      <c r="G817" s="857">
        <f t="shared" si="18"/>
        <v>32.5</v>
      </c>
      <c r="H817" s="873"/>
    </row>
    <row r="818" spans="1:8" hidden="1" x14ac:dyDescent="0.3">
      <c r="A818" s="936"/>
      <c r="B818" s="852" t="s">
        <v>748</v>
      </c>
      <c r="C818" s="853"/>
      <c r="D818" s="859">
        <v>0.11</v>
      </c>
      <c r="E818" s="855" t="s">
        <v>34</v>
      </c>
      <c r="F818" s="856">
        <v>287.5</v>
      </c>
      <c r="G818" s="857">
        <f t="shared" si="18"/>
        <v>31.625</v>
      </c>
      <c r="H818" s="873"/>
    </row>
    <row r="819" spans="1:8" hidden="1" x14ac:dyDescent="0.3">
      <c r="A819" s="936"/>
      <c r="B819" s="852" t="s">
        <v>835</v>
      </c>
      <c r="C819" s="853"/>
      <c r="D819" s="854">
        <v>10</v>
      </c>
      <c r="E819" s="855" t="s">
        <v>540</v>
      </c>
      <c r="F819" s="860">
        <v>1.44E-2</v>
      </c>
      <c r="G819" s="857">
        <f t="shared" si="18"/>
        <v>0.14399999999999999</v>
      </c>
      <c r="H819" s="873"/>
    </row>
    <row r="820" spans="1:8" ht="19.5" hidden="1" thickBot="1" x14ac:dyDescent="0.35">
      <c r="A820" s="879"/>
      <c r="B820" s="946"/>
      <c r="C820" s="881" t="s">
        <v>1018</v>
      </c>
      <c r="D820" s="882">
        <v>1</v>
      </c>
      <c r="E820" s="915" t="s">
        <v>33</v>
      </c>
      <c r="F820" s="916" t="s">
        <v>6</v>
      </c>
      <c r="G820" s="917">
        <f>SUM(G814:G819)</f>
        <v>200.36799999999999</v>
      </c>
      <c r="H820" s="941" t="s">
        <v>752</v>
      </c>
    </row>
    <row r="821" spans="1:8" hidden="1" x14ac:dyDescent="0.3">
      <c r="D821" s="886"/>
      <c r="E821" s="918"/>
      <c r="F821" s="919"/>
      <c r="G821" s="888" t="str">
        <f>$G$37</f>
        <v xml:space="preserve"> เมษายน 2549</v>
      </c>
      <c r="H821" s="888"/>
    </row>
    <row r="822" spans="1:8" ht="19.5" hidden="1" x14ac:dyDescent="0.3">
      <c r="A822" s="820" t="s">
        <v>1019</v>
      </c>
      <c r="B822" s="820"/>
      <c r="C822" s="820"/>
      <c r="D822" s="820"/>
      <c r="E822" s="820"/>
      <c r="F822" s="820"/>
      <c r="G822" s="820"/>
      <c r="H822" s="820"/>
    </row>
    <row r="823" spans="1:8" ht="20.25" hidden="1" thickBot="1" x14ac:dyDescent="0.35">
      <c r="A823" s="889" t="s">
        <v>758</v>
      </c>
      <c r="B823" s="889"/>
      <c r="C823" s="889"/>
      <c r="D823" s="889"/>
      <c r="E823" s="889"/>
      <c r="F823" s="889"/>
      <c r="G823" s="889"/>
      <c r="H823" s="889"/>
    </row>
    <row r="824" spans="1:8" hidden="1" x14ac:dyDescent="0.3">
      <c r="A824" s="823" t="s">
        <v>424</v>
      </c>
      <c r="B824" s="824" t="s">
        <v>1</v>
      </c>
      <c r="C824" s="825"/>
      <c r="D824" s="826" t="s">
        <v>24</v>
      </c>
      <c r="E824" s="826" t="s">
        <v>25</v>
      </c>
      <c r="F824" s="827" t="s">
        <v>390</v>
      </c>
      <c r="G824" s="828" t="s">
        <v>743</v>
      </c>
      <c r="H824" s="829" t="s">
        <v>20</v>
      </c>
    </row>
    <row r="825" spans="1:8" hidden="1" x14ac:dyDescent="0.3">
      <c r="A825" s="830"/>
      <c r="B825" s="831"/>
      <c r="C825" s="832"/>
      <c r="D825" s="833"/>
      <c r="E825" s="833"/>
      <c r="F825" s="834" t="s">
        <v>31</v>
      </c>
      <c r="G825" s="835" t="s">
        <v>31</v>
      </c>
      <c r="H825" s="836"/>
    </row>
    <row r="826" spans="1:8" hidden="1" x14ac:dyDescent="0.3">
      <c r="A826" s="869">
        <v>11.6</v>
      </c>
      <c r="B826" s="935" t="s">
        <v>1370</v>
      </c>
      <c r="C826" s="853"/>
      <c r="D826" s="870"/>
      <c r="E826" s="870"/>
      <c r="F826" s="871"/>
      <c r="G826" s="872" t="s">
        <v>745</v>
      </c>
      <c r="H826" s="873"/>
    </row>
    <row r="827" spans="1:8" hidden="1" x14ac:dyDescent="0.3">
      <c r="A827" s="851"/>
      <c r="B827" s="852" t="s">
        <v>788</v>
      </c>
      <c r="C827" s="853"/>
      <c r="D827" s="859">
        <v>20.02</v>
      </c>
      <c r="E827" s="855" t="s">
        <v>399</v>
      </c>
      <c r="F827" s="856">
        <v>2.33</v>
      </c>
      <c r="G827" s="857">
        <f t="shared" ref="G827:G833" si="19">D827*F827</f>
        <v>46.646599999999999</v>
      </c>
      <c r="H827" s="900" t="s">
        <v>745</v>
      </c>
    </row>
    <row r="828" spans="1:8" hidden="1" x14ac:dyDescent="0.3">
      <c r="A828" s="851"/>
      <c r="B828" s="852" t="s">
        <v>842</v>
      </c>
      <c r="C828" s="853"/>
      <c r="D828" s="859">
        <v>8.42</v>
      </c>
      <c r="E828" s="855" t="s">
        <v>399</v>
      </c>
      <c r="F828" s="856">
        <v>5.47</v>
      </c>
      <c r="G828" s="857">
        <f t="shared" si="19"/>
        <v>46.057399999999994</v>
      </c>
      <c r="H828" s="858" t="s">
        <v>745</v>
      </c>
    </row>
    <row r="829" spans="1:8" hidden="1" x14ac:dyDescent="0.3">
      <c r="A829" s="851"/>
      <c r="B829" s="852" t="s">
        <v>1020</v>
      </c>
      <c r="C829" s="853"/>
      <c r="D829" s="859">
        <v>25.96</v>
      </c>
      <c r="E829" s="855" t="s">
        <v>399</v>
      </c>
      <c r="F829" s="856">
        <v>2.8</v>
      </c>
      <c r="G829" s="857">
        <f t="shared" si="19"/>
        <v>72.688000000000002</v>
      </c>
      <c r="H829" s="850"/>
    </row>
    <row r="830" spans="1:8" hidden="1" x14ac:dyDescent="0.3">
      <c r="A830" s="936"/>
      <c r="B830" s="852" t="s">
        <v>844</v>
      </c>
      <c r="C830" s="853"/>
      <c r="D830" s="859">
        <v>0.5</v>
      </c>
      <c r="E830" s="855" t="s">
        <v>399</v>
      </c>
      <c r="F830" s="948">
        <v>65</v>
      </c>
      <c r="G830" s="857">
        <f t="shared" si="19"/>
        <v>32.5</v>
      </c>
      <c r="H830" s="873"/>
    </row>
    <row r="831" spans="1:8" hidden="1" x14ac:dyDescent="0.3">
      <c r="A831" s="936"/>
      <c r="B831" s="852" t="s">
        <v>748</v>
      </c>
      <c r="C831" s="853"/>
      <c r="D831" s="859">
        <v>0.11</v>
      </c>
      <c r="E831" s="855" t="s">
        <v>34</v>
      </c>
      <c r="F831" s="856">
        <v>487.54</v>
      </c>
      <c r="G831" s="857">
        <f t="shared" si="19"/>
        <v>53.629400000000004</v>
      </c>
      <c r="H831" s="873"/>
    </row>
    <row r="832" spans="1:8" hidden="1" x14ac:dyDescent="0.3">
      <c r="A832" s="936"/>
      <c r="B832" s="852" t="s">
        <v>835</v>
      </c>
      <c r="C832" s="853"/>
      <c r="D832" s="854">
        <v>10</v>
      </c>
      <c r="E832" s="855" t="s">
        <v>540</v>
      </c>
      <c r="F832" s="860"/>
      <c r="G832" s="857">
        <f t="shared" si="19"/>
        <v>0</v>
      </c>
      <c r="H832" s="873"/>
    </row>
    <row r="833" spans="1:8" hidden="1" x14ac:dyDescent="0.3">
      <c r="A833" s="851"/>
      <c r="B833" s="852" t="s">
        <v>852</v>
      </c>
      <c r="C833" s="853"/>
      <c r="D833" s="859">
        <v>0.02</v>
      </c>
      <c r="E833" s="855" t="s">
        <v>399</v>
      </c>
      <c r="F833" s="856"/>
      <c r="G833" s="857">
        <f t="shared" si="19"/>
        <v>0</v>
      </c>
      <c r="H833" s="850"/>
    </row>
    <row r="834" spans="1:8" hidden="1" x14ac:dyDescent="0.3">
      <c r="A834" s="861"/>
      <c r="B834" s="949"/>
      <c r="C834" s="863" t="s">
        <v>1021</v>
      </c>
      <c r="D834" s="864">
        <v>1</v>
      </c>
      <c r="E834" s="865" t="s">
        <v>33</v>
      </c>
      <c r="F834" s="866" t="s">
        <v>6</v>
      </c>
      <c r="G834" s="911">
        <f>SUM(G827:G833)</f>
        <v>251.5214</v>
      </c>
      <c r="H834" s="868" t="s">
        <v>752</v>
      </c>
    </row>
    <row r="835" spans="1:8" hidden="1" x14ac:dyDescent="0.3">
      <c r="A835" s="869">
        <v>11.7</v>
      </c>
      <c r="B835" s="935" t="s">
        <v>1371</v>
      </c>
      <c r="C835" s="853"/>
      <c r="D835" s="870"/>
      <c r="E835" s="870"/>
      <c r="F835" s="871"/>
      <c r="G835" s="872" t="s">
        <v>745</v>
      </c>
      <c r="H835" s="873"/>
    </row>
    <row r="836" spans="1:8" hidden="1" x14ac:dyDescent="0.3">
      <c r="A836" s="851"/>
      <c r="B836" s="852" t="s">
        <v>788</v>
      </c>
      <c r="C836" s="853"/>
      <c r="D836" s="859">
        <v>20.02</v>
      </c>
      <c r="E836" s="855" t="s">
        <v>399</v>
      </c>
      <c r="F836" s="856">
        <v>2.08</v>
      </c>
      <c r="G836" s="857">
        <f t="shared" ref="G836:G843" si="20">D836*F836</f>
        <v>41.641600000000004</v>
      </c>
      <c r="H836" s="900" t="s">
        <v>745</v>
      </c>
    </row>
    <row r="837" spans="1:8" hidden="1" x14ac:dyDescent="0.3">
      <c r="A837" s="851"/>
      <c r="B837" s="852" t="s">
        <v>842</v>
      </c>
      <c r="C837" s="853"/>
      <c r="D837" s="859">
        <v>8.42</v>
      </c>
      <c r="E837" s="855" t="s">
        <v>399</v>
      </c>
      <c r="F837" s="856">
        <v>5.47</v>
      </c>
      <c r="G837" s="857">
        <f t="shared" si="20"/>
        <v>46.057399999999994</v>
      </c>
      <c r="H837" s="858" t="s">
        <v>745</v>
      </c>
    </row>
    <row r="838" spans="1:8" hidden="1" x14ac:dyDescent="0.3">
      <c r="A838" s="851"/>
      <c r="B838" s="852" t="s">
        <v>1022</v>
      </c>
      <c r="C838" s="853"/>
      <c r="D838" s="859">
        <v>25.96</v>
      </c>
      <c r="E838" s="855" t="s">
        <v>399</v>
      </c>
      <c r="F838" s="856">
        <v>2.8</v>
      </c>
      <c r="G838" s="857">
        <f t="shared" si="20"/>
        <v>72.688000000000002</v>
      </c>
      <c r="H838" s="850"/>
    </row>
    <row r="839" spans="1:8" hidden="1" x14ac:dyDescent="0.3">
      <c r="A839" s="936"/>
      <c r="B839" s="852" t="s">
        <v>844</v>
      </c>
      <c r="C839" s="853"/>
      <c r="D839" s="859">
        <v>0.5</v>
      </c>
      <c r="E839" s="855" t="s">
        <v>399</v>
      </c>
      <c r="F839" s="948">
        <v>65</v>
      </c>
      <c r="G839" s="857">
        <f t="shared" si="20"/>
        <v>32.5</v>
      </c>
      <c r="H839" s="873"/>
    </row>
    <row r="840" spans="1:8" hidden="1" x14ac:dyDescent="0.3">
      <c r="A840" s="936"/>
      <c r="B840" s="852" t="s">
        <v>748</v>
      </c>
      <c r="C840" s="853"/>
      <c r="D840" s="859">
        <v>0.11</v>
      </c>
      <c r="E840" s="855" t="s">
        <v>34</v>
      </c>
      <c r="F840" s="856">
        <v>287.5</v>
      </c>
      <c r="G840" s="857">
        <f t="shared" si="20"/>
        <v>31.625</v>
      </c>
      <c r="H840" s="873"/>
    </row>
    <row r="841" spans="1:8" hidden="1" x14ac:dyDescent="0.3">
      <c r="A841" s="936"/>
      <c r="B841" s="852" t="s">
        <v>835</v>
      </c>
      <c r="C841" s="853"/>
      <c r="D841" s="854">
        <v>10</v>
      </c>
      <c r="E841" s="855" t="s">
        <v>540</v>
      </c>
      <c r="F841" s="860">
        <v>1.44E-2</v>
      </c>
      <c r="G841" s="857">
        <f>D841*F841</f>
        <v>0.14399999999999999</v>
      </c>
      <c r="H841" s="873"/>
    </row>
    <row r="842" spans="1:8" hidden="1" x14ac:dyDescent="0.3">
      <c r="A842" s="936"/>
      <c r="B842" s="852" t="s">
        <v>1023</v>
      </c>
      <c r="C842" s="853"/>
      <c r="D842" s="859">
        <v>1.5</v>
      </c>
      <c r="E842" s="855" t="s">
        <v>53</v>
      </c>
      <c r="F842" s="965">
        <v>20</v>
      </c>
      <c r="G842" s="857">
        <f t="shared" si="20"/>
        <v>30</v>
      </c>
      <c r="H842" s="873"/>
    </row>
    <row r="843" spans="1:8" hidden="1" x14ac:dyDescent="0.3">
      <c r="A843" s="851"/>
      <c r="B843" s="852" t="s">
        <v>852</v>
      </c>
      <c r="C843" s="853"/>
      <c r="D843" s="859">
        <v>0.02</v>
      </c>
      <c r="E843" s="855" t="s">
        <v>399</v>
      </c>
      <c r="F843" s="856">
        <v>150</v>
      </c>
      <c r="G843" s="857">
        <f t="shared" si="20"/>
        <v>3</v>
      </c>
      <c r="H843" s="850"/>
    </row>
    <row r="844" spans="1:8" hidden="1" x14ac:dyDescent="0.3">
      <c r="A844" s="861"/>
      <c r="B844" s="949"/>
      <c r="C844" s="984" t="s">
        <v>1024</v>
      </c>
      <c r="D844" s="864">
        <v>1</v>
      </c>
      <c r="E844" s="865" t="s">
        <v>33</v>
      </c>
      <c r="F844" s="866" t="s">
        <v>6</v>
      </c>
      <c r="G844" s="911">
        <f>SUM(G836:G843)</f>
        <v>257.65600000000001</v>
      </c>
      <c r="H844" s="868" t="s">
        <v>752</v>
      </c>
    </row>
    <row r="845" spans="1:8" hidden="1" x14ac:dyDescent="0.3">
      <c r="A845" s="869">
        <v>11.8</v>
      </c>
      <c r="B845" s="846" t="s">
        <v>1025</v>
      </c>
      <c r="C845" s="852"/>
      <c r="D845" s="847"/>
      <c r="E845" s="847"/>
      <c r="F845" s="848"/>
      <c r="G845" s="849" t="s">
        <v>745</v>
      </c>
      <c r="H845" s="850"/>
    </row>
    <row r="846" spans="1:8" hidden="1" x14ac:dyDescent="0.3">
      <c r="A846" s="851"/>
      <c r="B846" s="852" t="s">
        <v>1026</v>
      </c>
      <c r="C846" s="853"/>
      <c r="D846" s="854">
        <v>105</v>
      </c>
      <c r="E846" s="855" t="s">
        <v>850</v>
      </c>
      <c r="F846" s="856">
        <v>1.5</v>
      </c>
      <c r="G846" s="857">
        <f t="shared" ref="G846:G851" si="21">D846*F846</f>
        <v>157.5</v>
      </c>
      <c r="H846" s="850"/>
    </row>
    <row r="847" spans="1:8" hidden="1" x14ac:dyDescent="0.3">
      <c r="A847" s="851"/>
      <c r="B847" s="852" t="s">
        <v>788</v>
      </c>
      <c r="C847" s="853"/>
      <c r="D847" s="859">
        <v>21.51</v>
      </c>
      <c r="E847" s="855" t="s">
        <v>399</v>
      </c>
      <c r="F847" s="856">
        <v>2.08</v>
      </c>
      <c r="G847" s="857">
        <f t="shared" si="21"/>
        <v>44.740800000000007</v>
      </c>
      <c r="H847" s="900" t="s">
        <v>745</v>
      </c>
    </row>
    <row r="848" spans="1:8" hidden="1" x14ac:dyDescent="0.3">
      <c r="A848" s="851"/>
      <c r="B848" s="852" t="s">
        <v>851</v>
      </c>
      <c r="C848" s="853"/>
      <c r="D848" s="859">
        <v>0.25</v>
      </c>
      <c r="E848" s="855" t="s">
        <v>399</v>
      </c>
      <c r="F848" s="856">
        <v>5.47</v>
      </c>
      <c r="G848" s="857">
        <f t="shared" si="21"/>
        <v>1.3674999999999999</v>
      </c>
      <c r="H848" s="850"/>
    </row>
    <row r="849" spans="1:8" hidden="1" x14ac:dyDescent="0.3">
      <c r="A849" s="851"/>
      <c r="B849" s="852" t="s">
        <v>748</v>
      </c>
      <c r="C849" s="853"/>
      <c r="D849" s="859">
        <v>0.11</v>
      </c>
      <c r="E849" s="855" t="s">
        <v>34</v>
      </c>
      <c r="F849" s="856">
        <v>287.5</v>
      </c>
      <c r="G849" s="857">
        <f t="shared" si="21"/>
        <v>31.625</v>
      </c>
      <c r="H849" s="850"/>
    </row>
    <row r="850" spans="1:8" hidden="1" x14ac:dyDescent="0.3">
      <c r="A850" s="851"/>
      <c r="B850" s="852" t="s">
        <v>835</v>
      </c>
      <c r="C850" s="853"/>
      <c r="D850" s="854">
        <v>10</v>
      </c>
      <c r="E850" s="855" t="s">
        <v>540</v>
      </c>
      <c r="F850" s="860">
        <v>1.44E-2</v>
      </c>
      <c r="G850" s="857">
        <f t="shared" si="21"/>
        <v>0.14399999999999999</v>
      </c>
      <c r="H850" s="850"/>
    </row>
    <row r="851" spans="1:8" hidden="1" x14ac:dyDescent="0.3">
      <c r="A851" s="851"/>
      <c r="B851" s="852" t="s">
        <v>852</v>
      </c>
      <c r="C851" s="853"/>
      <c r="D851" s="859">
        <v>0.02</v>
      </c>
      <c r="E851" s="855" t="s">
        <v>399</v>
      </c>
      <c r="F851" s="856">
        <v>150</v>
      </c>
      <c r="G851" s="857">
        <f t="shared" si="21"/>
        <v>3</v>
      </c>
      <c r="H851" s="850"/>
    </row>
    <row r="852" spans="1:8" hidden="1" x14ac:dyDescent="0.3">
      <c r="A852" s="950"/>
      <c r="B852" s="951"/>
      <c r="C852" s="952" t="s">
        <v>1027</v>
      </c>
      <c r="D852" s="953">
        <v>1</v>
      </c>
      <c r="E852" s="954" t="s">
        <v>33</v>
      </c>
      <c r="F852" s="955" t="s">
        <v>6</v>
      </c>
      <c r="G852" s="956">
        <f>SUM(G846:G851)</f>
        <v>238.37730000000002</v>
      </c>
      <c r="H852" s="957" t="s">
        <v>752</v>
      </c>
    </row>
    <row r="853" spans="1:8" hidden="1" x14ac:dyDescent="0.3">
      <c r="A853" s="869">
        <v>11.9</v>
      </c>
      <c r="B853" s="846" t="s">
        <v>1028</v>
      </c>
      <c r="C853" s="852"/>
      <c r="D853" s="847"/>
      <c r="E853" s="847"/>
      <c r="F853" s="848"/>
      <c r="G853" s="849" t="s">
        <v>745</v>
      </c>
      <c r="H853" s="850"/>
    </row>
    <row r="854" spans="1:8" hidden="1" x14ac:dyDescent="0.3">
      <c r="A854" s="851"/>
      <c r="B854" s="852" t="s">
        <v>1029</v>
      </c>
      <c r="C854" s="853"/>
      <c r="D854" s="854">
        <v>105</v>
      </c>
      <c r="E854" s="855" t="s">
        <v>850</v>
      </c>
      <c r="F854" s="856">
        <v>1.8</v>
      </c>
      <c r="G854" s="857">
        <f t="shared" ref="G854:G859" si="22">D854*F854</f>
        <v>189</v>
      </c>
      <c r="H854" s="850"/>
    </row>
    <row r="855" spans="1:8" hidden="1" x14ac:dyDescent="0.3">
      <c r="A855" s="851"/>
      <c r="B855" s="852" t="s">
        <v>788</v>
      </c>
      <c r="C855" s="853"/>
      <c r="D855" s="859">
        <v>21.51</v>
      </c>
      <c r="E855" s="855" t="s">
        <v>399</v>
      </c>
      <c r="F855" s="856">
        <v>2.08</v>
      </c>
      <c r="G855" s="857">
        <f t="shared" si="22"/>
        <v>44.740800000000007</v>
      </c>
      <c r="H855" s="900" t="s">
        <v>745</v>
      </c>
    </row>
    <row r="856" spans="1:8" hidden="1" x14ac:dyDescent="0.3">
      <c r="A856" s="851"/>
      <c r="B856" s="852" t="s">
        <v>851</v>
      </c>
      <c r="C856" s="853"/>
      <c r="D856" s="859">
        <v>0.25</v>
      </c>
      <c r="E856" s="855" t="s">
        <v>399</v>
      </c>
      <c r="F856" s="856">
        <v>5.47</v>
      </c>
      <c r="G856" s="857">
        <f t="shared" si="22"/>
        <v>1.3674999999999999</v>
      </c>
      <c r="H856" s="850"/>
    </row>
    <row r="857" spans="1:8" hidden="1" x14ac:dyDescent="0.3">
      <c r="A857" s="851"/>
      <c r="B857" s="852" t="s">
        <v>748</v>
      </c>
      <c r="C857" s="853"/>
      <c r="D857" s="859">
        <v>0.11</v>
      </c>
      <c r="E857" s="855" t="s">
        <v>34</v>
      </c>
      <c r="F857" s="856">
        <v>287.5</v>
      </c>
      <c r="G857" s="857">
        <f t="shared" si="22"/>
        <v>31.625</v>
      </c>
      <c r="H857" s="850"/>
    </row>
    <row r="858" spans="1:8" hidden="1" x14ac:dyDescent="0.3">
      <c r="A858" s="851"/>
      <c r="B858" s="852" t="s">
        <v>835</v>
      </c>
      <c r="C858" s="853"/>
      <c r="D858" s="854">
        <v>10</v>
      </c>
      <c r="E858" s="855" t="s">
        <v>540</v>
      </c>
      <c r="F858" s="860">
        <v>1.44E-2</v>
      </c>
      <c r="G858" s="857">
        <f t="shared" si="22"/>
        <v>0.14399999999999999</v>
      </c>
      <c r="H858" s="850"/>
    </row>
    <row r="859" spans="1:8" hidden="1" x14ac:dyDescent="0.3">
      <c r="A859" s="851"/>
      <c r="B859" s="852" t="s">
        <v>852</v>
      </c>
      <c r="C859" s="853"/>
      <c r="D859" s="859">
        <v>0.02</v>
      </c>
      <c r="E859" s="855" t="s">
        <v>399</v>
      </c>
      <c r="F859" s="856">
        <v>150</v>
      </c>
      <c r="G859" s="857">
        <f t="shared" si="22"/>
        <v>3</v>
      </c>
      <c r="H859" s="850"/>
    </row>
    <row r="860" spans="1:8" ht="19.5" hidden="1" thickBot="1" x14ac:dyDescent="0.35">
      <c r="A860" s="879"/>
      <c r="B860" s="880"/>
      <c r="C860" s="881" t="s">
        <v>1030</v>
      </c>
      <c r="D860" s="882">
        <v>1</v>
      </c>
      <c r="E860" s="915" t="s">
        <v>33</v>
      </c>
      <c r="F860" s="916" t="s">
        <v>6</v>
      </c>
      <c r="G860" s="917">
        <f>SUM(G854:G859)</f>
        <v>269.87729999999999</v>
      </c>
      <c r="H860" s="941" t="s">
        <v>752</v>
      </c>
    </row>
    <row r="861" spans="1:8" hidden="1" x14ac:dyDescent="0.3">
      <c r="D861" s="886"/>
      <c r="E861" s="918"/>
      <c r="F861" s="919"/>
      <c r="G861" s="888" t="str">
        <f>$G$37</f>
        <v xml:space="preserve"> เมษายน 2549</v>
      </c>
      <c r="H861" s="888"/>
    </row>
    <row r="862" spans="1:8" ht="19.5" hidden="1" x14ac:dyDescent="0.3">
      <c r="A862" s="820" t="s">
        <v>1031</v>
      </c>
      <c r="B862" s="820"/>
      <c r="C862" s="820"/>
      <c r="D862" s="820"/>
      <c r="E862" s="820"/>
      <c r="F862" s="820"/>
      <c r="G862" s="820"/>
      <c r="H862" s="820"/>
    </row>
    <row r="863" spans="1:8" ht="20.25" hidden="1" thickBot="1" x14ac:dyDescent="0.35">
      <c r="A863" s="889" t="s">
        <v>758</v>
      </c>
      <c r="B863" s="889"/>
      <c r="C863" s="889"/>
      <c r="D863" s="889"/>
      <c r="E863" s="889"/>
      <c r="F863" s="889"/>
      <c r="G863" s="889"/>
      <c r="H863" s="889"/>
    </row>
    <row r="864" spans="1:8" hidden="1" x14ac:dyDescent="0.3">
      <c r="A864" s="823" t="s">
        <v>424</v>
      </c>
      <c r="B864" s="824" t="s">
        <v>1</v>
      </c>
      <c r="C864" s="825"/>
      <c r="D864" s="826" t="s">
        <v>24</v>
      </c>
      <c r="E864" s="826" t="s">
        <v>25</v>
      </c>
      <c r="F864" s="827" t="s">
        <v>390</v>
      </c>
      <c r="G864" s="828" t="s">
        <v>743</v>
      </c>
      <c r="H864" s="829" t="s">
        <v>20</v>
      </c>
    </row>
    <row r="865" spans="1:8" hidden="1" x14ac:dyDescent="0.3">
      <c r="A865" s="830"/>
      <c r="B865" s="831"/>
      <c r="C865" s="832"/>
      <c r="D865" s="833"/>
      <c r="E865" s="833"/>
      <c r="F865" s="834" t="s">
        <v>31</v>
      </c>
      <c r="G865" s="835" t="s">
        <v>31</v>
      </c>
      <c r="H865" s="836"/>
    </row>
    <row r="866" spans="1:8" hidden="1" x14ac:dyDescent="0.3">
      <c r="A866" s="958">
        <v>11.1</v>
      </c>
      <c r="B866" s="846" t="s">
        <v>1032</v>
      </c>
      <c r="C866" s="852"/>
      <c r="D866" s="847"/>
      <c r="E866" s="847"/>
      <c r="F866" s="848"/>
      <c r="G866" s="849" t="s">
        <v>745</v>
      </c>
      <c r="H866" s="850"/>
    </row>
    <row r="867" spans="1:8" hidden="1" x14ac:dyDescent="0.3">
      <c r="A867" s="851"/>
      <c r="B867" s="852" t="s">
        <v>859</v>
      </c>
      <c r="C867" s="853"/>
      <c r="D867" s="854">
        <v>28</v>
      </c>
      <c r="E867" s="855" t="s">
        <v>850</v>
      </c>
      <c r="F867" s="856">
        <v>5</v>
      </c>
      <c r="G867" s="857">
        <f t="shared" ref="G867:G872" si="23">D867*F867</f>
        <v>140</v>
      </c>
      <c r="H867" s="850"/>
    </row>
    <row r="868" spans="1:8" hidden="1" x14ac:dyDescent="0.3">
      <c r="A868" s="851"/>
      <c r="B868" s="852" t="s">
        <v>788</v>
      </c>
      <c r="C868" s="853"/>
      <c r="D868" s="859">
        <v>21.51</v>
      </c>
      <c r="E868" s="855" t="s">
        <v>399</v>
      </c>
      <c r="F868" s="856">
        <v>2.08</v>
      </c>
      <c r="G868" s="857">
        <f t="shared" si="23"/>
        <v>44.740800000000007</v>
      </c>
      <c r="H868" s="900" t="s">
        <v>745</v>
      </c>
    </row>
    <row r="869" spans="1:8" hidden="1" x14ac:dyDescent="0.3">
      <c r="A869" s="851"/>
      <c r="B869" s="852" t="s">
        <v>851</v>
      </c>
      <c r="C869" s="853"/>
      <c r="D869" s="859">
        <v>0.25</v>
      </c>
      <c r="E869" s="855" t="s">
        <v>399</v>
      </c>
      <c r="F869" s="856">
        <v>5.47</v>
      </c>
      <c r="G869" s="857">
        <f t="shared" si="23"/>
        <v>1.3674999999999999</v>
      </c>
      <c r="H869" s="850"/>
    </row>
    <row r="870" spans="1:8" hidden="1" x14ac:dyDescent="0.3">
      <c r="A870" s="851"/>
      <c r="B870" s="852" t="s">
        <v>748</v>
      </c>
      <c r="C870" s="853"/>
      <c r="D870" s="859">
        <v>0.11</v>
      </c>
      <c r="E870" s="855" t="s">
        <v>34</v>
      </c>
      <c r="F870" s="856">
        <v>287.5</v>
      </c>
      <c r="G870" s="857">
        <f t="shared" si="23"/>
        <v>31.625</v>
      </c>
      <c r="H870" s="850"/>
    </row>
    <row r="871" spans="1:8" hidden="1" x14ac:dyDescent="0.3">
      <c r="A871" s="851"/>
      <c r="B871" s="852" t="s">
        <v>835</v>
      </c>
      <c r="C871" s="853"/>
      <c r="D871" s="854">
        <v>10</v>
      </c>
      <c r="E871" s="855" t="s">
        <v>540</v>
      </c>
      <c r="F871" s="860">
        <v>1.44E-2</v>
      </c>
      <c r="G871" s="857">
        <f t="shared" si="23"/>
        <v>0.14399999999999999</v>
      </c>
      <c r="H871" s="850"/>
    </row>
    <row r="872" spans="1:8" hidden="1" x14ac:dyDescent="0.3">
      <c r="A872" s="851"/>
      <c r="B872" s="852" t="s">
        <v>852</v>
      </c>
      <c r="C872" s="853"/>
      <c r="D872" s="859">
        <v>0.02</v>
      </c>
      <c r="E872" s="855" t="s">
        <v>399</v>
      </c>
      <c r="F872" s="856">
        <v>150</v>
      </c>
      <c r="G872" s="857">
        <f t="shared" si="23"/>
        <v>3</v>
      </c>
      <c r="H872" s="850"/>
    </row>
    <row r="873" spans="1:8" hidden="1" x14ac:dyDescent="0.3">
      <c r="A873" s="950"/>
      <c r="B873" s="951"/>
      <c r="C873" s="952" t="s">
        <v>1033</v>
      </c>
      <c r="D873" s="953">
        <v>1</v>
      </c>
      <c r="E873" s="954" t="s">
        <v>33</v>
      </c>
      <c r="F873" s="955" t="s">
        <v>6</v>
      </c>
      <c r="G873" s="956">
        <f>SUM(G867:G872)</f>
        <v>220.87730000000002</v>
      </c>
      <c r="H873" s="957" t="s">
        <v>752</v>
      </c>
    </row>
    <row r="874" spans="1:8" hidden="1" x14ac:dyDescent="0.3">
      <c r="A874" s="869">
        <v>11.11</v>
      </c>
      <c r="B874" s="846" t="s">
        <v>1034</v>
      </c>
      <c r="C874" s="852"/>
      <c r="D874" s="847"/>
      <c r="E874" s="847"/>
      <c r="F874" s="848"/>
      <c r="G874" s="849" t="s">
        <v>745</v>
      </c>
      <c r="H874" s="850"/>
    </row>
    <row r="875" spans="1:8" hidden="1" x14ac:dyDescent="0.3">
      <c r="A875" s="851"/>
      <c r="B875" s="852" t="s">
        <v>863</v>
      </c>
      <c r="C875" s="853"/>
      <c r="D875" s="854">
        <v>28</v>
      </c>
      <c r="E875" s="855" t="s">
        <v>850</v>
      </c>
      <c r="F875" s="856">
        <v>5.5</v>
      </c>
      <c r="G875" s="857">
        <f t="shared" ref="G875:G880" si="24">D875*F875</f>
        <v>154</v>
      </c>
      <c r="H875" s="850"/>
    </row>
    <row r="876" spans="1:8" hidden="1" x14ac:dyDescent="0.3">
      <c r="A876" s="851"/>
      <c r="B876" s="852" t="s">
        <v>788</v>
      </c>
      <c r="C876" s="853"/>
      <c r="D876" s="859">
        <v>21.51</v>
      </c>
      <c r="E876" s="855" t="s">
        <v>399</v>
      </c>
      <c r="F876" s="856">
        <v>2.08</v>
      </c>
      <c r="G876" s="857">
        <f t="shared" si="24"/>
        <v>44.740800000000007</v>
      </c>
      <c r="H876" s="900" t="s">
        <v>745</v>
      </c>
    </row>
    <row r="877" spans="1:8" hidden="1" x14ac:dyDescent="0.3">
      <c r="A877" s="851"/>
      <c r="B877" s="852" t="s">
        <v>851</v>
      </c>
      <c r="C877" s="853"/>
      <c r="D877" s="859">
        <v>0.25</v>
      </c>
      <c r="E877" s="855" t="s">
        <v>399</v>
      </c>
      <c r="F877" s="856">
        <v>5.47</v>
      </c>
      <c r="G877" s="857">
        <f t="shared" si="24"/>
        <v>1.3674999999999999</v>
      </c>
      <c r="H877" s="850"/>
    </row>
    <row r="878" spans="1:8" hidden="1" x14ac:dyDescent="0.3">
      <c r="A878" s="851"/>
      <c r="B878" s="852" t="s">
        <v>748</v>
      </c>
      <c r="C878" s="853"/>
      <c r="D878" s="859">
        <v>0.11</v>
      </c>
      <c r="E878" s="855" t="s">
        <v>34</v>
      </c>
      <c r="F878" s="856">
        <v>287.5</v>
      </c>
      <c r="G878" s="857">
        <f t="shared" si="24"/>
        <v>31.625</v>
      </c>
      <c r="H878" s="850"/>
    </row>
    <row r="879" spans="1:8" hidden="1" x14ac:dyDescent="0.3">
      <c r="A879" s="851"/>
      <c r="B879" s="852" t="s">
        <v>835</v>
      </c>
      <c r="C879" s="853"/>
      <c r="D879" s="854">
        <v>10</v>
      </c>
      <c r="E879" s="855" t="s">
        <v>540</v>
      </c>
      <c r="F879" s="860">
        <v>1.44E-2</v>
      </c>
      <c r="G879" s="857">
        <f t="shared" si="24"/>
        <v>0.14399999999999999</v>
      </c>
      <c r="H879" s="850"/>
    </row>
    <row r="880" spans="1:8" hidden="1" x14ac:dyDescent="0.3">
      <c r="A880" s="851"/>
      <c r="B880" s="852" t="s">
        <v>852</v>
      </c>
      <c r="C880" s="853"/>
      <c r="D880" s="859">
        <v>0.02</v>
      </c>
      <c r="E880" s="855" t="s">
        <v>399</v>
      </c>
      <c r="F880" s="856">
        <v>150</v>
      </c>
      <c r="G880" s="857">
        <f t="shared" si="24"/>
        <v>3</v>
      </c>
      <c r="H880" s="850"/>
    </row>
    <row r="881" spans="1:8" hidden="1" x14ac:dyDescent="0.3">
      <c r="A881" s="950"/>
      <c r="B881" s="951"/>
      <c r="C881" s="952" t="s">
        <v>1035</v>
      </c>
      <c r="D881" s="953">
        <v>1</v>
      </c>
      <c r="E881" s="954" t="s">
        <v>33</v>
      </c>
      <c r="F881" s="955" t="s">
        <v>6</v>
      </c>
      <c r="G881" s="956">
        <f>SUM(G875:G880)</f>
        <v>234.87730000000002</v>
      </c>
      <c r="H881" s="957" t="s">
        <v>752</v>
      </c>
    </row>
    <row r="882" spans="1:8" hidden="1" x14ac:dyDescent="0.3">
      <c r="A882" s="869">
        <v>11.12</v>
      </c>
      <c r="B882" s="846" t="s">
        <v>1036</v>
      </c>
      <c r="C882" s="852"/>
      <c r="D882" s="847"/>
      <c r="E882" s="847"/>
      <c r="F882" s="848"/>
      <c r="G882" s="849" t="s">
        <v>745</v>
      </c>
      <c r="H882" s="850"/>
    </row>
    <row r="883" spans="1:8" hidden="1" x14ac:dyDescent="0.3">
      <c r="A883" s="851"/>
      <c r="B883" s="852" t="s">
        <v>1037</v>
      </c>
      <c r="C883" s="853"/>
      <c r="D883" s="854">
        <v>28</v>
      </c>
      <c r="E883" s="855" t="s">
        <v>850</v>
      </c>
      <c r="F883" s="856">
        <v>6.25</v>
      </c>
      <c r="G883" s="857">
        <f t="shared" ref="G883:G888" si="25">D883*F883</f>
        <v>175</v>
      </c>
      <c r="H883" s="850"/>
    </row>
    <row r="884" spans="1:8" hidden="1" x14ac:dyDescent="0.3">
      <c r="A884" s="851"/>
      <c r="B884" s="852" t="s">
        <v>788</v>
      </c>
      <c r="C884" s="853"/>
      <c r="D884" s="859">
        <v>21.51</v>
      </c>
      <c r="E884" s="855" t="s">
        <v>399</v>
      </c>
      <c r="F884" s="856">
        <v>2.08</v>
      </c>
      <c r="G884" s="857">
        <f t="shared" si="25"/>
        <v>44.740800000000007</v>
      </c>
      <c r="H884" s="900" t="s">
        <v>745</v>
      </c>
    </row>
    <row r="885" spans="1:8" hidden="1" x14ac:dyDescent="0.3">
      <c r="A885" s="851"/>
      <c r="B885" s="852" t="s">
        <v>851</v>
      </c>
      <c r="C885" s="853"/>
      <c r="D885" s="859">
        <v>0.25</v>
      </c>
      <c r="E885" s="855" t="s">
        <v>399</v>
      </c>
      <c r="F885" s="856">
        <v>5.47</v>
      </c>
      <c r="G885" s="857">
        <f t="shared" si="25"/>
        <v>1.3674999999999999</v>
      </c>
      <c r="H885" s="850"/>
    </row>
    <row r="886" spans="1:8" hidden="1" x14ac:dyDescent="0.3">
      <c r="A886" s="851"/>
      <c r="B886" s="852" t="s">
        <v>748</v>
      </c>
      <c r="C886" s="853"/>
      <c r="D886" s="859">
        <v>0.11</v>
      </c>
      <c r="E886" s="855" t="s">
        <v>34</v>
      </c>
      <c r="F886" s="856">
        <v>287.5</v>
      </c>
      <c r="G886" s="857">
        <f t="shared" si="25"/>
        <v>31.625</v>
      </c>
      <c r="H886" s="850"/>
    </row>
    <row r="887" spans="1:8" hidden="1" x14ac:dyDescent="0.3">
      <c r="A887" s="851"/>
      <c r="B887" s="852" t="s">
        <v>835</v>
      </c>
      <c r="C887" s="853"/>
      <c r="D887" s="854">
        <v>10</v>
      </c>
      <c r="E887" s="855" t="s">
        <v>540</v>
      </c>
      <c r="F887" s="860">
        <v>1.44E-2</v>
      </c>
      <c r="G887" s="857">
        <f t="shared" si="25"/>
        <v>0.14399999999999999</v>
      </c>
      <c r="H887" s="850"/>
    </row>
    <row r="888" spans="1:8" hidden="1" x14ac:dyDescent="0.3">
      <c r="A888" s="851"/>
      <c r="B888" s="852" t="s">
        <v>852</v>
      </c>
      <c r="C888" s="853"/>
      <c r="D888" s="859">
        <v>0.02</v>
      </c>
      <c r="E888" s="855" t="s">
        <v>399</v>
      </c>
      <c r="F888" s="856">
        <v>150</v>
      </c>
      <c r="G888" s="857">
        <f t="shared" si="25"/>
        <v>3</v>
      </c>
      <c r="H888" s="850"/>
    </row>
    <row r="889" spans="1:8" hidden="1" x14ac:dyDescent="0.3">
      <c r="A889" s="950"/>
      <c r="B889" s="951"/>
      <c r="C889" s="952" t="s">
        <v>1038</v>
      </c>
      <c r="D889" s="953">
        <v>1</v>
      </c>
      <c r="E889" s="954" t="s">
        <v>33</v>
      </c>
      <c r="F889" s="955" t="s">
        <v>6</v>
      </c>
      <c r="G889" s="956">
        <f>SUM(G883:G888)</f>
        <v>255.87730000000002</v>
      </c>
      <c r="H889" s="957" t="s">
        <v>752</v>
      </c>
    </row>
    <row r="890" spans="1:8" hidden="1" x14ac:dyDescent="0.3">
      <c r="A890" s="869">
        <v>11.13</v>
      </c>
      <c r="B890" s="846" t="s">
        <v>1039</v>
      </c>
      <c r="C890" s="852"/>
      <c r="D890" s="847"/>
      <c r="E890" s="847"/>
      <c r="F890" s="848"/>
      <c r="G890" s="849" t="s">
        <v>745</v>
      </c>
      <c r="H890" s="850"/>
    </row>
    <row r="891" spans="1:8" hidden="1" x14ac:dyDescent="0.3">
      <c r="A891" s="851"/>
      <c r="B891" s="852" t="s">
        <v>1040</v>
      </c>
      <c r="C891" s="853"/>
      <c r="D891" s="854">
        <v>28</v>
      </c>
      <c r="E891" s="855" t="s">
        <v>850</v>
      </c>
      <c r="F891" s="856">
        <v>6.72</v>
      </c>
      <c r="G891" s="857">
        <f t="shared" ref="G891:G896" si="26">D891*F891</f>
        <v>188.16</v>
      </c>
      <c r="H891" s="850"/>
    </row>
    <row r="892" spans="1:8" hidden="1" x14ac:dyDescent="0.3">
      <c r="A892" s="851"/>
      <c r="B892" s="852" t="s">
        <v>788</v>
      </c>
      <c r="C892" s="853"/>
      <c r="D892" s="859">
        <v>21.51</v>
      </c>
      <c r="E892" s="855" t="s">
        <v>399</v>
      </c>
      <c r="F892" s="856">
        <v>2.33</v>
      </c>
      <c r="G892" s="857">
        <f t="shared" si="26"/>
        <v>50.118300000000005</v>
      </c>
      <c r="H892" s="900" t="s">
        <v>745</v>
      </c>
    </row>
    <row r="893" spans="1:8" hidden="1" x14ac:dyDescent="0.3">
      <c r="A893" s="851"/>
      <c r="B893" s="852" t="s">
        <v>851</v>
      </c>
      <c r="C893" s="853"/>
      <c r="D893" s="859">
        <v>0.25</v>
      </c>
      <c r="E893" s="855" t="s">
        <v>399</v>
      </c>
      <c r="F893" s="856">
        <v>5</v>
      </c>
      <c r="G893" s="857">
        <f t="shared" si="26"/>
        <v>1.25</v>
      </c>
      <c r="H893" s="850"/>
    </row>
    <row r="894" spans="1:8" hidden="1" x14ac:dyDescent="0.3">
      <c r="A894" s="851"/>
      <c r="B894" s="852" t="s">
        <v>748</v>
      </c>
      <c r="C894" s="853"/>
      <c r="D894" s="859">
        <v>0.11</v>
      </c>
      <c r="E894" s="855" t="s">
        <v>34</v>
      </c>
      <c r="F894" s="856">
        <v>487.54</v>
      </c>
      <c r="G894" s="857">
        <f t="shared" si="26"/>
        <v>53.629400000000004</v>
      </c>
      <c r="H894" s="850"/>
    </row>
    <row r="895" spans="1:8" hidden="1" x14ac:dyDescent="0.3">
      <c r="A895" s="851"/>
      <c r="B895" s="852" t="s">
        <v>835</v>
      </c>
      <c r="C895" s="853"/>
      <c r="D895" s="854">
        <v>10</v>
      </c>
      <c r="E895" s="855" t="s">
        <v>540</v>
      </c>
      <c r="F895" s="860"/>
      <c r="G895" s="857">
        <f t="shared" si="26"/>
        <v>0</v>
      </c>
      <c r="H895" s="850"/>
    </row>
    <row r="896" spans="1:8" hidden="1" x14ac:dyDescent="0.3">
      <c r="A896" s="851"/>
      <c r="B896" s="852" t="s">
        <v>852</v>
      </c>
      <c r="C896" s="853"/>
      <c r="D896" s="859">
        <v>0.02</v>
      </c>
      <c r="E896" s="855" t="s">
        <v>399</v>
      </c>
      <c r="F896" s="856"/>
      <c r="G896" s="857">
        <f t="shared" si="26"/>
        <v>0</v>
      </c>
      <c r="H896" s="850"/>
    </row>
    <row r="897" spans="1:8" ht="19.5" hidden="1" thickBot="1" x14ac:dyDescent="0.35">
      <c r="A897" s="879"/>
      <c r="B897" s="880"/>
      <c r="C897" s="881" t="s">
        <v>1041</v>
      </c>
      <c r="D897" s="882">
        <v>1</v>
      </c>
      <c r="E897" s="915" t="s">
        <v>33</v>
      </c>
      <c r="F897" s="916" t="s">
        <v>6</v>
      </c>
      <c r="G897" s="917">
        <f>SUM(G891:G896)</f>
        <v>293.15769999999998</v>
      </c>
      <c r="H897" s="941" t="s">
        <v>752</v>
      </c>
    </row>
    <row r="898" spans="1:8" hidden="1" x14ac:dyDescent="0.3">
      <c r="D898" s="886"/>
      <c r="E898" s="918"/>
      <c r="F898" s="919"/>
      <c r="G898" s="888" t="str">
        <f>$G$37</f>
        <v xml:space="preserve"> เมษายน 2549</v>
      </c>
      <c r="H898" s="888"/>
    </row>
    <row r="899" spans="1:8" ht="19.5" hidden="1" x14ac:dyDescent="0.3">
      <c r="A899" s="820" t="s">
        <v>1042</v>
      </c>
      <c r="B899" s="820"/>
      <c r="C899" s="820"/>
      <c r="D899" s="820"/>
      <c r="E899" s="820"/>
      <c r="F899" s="820"/>
      <c r="G899" s="820"/>
      <c r="H899" s="820"/>
    </row>
    <row r="900" spans="1:8" ht="20.25" hidden="1" thickBot="1" x14ac:dyDescent="0.35">
      <c r="A900" s="889" t="s">
        <v>758</v>
      </c>
      <c r="B900" s="889"/>
      <c r="C900" s="889"/>
      <c r="D900" s="889"/>
      <c r="E900" s="889"/>
      <c r="F900" s="889"/>
      <c r="G900" s="889"/>
      <c r="H900" s="889"/>
    </row>
    <row r="901" spans="1:8" hidden="1" x14ac:dyDescent="0.3">
      <c r="A901" s="823" t="s">
        <v>424</v>
      </c>
      <c r="B901" s="824" t="s">
        <v>1</v>
      </c>
      <c r="C901" s="825"/>
      <c r="D901" s="826" t="s">
        <v>24</v>
      </c>
      <c r="E901" s="826" t="s">
        <v>25</v>
      </c>
      <c r="F901" s="827" t="s">
        <v>390</v>
      </c>
      <c r="G901" s="828" t="s">
        <v>743</v>
      </c>
      <c r="H901" s="829" t="s">
        <v>20</v>
      </c>
    </row>
    <row r="902" spans="1:8" hidden="1" x14ac:dyDescent="0.3">
      <c r="A902" s="830"/>
      <c r="B902" s="831"/>
      <c r="C902" s="832"/>
      <c r="D902" s="833"/>
      <c r="E902" s="833"/>
      <c r="F902" s="834" t="s">
        <v>31</v>
      </c>
      <c r="G902" s="835" t="s">
        <v>31</v>
      </c>
      <c r="H902" s="836"/>
    </row>
    <row r="903" spans="1:8" hidden="1" x14ac:dyDescent="0.3">
      <c r="A903" s="958">
        <v>11.14</v>
      </c>
      <c r="B903" s="846" t="s">
        <v>1043</v>
      </c>
      <c r="C903" s="852"/>
      <c r="D903" s="847"/>
      <c r="E903" s="847"/>
      <c r="F903" s="848"/>
      <c r="G903" s="849" t="s">
        <v>745</v>
      </c>
      <c r="H903" s="850"/>
    </row>
    <row r="904" spans="1:8" hidden="1" x14ac:dyDescent="0.3">
      <c r="A904" s="851"/>
      <c r="B904" s="852" t="s">
        <v>1044</v>
      </c>
      <c r="C904" s="853"/>
      <c r="D904" s="854">
        <v>28</v>
      </c>
      <c r="E904" s="855" t="s">
        <v>850</v>
      </c>
      <c r="F904" s="856">
        <v>6.25</v>
      </c>
      <c r="G904" s="857">
        <f t="shared" ref="G904:G909" si="27">D904*F904</f>
        <v>175</v>
      </c>
      <c r="H904" s="850"/>
    </row>
    <row r="905" spans="1:8" hidden="1" x14ac:dyDescent="0.3">
      <c r="A905" s="851"/>
      <c r="B905" s="852" t="s">
        <v>788</v>
      </c>
      <c r="C905" s="853"/>
      <c r="D905" s="859">
        <v>21.51</v>
      </c>
      <c r="E905" s="855" t="s">
        <v>399</v>
      </c>
      <c r="F905" s="856">
        <v>2.08</v>
      </c>
      <c r="G905" s="857">
        <f t="shared" si="27"/>
        <v>44.740800000000007</v>
      </c>
      <c r="H905" s="900" t="s">
        <v>745</v>
      </c>
    </row>
    <row r="906" spans="1:8" hidden="1" x14ac:dyDescent="0.3">
      <c r="A906" s="851"/>
      <c r="B906" s="852" t="s">
        <v>851</v>
      </c>
      <c r="C906" s="853"/>
      <c r="D906" s="859">
        <v>0.25</v>
      </c>
      <c r="E906" s="855" t="s">
        <v>399</v>
      </c>
      <c r="F906" s="856">
        <v>5.47</v>
      </c>
      <c r="G906" s="857">
        <f t="shared" si="27"/>
        <v>1.3674999999999999</v>
      </c>
      <c r="H906" s="850"/>
    </row>
    <row r="907" spans="1:8" hidden="1" x14ac:dyDescent="0.3">
      <c r="A907" s="851"/>
      <c r="B907" s="852" t="s">
        <v>748</v>
      </c>
      <c r="C907" s="853"/>
      <c r="D907" s="859">
        <v>0.11</v>
      </c>
      <c r="E907" s="855" t="s">
        <v>34</v>
      </c>
      <c r="F907" s="856">
        <v>287.5</v>
      </c>
      <c r="G907" s="857">
        <f t="shared" si="27"/>
        <v>31.625</v>
      </c>
      <c r="H907" s="850"/>
    </row>
    <row r="908" spans="1:8" hidden="1" x14ac:dyDescent="0.3">
      <c r="A908" s="851"/>
      <c r="B908" s="852" t="s">
        <v>835</v>
      </c>
      <c r="C908" s="853"/>
      <c r="D908" s="854">
        <v>10</v>
      </c>
      <c r="E908" s="855" t="s">
        <v>540</v>
      </c>
      <c r="F908" s="860">
        <v>1.44E-2</v>
      </c>
      <c r="G908" s="857">
        <f t="shared" si="27"/>
        <v>0.14399999999999999</v>
      </c>
      <c r="H908" s="850"/>
    </row>
    <row r="909" spans="1:8" hidden="1" x14ac:dyDescent="0.3">
      <c r="A909" s="851"/>
      <c r="B909" s="852" t="s">
        <v>852</v>
      </c>
      <c r="C909" s="853"/>
      <c r="D909" s="859">
        <v>0.02</v>
      </c>
      <c r="E909" s="855" t="s">
        <v>399</v>
      </c>
      <c r="F909" s="856">
        <v>150</v>
      </c>
      <c r="G909" s="857">
        <f t="shared" si="27"/>
        <v>3</v>
      </c>
      <c r="H909" s="850"/>
    </row>
    <row r="910" spans="1:8" hidden="1" x14ac:dyDescent="0.3">
      <c r="A910" s="851"/>
      <c r="B910" s="875"/>
      <c r="C910" s="852" t="s">
        <v>1045</v>
      </c>
      <c r="D910" s="854">
        <v>1</v>
      </c>
      <c r="E910" s="855" t="s">
        <v>33</v>
      </c>
      <c r="F910" s="876" t="s">
        <v>6</v>
      </c>
      <c r="G910" s="945">
        <f>SUM(G904:G909)</f>
        <v>255.87730000000002</v>
      </c>
      <c r="H910" s="878" t="s">
        <v>752</v>
      </c>
    </row>
    <row r="911" spans="1:8" hidden="1" x14ac:dyDescent="0.3">
      <c r="A911" s="869">
        <v>11.15</v>
      </c>
      <c r="B911" s="846" t="s">
        <v>1046</v>
      </c>
      <c r="C911" s="852"/>
      <c r="D911" s="847"/>
      <c r="E911" s="847"/>
      <c r="F911" s="848"/>
      <c r="G911" s="849" t="s">
        <v>745</v>
      </c>
      <c r="H911" s="850"/>
    </row>
    <row r="912" spans="1:8" hidden="1" x14ac:dyDescent="0.3">
      <c r="A912" s="851"/>
      <c r="B912" s="852" t="s">
        <v>1047</v>
      </c>
      <c r="C912" s="853"/>
      <c r="D912" s="854">
        <v>14</v>
      </c>
      <c r="E912" s="855" t="s">
        <v>850</v>
      </c>
      <c r="F912" s="856">
        <v>16.399999999999999</v>
      </c>
      <c r="G912" s="857">
        <f t="shared" ref="G912:G917" si="28">D912*F912</f>
        <v>229.59999999999997</v>
      </c>
      <c r="H912" s="850" t="s">
        <v>1048</v>
      </c>
    </row>
    <row r="913" spans="1:8" hidden="1" x14ac:dyDescent="0.3">
      <c r="A913" s="851"/>
      <c r="B913" s="852" t="s">
        <v>788</v>
      </c>
      <c r="C913" s="853"/>
      <c r="D913" s="859">
        <v>21.51</v>
      </c>
      <c r="E913" s="855" t="s">
        <v>399</v>
      </c>
      <c r="F913" s="856">
        <v>2.33</v>
      </c>
      <c r="G913" s="857">
        <f t="shared" si="28"/>
        <v>50.118300000000005</v>
      </c>
      <c r="H913" s="900" t="s">
        <v>745</v>
      </c>
    </row>
    <row r="914" spans="1:8" hidden="1" x14ac:dyDescent="0.3">
      <c r="A914" s="851"/>
      <c r="B914" s="852" t="s">
        <v>851</v>
      </c>
      <c r="C914" s="853"/>
      <c r="D914" s="859">
        <v>0.25</v>
      </c>
      <c r="E914" s="855" t="s">
        <v>399</v>
      </c>
      <c r="F914" s="856">
        <v>5</v>
      </c>
      <c r="G914" s="857">
        <f t="shared" si="28"/>
        <v>1.25</v>
      </c>
      <c r="H914" s="850"/>
    </row>
    <row r="915" spans="1:8" hidden="1" x14ac:dyDescent="0.3">
      <c r="A915" s="851"/>
      <c r="B915" s="852" t="s">
        <v>748</v>
      </c>
      <c r="C915" s="853"/>
      <c r="D915" s="859">
        <v>0.11</v>
      </c>
      <c r="E915" s="855" t="s">
        <v>34</v>
      </c>
      <c r="F915" s="856">
        <v>487.54</v>
      </c>
      <c r="G915" s="857">
        <f t="shared" si="28"/>
        <v>53.629400000000004</v>
      </c>
      <c r="H915" s="850"/>
    </row>
    <row r="916" spans="1:8" hidden="1" x14ac:dyDescent="0.3">
      <c r="A916" s="851"/>
      <c r="B916" s="852" t="s">
        <v>835</v>
      </c>
      <c r="C916" s="853"/>
      <c r="D916" s="854">
        <v>10</v>
      </c>
      <c r="E916" s="855" t="s">
        <v>540</v>
      </c>
      <c r="F916" s="860"/>
      <c r="G916" s="857">
        <f t="shared" si="28"/>
        <v>0</v>
      </c>
      <c r="H916" s="850"/>
    </row>
    <row r="917" spans="1:8" hidden="1" x14ac:dyDescent="0.3">
      <c r="A917" s="851"/>
      <c r="B917" s="852" t="s">
        <v>852</v>
      </c>
      <c r="C917" s="853"/>
      <c r="D917" s="859">
        <v>0.02</v>
      </c>
      <c r="E917" s="855" t="s">
        <v>399</v>
      </c>
      <c r="F917" s="856"/>
      <c r="G917" s="857">
        <f t="shared" si="28"/>
        <v>0</v>
      </c>
      <c r="H917" s="850"/>
    </row>
    <row r="918" spans="1:8" hidden="1" x14ac:dyDescent="0.3">
      <c r="A918" s="861"/>
      <c r="B918" s="862"/>
      <c r="C918" s="863" t="s">
        <v>1049</v>
      </c>
      <c r="D918" s="864">
        <v>1</v>
      </c>
      <c r="E918" s="865" t="s">
        <v>33</v>
      </c>
      <c r="F918" s="866" t="s">
        <v>6</v>
      </c>
      <c r="G918" s="911">
        <f>SUM(G912:G917)</f>
        <v>334.59770000000003</v>
      </c>
      <c r="H918" s="868" t="s">
        <v>752</v>
      </c>
    </row>
    <row r="919" spans="1:8" hidden="1" x14ac:dyDescent="0.3">
      <c r="A919" s="958">
        <v>11.16</v>
      </c>
      <c r="B919" s="846" t="s">
        <v>1050</v>
      </c>
      <c r="C919" s="852"/>
      <c r="D919" s="847"/>
      <c r="E919" s="847"/>
      <c r="F919" s="848"/>
      <c r="G919" s="849" t="s">
        <v>745</v>
      </c>
      <c r="H919" s="850"/>
    </row>
    <row r="920" spans="1:8" hidden="1" x14ac:dyDescent="0.3">
      <c r="A920" s="851"/>
      <c r="B920" s="852" t="s">
        <v>1051</v>
      </c>
      <c r="C920" s="853"/>
      <c r="D920" s="854">
        <v>14</v>
      </c>
      <c r="E920" s="855" t="s">
        <v>850</v>
      </c>
      <c r="F920" s="856">
        <v>14</v>
      </c>
      <c r="G920" s="857">
        <f t="shared" ref="G920:G925" si="29">D920*F920</f>
        <v>196</v>
      </c>
      <c r="H920" s="850"/>
    </row>
    <row r="921" spans="1:8" hidden="1" x14ac:dyDescent="0.3">
      <c r="A921" s="851"/>
      <c r="B921" s="852" t="s">
        <v>788</v>
      </c>
      <c r="C921" s="853"/>
      <c r="D921" s="859">
        <v>21.51</v>
      </c>
      <c r="E921" s="855" t="s">
        <v>399</v>
      </c>
      <c r="F921" s="856">
        <v>2.67</v>
      </c>
      <c r="G921" s="857">
        <f t="shared" si="29"/>
        <v>57.431699999999999</v>
      </c>
      <c r="H921" s="900" t="s">
        <v>745</v>
      </c>
    </row>
    <row r="922" spans="1:8" hidden="1" x14ac:dyDescent="0.3">
      <c r="A922" s="851"/>
      <c r="B922" s="852" t="s">
        <v>851</v>
      </c>
      <c r="C922" s="853"/>
      <c r="D922" s="859">
        <v>0.25</v>
      </c>
      <c r="E922" s="855" t="s">
        <v>399</v>
      </c>
      <c r="F922" s="856">
        <v>0</v>
      </c>
      <c r="G922" s="857">
        <f t="shared" si="29"/>
        <v>0</v>
      </c>
      <c r="H922" s="850"/>
    </row>
    <row r="923" spans="1:8" hidden="1" x14ac:dyDescent="0.3">
      <c r="A923" s="851"/>
      <c r="B923" s="852" t="s">
        <v>748</v>
      </c>
      <c r="C923" s="853"/>
      <c r="D923" s="859">
        <v>0.11</v>
      </c>
      <c r="E923" s="855" t="s">
        <v>34</v>
      </c>
      <c r="F923" s="856">
        <v>543.62</v>
      </c>
      <c r="G923" s="857">
        <f t="shared" si="29"/>
        <v>59.798200000000001</v>
      </c>
      <c r="H923" s="850"/>
    </row>
    <row r="924" spans="1:8" hidden="1" x14ac:dyDescent="0.3">
      <c r="A924" s="851"/>
      <c r="B924" s="852" t="s">
        <v>835</v>
      </c>
      <c r="C924" s="853"/>
      <c r="D924" s="854">
        <v>10</v>
      </c>
      <c r="E924" s="855" t="s">
        <v>540</v>
      </c>
      <c r="F924" s="860">
        <v>0</v>
      </c>
      <c r="G924" s="857">
        <f t="shared" si="29"/>
        <v>0</v>
      </c>
      <c r="H924" s="850"/>
    </row>
    <row r="925" spans="1:8" hidden="1" x14ac:dyDescent="0.3">
      <c r="A925" s="851"/>
      <c r="B925" s="852" t="s">
        <v>852</v>
      </c>
      <c r="C925" s="853"/>
      <c r="D925" s="859">
        <v>0.02</v>
      </c>
      <c r="E925" s="855" t="s">
        <v>399</v>
      </c>
      <c r="F925" s="856">
        <v>0</v>
      </c>
      <c r="G925" s="857">
        <f t="shared" si="29"/>
        <v>0</v>
      </c>
      <c r="H925" s="850"/>
    </row>
    <row r="926" spans="1:8" hidden="1" x14ac:dyDescent="0.3">
      <c r="A926" s="861"/>
      <c r="B926" s="862"/>
      <c r="C926" s="863" t="s">
        <v>1052</v>
      </c>
      <c r="D926" s="864">
        <v>1</v>
      </c>
      <c r="E926" s="865" t="s">
        <v>33</v>
      </c>
      <c r="F926" s="866" t="s">
        <v>6</v>
      </c>
      <c r="G926" s="911">
        <f>SUM(G920:G925)</f>
        <v>313.22989999999999</v>
      </c>
      <c r="H926" s="868" t="s">
        <v>752</v>
      </c>
    </row>
    <row r="927" spans="1:8" hidden="1" x14ac:dyDescent="0.3">
      <c r="A927" s="958">
        <v>11.17</v>
      </c>
      <c r="B927" s="846" t="s">
        <v>1053</v>
      </c>
      <c r="C927" s="852"/>
      <c r="D927" s="847"/>
      <c r="E927" s="847"/>
      <c r="F927" s="848"/>
      <c r="G927" s="849" t="s">
        <v>745</v>
      </c>
      <c r="H927" s="850"/>
    </row>
    <row r="928" spans="1:8" hidden="1" x14ac:dyDescent="0.3">
      <c r="A928" s="851"/>
      <c r="B928" s="852" t="s">
        <v>897</v>
      </c>
      <c r="C928" s="853"/>
      <c r="D928" s="854">
        <v>14</v>
      </c>
      <c r="E928" s="855" t="s">
        <v>850</v>
      </c>
      <c r="F928" s="856">
        <v>28.04</v>
      </c>
      <c r="G928" s="857">
        <f t="shared" ref="G928:G933" si="30">D928*F928</f>
        <v>392.56</v>
      </c>
      <c r="H928" s="850"/>
    </row>
    <row r="929" spans="1:8" hidden="1" x14ac:dyDescent="0.3">
      <c r="A929" s="851"/>
      <c r="B929" s="852" t="s">
        <v>788</v>
      </c>
      <c r="C929" s="853"/>
      <c r="D929" s="859">
        <v>21.51</v>
      </c>
      <c r="E929" s="855" t="s">
        <v>399</v>
      </c>
      <c r="F929" s="856">
        <v>2.08</v>
      </c>
      <c r="G929" s="857">
        <f t="shared" si="30"/>
        <v>44.740800000000007</v>
      </c>
      <c r="H929" s="900" t="s">
        <v>745</v>
      </c>
    </row>
    <row r="930" spans="1:8" hidden="1" x14ac:dyDescent="0.3">
      <c r="A930" s="851"/>
      <c r="B930" s="852" t="s">
        <v>894</v>
      </c>
      <c r="C930" s="853"/>
      <c r="D930" s="859">
        <v>0.25</v>
      </c>
      <c r="E930" s="855" t="s">
        <v>399</v>
      </c>
      <c r="F930" s="856">
        <v>27.14</v>
      </c>
      <c r="G930" s="857">
        <f t="shared" si="30"/>
        <v>6.7850000000000001</v>
      </c>
      <c r="H930" s="850"/>
    </row>
    <row r="931" spans="1:8" hidden="1" x14ac:dyDescent="0.3">
      <c r="A931" s="851"/>
      <c r="B931" s="852" t="s">
        <v>748</v>
      </c>
      <c r="C931" s="853"/>
      <c r="D931" s="859">
        <v>0.11</v>
      </c>
      <c r="E931" s="855" t="s">
        <v>34</v>
      </c>
      <c r="F931" s="856">
        <v>287.5</v>
      </c>
      <c r="G931" s="857">
        <f t="shared" si="30"/>
        <v>31.625</v>
      </c>
      <c r="H931" s="850"/>
    </row>
    <row r="932" spans="1:8" hidden="1" x14ac:dyDescent="0.3">
      <c r="A932" s="851"/>
      <c r="B932" s="852" t="s">
        <v>835</v>
      </c>
      <c r="C932" s="853"/>
      <c r="D932" s="854">
        <v>10</v>
      </c>
      <c r="E932" s="855" t="s">
        <v>540</v>
      </c>
      <c r="F932" s="860">
        <v>1.44E-2</v>
      </c>
      <c r="G932" s="857">
        <f t="shared" si="30"/>
        <v>0.14399999999999999</v>
      </c>
      <c r="H932" s="850"/>
    </row>
    <row r="933" spans="1:8" hidden="1" x14ac:dyDescent="0.3">
      <c r="A933" s="851"/>
      <c r="B933" s="852" t="s">
        <v>852</v>
      </c>
      <c r="C933" s="853"/>
      <c r="D933" s="859">
        <v>0.02</v>
      </c>
      <c r="E933" s="855" t="s">
        <v>399</v>
      </c>
      <c r="F933" s="856">
        <v>150</v>
      </c>
      <c r="G933" s="857">
        <f t="shared" si="30"/>
        <v>3</v>
      </c>
      <c r="H933" s="850"/>
    </row>
    <row r="934" spans="1:8" ht="19.5" hidden="1" thickBot="1" x14ac:dyDescent="0.35">
      <c r="A934" s="879"/>
      <c r="B934" s="880"/>
      <c r="C934" s="881" t="s">
        <v>1054</v>
      </c>
      <c r="D934" s="882">
        <v>1</v>
      </c>
      <c r="E934" s="915" t="s">
        <v>33</v>
      </c>
      <c r="F934" s="916" t="s">
        <v>6</v>
      </c>
      <c r="G934" s="917">
        <f>SUM(G928:G933)</f>
        <v>478.85480000000001</v>
      </c>
      <c r="H934" s="941" t="s">
        <v>752</v>
      </c>
    </row>
    <row r="935" spans="1:8" hidden="1" x14ac:dyDescent="0.3">
      <c r="D935" s="886"/>
      <c r="E935" s="918"/>
      <c r="F935" s="919"/>
      <c r="G935" s="888" t="str">
        <f>$G$37</f>
        <v xml:space="preserve"> เมษายน 2549</v>
      </c>
      <c r="H935" s="888"/>
    </row>
    <row r="936" spans="1:8" ht="19.5" hidden="1" x14ac:dyDescent="0.3">
      <c r="A936" s="820" t="s">
        <v>1055</v>
      </c>
      <c r="B936" s="820"/>
      <c r="C936" s="820"/>
      <c r="D936" s="820"/>
      <c r="E936" s="820"/>
      <c r="F936" s="820"/>
      <c r="G936" s="820"/>
      <c r="H936" s="820"/>
    </row>
    <row r="937" spans="1:8" ht="20.25" hidden="1" thickBot="1" x14ac:dyDescent="0.35">
      <c r="A937" s="889" t="s">
        <v>758</v>
      </c>
      <c r="B937" s="889"/>
      <c r="C937" s="889"/>
      <c r="D937" s="889"/>
      <c r="E937" s="889"/>
      <c r="F937" s="889"/>
      <c r="G937" s="889"/>
      <c r="H937" s="889"/>
    </row>
    <row r="938" spans="1:8" hidden="1" x14ac:dyDescent="0.3">
      <c r="A938" s="823" t="s">
        <v>424</v>
      </c>
      <c r="B938" s="824" t="s">
        <v>1</v>
      </c>
      <c r="C938" s="825"/>
      <c r="D938" s="826" t="s">
        <v>24</v>
      </c>
      <c r="E938" s="826" t="s">
        <v>25</v>
      </c>
      <c r="F938" s="827" t="s">
        <v>390</v>
      </c>
      <c r="G938" s="828" t="s">
        <v>743</v>
      </c>
      <c r="H938" s="829" t="s">
        <v>20</v>
      </c>
    </row>
    <row r="939" spans="1:8" hidden="1" x14ac:dyDescent="0.3">
      <c r="A939" s="830"/>
      <c r="B939" s="831"/>
      <c r="C939" s="832"/>
      <c r="D939" s="833"/>
      <c r="E939" s="833"/>
      <c r="F939" s="834" t="s">
        <v>31</v>
      </c>
      <c r="G939" s="835" t="s">
        <v>31</v>
      </c>
      <c r="H939" s="836"/>
    </row>
    <row r="940" spans="1:8" hidden="1" x14ac:dyDescent="0.3">
      <c r="A940" s="958">
        <v>11.18</v>
      </c>
      <c r="B940" s="846" t="s">
        <v>1056</v>
      </c>
      <c r="C940" s="852"/>
      <c r="D940" s="847"/>
      <c r="E940" s="847"/>
      <c r="F940" s="848"/>
      <c r="G940" s="849" t="s">
        <v>745</v>
      </c>
      <c r="H940" s="850"/>
    </row>
    <row r="941" spans="1:8" hidden="1" x14ac:dyDescent="0.3">
      <c r="A941" s="851"/>
      <c r="B941" s="852" t="s">
        <v>1057</v>
      </c>
      <c r="C941" s="853"/>
      <c r="D941" s="859">
        <v>1.06</v>
      </c>
      <c r="E941" s="855" t="s">
        <v>33</v>
      </c>
      <c r="F941" s="856" t="e">
        <v>#REF!</v>
      </c>
      <c r="G941" s="857">
        <v>1102.4000000000001</v>
      </c>
      <c r="H941" s="901" t="s">
        <v>889</v>
      </c>
    </row>
    <row r="942" spans="1:8" hidden="1" x14ac:dyDescent="0.3">
      <c r="A942" s="851"/>
      <c r="B942" s="852" t="s">
        <v>788</v>
      </c>
      <c r="C942" s="853"/>
      <c r="D942" s="859">
        <v>21.51</v>
      </c>
      <c r="E942" s="855" t="s">
        <v>399</v>
      </c>
      <c r="F942" s="856">
        <v>2.08</v>
      </c>
      <c r="G942" s="857">
        <f>D942*F942</f>
        <v>44.740800000000007</v>
      </c>
      <c r="H942" s="901" t="s">
        <v>745</v>
      </c>
    </row>
    <row r="943" spans="1:8" hidden="1" x14ac:dyDescent="0.3">
      <c r="A943" s="851"/>
      <c r="B943" s="852" t="s">
        <v>894</v>
      </c>
      <c r="C943" s="853"/>
      <c r="D943" s="859">
        <v>0.25</v>
      </c>
      <c r="E943" s="855" t="s">
        <v>399</v>
      </c>
      <c r="F943" s="856">
        <v>27.14</v>
      </c>
      <c r="G943" s="857">
        <f>D943*F943</f>
        <v>6.7850000000000001</v>
      </c>
      <c r="H943" s="900" t="s">
        <v>745</v>
      </c>
    </row>
    <row r="944" spans="1:8" hidden="1" x14ac:dyDescent="0.3">
      <c r="A944" s="851"/>
      <c r="B944" s="852" t="s">
        <v>748</v>
      </c>
      <c r="C944" s="853"/>
      <c r="D944" s="859">
        <v>0.11</v>
      </c>
      <c r="E944" s="855" t="s">
        <v>34</v>
      </c>
      <c r="F944" s="856">
        <v>287.5</v>
      </c>
      <c r="G944" s="857">
        <f>D944*F944</f>
        <v>31.625</v>
      </c>
      <c r="H944" s="850"/>
    </row>
    <row r="945" spans="1:8" hidden="1" x14ac:dyDescent="0.3">
      <c r="A945" s="851"/>
      <c r="B945" s="852" t="s">
        <v>835</v>
      </c>
      <c r="C945" s="853"/>
      <c r="D945" s="854">
        <v>10</v>
      </c>
      <c r="E945" s="855" t="s">
        <v>540</v>
      </c>
      <c r="F945" s="860">
        <v>1.44E-2</v>
      </c>
      <c r="G945" s="857">
        <f>D945*F945</f>
        <v>0.14399999999999999</v>
      </c>
      <c r="H945" s="850"/>
    </row>
    <row r="946" spans="1:8" hidden="1" x14ac:dyDescent="0.3">
      <c r="A946" s="851"/>
      <c r="B946" s="852" t="s">
        <v>852</v>
      </c>
      <c r="C946" s="853"/>
      <c r="D946" s="859">
        <v>0.02</v>
      </c>
      <c r="E946" s="855" t="s">
        <v>399</v>
      </c>
      <c r="F946" s="856">
        <v>150</v>
      </c>
      <c r="G946" s="857">
        <f>D946*F946</f>
        <v>3</v>
      </c>
      <c r="H946" s="850"/>
    </row>
    <row r="947" spans="1:8" hidden="1" x14ac:dyDescent="0.3">
      <c r="A947" s="861"/>
      <c r="B947" s="862"/>
      <c r="C947" s="863" t="s">
        <v>1058</v>
      </c>
      <c r="D947" s="864">
        <v>1</v>
      </c>
      <c r="E947" s="865" t="s">
        <v>33</v>
      </c>
      <c r="F947" s="866" t="s">
        <v>6</v>
      </c>
      <c r="G947" s="911">
        <f>SUM(G941:G946)</f>
        <v>1188.6948000000002</v>
      </c>
      <c r="H947" s="868" t="s">
        <v>752</v>
      </c>
    </row>
    <row r="948" spans="1:8" hidden="1" x14ac:dyDescent="0.3">
      <c r="A948" s="958">
        <v>11.19</v>
      </c>
      <c r="B948" s="846" t="s">
        <v>1059</v>
      </c>
      <c r="C948" s="852"/>
      <c r="D948" s="847"/>
      <c r="E948" s="847"/>
      <c r="F948" s="848"/>
      <c r="G948" s="849" t="s">
        <v>745</v>
      </c>
      <c r="H948" s="850"/>
    </row>
    <row r="949" spans="1:8" hidden="1" x14ac:dyDescent="0.3">
      <c r="A949" s="851"/>
      <c r="B949" s="852" t="s">
        <v>1060</v>
      </c>
      <c r="C949" s="853"/>
      <c r="D949" s="859">
        <v>1.06</v>
      </c>
      <c r="E949" s="855" t="s">
        <v>33</v>
      </c>
      <c r="F949" s="856">
        <v>2500</v>
      </c>
      <c r="G949" s="857">
        <f t="shared" ref="G949:G954" si="31">D949*F949</f>
        <v>2650</v>
      </c>
      <c r="H949" s="901" t="s">
        <v>889</v>
      </c>
    </row>
    <row r="950" spans="1:8" hidden="1" x14ac:dyDescent="0.3">
      <c r="A950" s="851"/>
      <c r="B950" s="852" t="s">
        <v>788</v>
      </c>
      <c r="C950" s="853"/>
      <c r="D950" s="859">
        <v>21.51</v>
      </c>
      <c r="E950" s="855" t="s">
        <v>399</v>
      </c>
      <c r="F950" s="856">
        <v>2.08</v>
      </c>
      <c r="G950" s="857">
        <f t="shared" si="31"/>
        <v>44.740800000000007</v>
      </c>
      <c r="H950" s="901" t="s">
        <v>745</v>
      </c>
    </row>
    <row r="951" spans="1:8" hidden="1" x14ac:dyDescent="0.3">
      <c r="A951" s="851"/>
      <c r="B951" s="852" t="s">
        <v>894</v>
      </c>
      <c r="C951" s="853"/>
      <c r="D951" s="859">
        <v>0.25</v>
      </c>
      <c r="E951" s="855" t="s">
        <v>399</v>
      </c>
      <c r="F951" s="856">
        <v>27.14</v>
      </c>
      <c r="G951" s="857">
        <f t="shared" si="31"/>
        <v>6.7850000000000001</v>
      </c>
      <c r="H951" s="900" t="s">
        <v>745</v>
      </c>
    </row>
    <row r="952" spans="1:8" hidden="1" x14ac:dyDescent="0.3">
      <c r="A952" s="851"/>
      <c r="B952" s="852" t="s">
        <v>748</v>
      </c>
      <c r="C952" s="853"/>
      <c r="D952" s="859">
        <v>0.11</v>
      </c>
      <c r="E952" s="855" t="s">
        <v>34</v>
      </c>
      <c r="F952" s="856">
        <v>287.5</v>
      </c>
      <c r="G952" s="857">
        <f t="shared" si="31"/>
        <v>31.625</v>
      </c>
      <c r="H952" s="850"/>
    </row>
    <row r="953" spans="1:8" hidden="1" x14ac:dyDescent="0.3">
      <c r="A953" s="851"/>
      <c r="B953" s="852" t="s">
        <v>835</v>
      </c>
      <c r="C953" s="853"/>
      <c r="D953" s="854">
        <v>10</v>
      </c>
      <c r="E953" s="855" t="s">
        <v>540</v>
      </c>
      <c r="F953" s="860">
        <v>1.44E-2</v>
      </c>
      <c r="G953" s="857">
        <f t="shared" si="31"/>
        <v>0.14399999999999999</v>
      </c>
      <c r="H953" s="850"/>
    </row>
    <row r="954" spans="1:8" hidden="1" x14ac:dyDescent="0.3">
      <c r="A954" s="851"/>
      <c r="B954" s="852" t="s">
        <v>852</v>
      </c>
      <c r="C954" s="853"/>
      <c r="D954" s="859">
        <v>0.02</v>
      </c>
      <c r="E954" s="855" t="s">
        <v>399</v>
      </c>
      <c r="F954" s="856">
        <v>150</v>
      </c>
      <c r="G954" s="857">
        <f t="shared" si="31"/>
        <v>3</v>
      </c>
      <c r="H954" s="850"/>
    </row>
    <row r="955" spans="1:8" hidden="1" x14ac:dyDescent="0.3">
      <c r="A955" s="861"/>
      <c r="B955" s="862"/>
      <c r="C955" s="863" t="s">
        <v>1061</v>
      </c>
      <c r="D955" s="864">
        <v>1</v>
      </c>
      <c r="E955" s="865" t="s">
        <v>33</v>
      </c>
      <c r="F955" s="866" t="s">
        <v>6</v>
      </c>
      <c r="G955" s="911">
        <f>SUM(G949:G954)</f>
        <v>2736.2947999999997</v>
      </c>
      <c r="H955" s="868" t="s">
        <v>752</v>
      </c>
    </row>
    <row r="956" spans="1:8" hidden="1" x14ac:dyDescent="0.3">
      <c r="A956" s="958">
        <v>11.2</v>
      </c>
      <c r="B956" s="846" t="s">
        <v>1372</v>
      </c>
      <c r="C956" s="852"/>
      <c r="D956" s="847"/>
      <c r="E956" s="847"/>
      <c r="F956" s="848"/>
      <c r="G956" s="849" t="s">
        <v>745</v>
      </c>
      <c r="H956" s="850"/>
    </row>
    <row r="957" spans="1:8" hidden="1" x14ac:dyDescent="0.3">
      <c r="A957" s="851"/>
      <c r="B957" s="852" t="s">
        <v>1062</v>
      </c>
      <c r="C957" s="853"/>
      <c r="D957" s="859">
        <v>1.05</v>
      </c>
      <c r="E957" s="855" t="s">
        <v>33</v>
      </c>
      <c r="F957" s="856">
        <v>99.96</v>
      </c>
      <c r="G957" s="857">
        <f t="shared" ref="G957:G962" si="32">D957*F957</f>
        <v>104.958</v>
      </c>
      <c r="H957" s="901" t="s">
        <v>1063</v>
      </c>
    </row>
    <row r="958" spans="1:8" hidden="1" x14ac:dyDescent="0.3">
      <c r="A958" s="851"/>
      <c r="B958" s="852" t="s">
        <v>788</v>
      </c>
      <c r="C958" s="853"/>
      <c r="D958" s="859">
        <v>21.51</v>
      </c>
      <c r="E958" s="855" t="s">
        <v>399</v>
      </c>
      <c r="F958" s="856">
        <v>2.08</v>
      </c>
      <c r="G958" s="857">
        <f t="shared" si="32"/>
        <v>44.740800000000007</v>
      </c>
      <c r="H958" s="901" t="s">
        <v>745</v>
      </c>
    </row>
    <row r="959" spans="1:8" hidden="1" x14ac:dyDescent="0.3">
      <c r="A959" s="851"/>
      <c r="B959" s="852" t="s">
        <v>748</v>
      </c>
      <c r="C959" s="853"/>
      <c r="D959" s="859">
        <v>0.11</v>
      </c>
      <c r="E959" s="855" t="s">
        <v>34</v>
      </c>
      <c r="F959" s="856">
        <v>287.5</v>
      </c>
      <c r="G959" s="857">
        <f t="shared" si="32"/>
        <v>31.625</v>
      </c>
      <c r="H959" s="900" t="s">
        <v>745</v>
      </c>
    </row>
    <row r="960" spans="1:8" hidden="1" x14ac:dyDescent="0.3">
      <c r="A960" s="851"/>
      <c r="B960" s="852" t="s">
        <v>835</v>
      </c>
      <c r="C960" s="853"/>
      <c r="D960" s="854">
        <v>6</v>
      </c>
      <c r="E960" s="855" t="s">
        <v>540</v>
      </c>
      <c r="F960" s="860">
        <v>1.44E-2</v>
      </c>
      <c r="G960" s="857">
        <f t="shared" si="32"/>
        <v>8.6400000000000005E-2</v>
      </c>
      <c r="H960" s="850"/>
    </row>
    <row r="961" spans="1:8" hidden="1" x14ac:dyDescent="0.3">
      <c r="A961" s="851"/>
      <c r="B961" s="852" t="s">
        <v>1064</v>
      </c>
      <c r="C961" s="853"/>
      <c r="D961" s="859">
        <v>0.1</v>
      </c>
      <c r="E961" s="855" t="s">
        <v>399</v>
      </c>
      <c r="F961" s="914">
        <v>28</v>
      </c>
      <c r="G961" s="857">
        <f t="shared" si="32"/>
        <v>2.8000000000000003</v>
      </c>
      <c r="H961" s="850"/>
    </row>
    <row r="962" spans="1:8" hidden="1" x14ac:dyDescent="0.3">
      <c r="A962" s="851"/>
      <c r="B962" s="852" t="s">
        <v>852</v>
      </c>
      <c r="C962" s="853"/>
      <c r="D962" s="859">
        <v>0.02</v>
      </c>
      <c r="E962" s="855" t="s">
        <v>399</v>
      </c>
      <c r="F962" s="856">
        <v>150</v>
      </c>
      <c r="G962" s="857">
        <f t="shared" si="32"/>
        <v>3</v>
      </c>
      <c r="H962" s="850"/>
    </row>
    <row r="963" spans="1:8" hidden="1" x14ac:dyDescent="0.3">
      <c r="A963" s="950"/>
      <c r="B963" s="951"/>
      <c r="C963" s="952" t="s">
        <v>1065</v>
      </c>
      <c r="D963" s="953">
        <v>1</v>
      </c>
      <c r="E963" s="954" t="s">
        <v>33</v>
      </c>
      <c r="F963" s="955" t="s">
        <v>6</v>
      </c>
      <c r="G963" s="956">
        <f>SUM(G957:G962)</f>
        <v>187.21020000000001</v>
      </c>
      <c r="H963" s="957" t="s">
        <v>752</v>
      </c>
    </row>
    <row r="964" spans="1:8" hidden="1" x14ac:dyDescent="0.3">
      <c r="A964" s="869">
        <v>11.21</v>
      </c>
      <c r="B964" s="846" t="s">
        <v>1373</v>
      </c>
      <c r="C964" s="852"/>
      <c r="D964" s="847"/>
      <c r="E964" s="847"/>
      <c r="F964" s="848"/>
      <c r="G964" s="849" t="s">
        <v>745</v>
      </c>
      <c r="H964" s="850"/>
    </row>
    <row r="965" spans="1:8" hidden="1" x14ac:dyDescent="0.3">
      <c r="A965" s="851"/>
      <c r="B965" s="852" t="s">
        <v>1066</v>
      </c>
      <c r="C965" s="853"/>
      <c r="D965" s="859">
        <v>1.05</v>
      </c>
      <c r="E965" s="855" t="s">
        <v>33</v>
      </c>
      <c r="F965" s="856">
        <v>124.67</v>
      </c>
      <c r="G965" s="857">
        <f t="shared" ref="G965:G970" si="33">D965*F965</f>
        <v>130.90350000000001</v>
      </c>
      <c r="H965" s="901" t="s">
        <v>1063</v>
      </c>
    </row>
    <row r="966" spans="1:8" hidden="1" x14ac:dyDescent="0.3">
      <c r="A966" s="851"/>
      <c r="B966" s="852" t="s">
        <v>788</v>
      </c>
      <c r="C966" s="853"/>
      <c r="D966" s="859">
        <v>21.51</v>
      </c>
      <c r="E966" s="855" t="s">
        <v>399</v>
      </c>
      <c r="F966" s="856">
        <v>2.08</v>
      </c>
      <c r="G966" s="857">
        <f t="shared" si="33"/>
        <v>44.740800000000007</v>
      </c>
      <c r="H966" s="901" t="s">
        <v>745</v>
      </c>
    </row>
    <row r="967" spans="1:8" hidden="1" x14ac:dyDescent="0.3">
      <c r="A967" s="851"/>
      <c r="B967" s="852" t="s">
        <v>748</v>
      </c>
      <c r="C967" s="853"/>
      <c r="D967" s="859">
        <v>0.11</v>
      </c>
      <c r="E967" s="855" t="s">
        <v>34</v>
      </c>
      <c r="F967" s="856">
        <v>287.5</v>
      </c>
      <c r="G967" s="857">
        <f t="shared" si="33"/>
        <v>31.625</v>
      </c>
      <c r="H967" s="900" t="s">
        <v>745</v>
      </c>
    </row>
    <row r="968" spans="1:8" hidden="1" x14ac:dyDescent="0.3">
      <c r="A968" s="851"/>
      <c r="B968" s="852" t="s">
        <v>835</v>
      </c>
      <c r="C968" s="853"/>
      <c r="D968" s="854">
        <v>6</v>
      </c>
      <c r="E968" s="855" t="s">
        <v>540</v>
      </c>
      <c r="F968" s="860">
        <v>1.44E-2</v>
      </c>
      <c r="G968" s="857">
        <f t="shared" si="33"/>
        <v>8.6400000000000005E-2</v>
      </c>
      <c r="H968" s="850"/>
    </row>
    <row r="969" spans="1:8" hidden="1" x14ac:dyDescent="0.3">
      <c r="A969" s="851"/>
      <c r="B969" s="852" t="s">
        <v>1064</v>
      </c>
      <c r="C969" s="853"/>
      <c r="D969" s="859">
        <v>0.1</v>
      </c>
      <c r="E969" s="855" t="s">
        <v>399</v>
      </c>
      <c r="F969" s="914">
        <v>28</v>
      </c>
      <c r="G969" s="857">
        <f t="shared" si="33"/>
        <v>2.8000000000000003</v>
      </c>
      <c r="H969" s="850"/>
    </row>
    <row r="970" spans="1:8" hidden="1" x14ac:dyDescent="0.3">
      <c r="A970" s="851"/>
      <c r="B970" s="852" t="s">
        <v>852</v>
      </c>
      <c r="C970" s="853"/>
      <c r="D970" s="859">
        <v>0.02</v>
      </c>
      <c r="E970" s="855" t="s">
        <v>399</v>
      </c>
      <c r="F970" s="856">
        <v>150</v>
      </c>
      <c r="G970" s="857">
        <f t="shared" si="33"/>
        <v>3</v>
      </c>
      <c r="H970" s="850"/>
    </row>
    <row r="971" spans="1:8" ht="19.5" hidden="1" thickBot="1" x14ac:dyDescent="0.35">
      <c r="A971" s="879"/>
      <c r="B971" s="880"/>
      <c r="C971" s="881" t="s">
        <v>1067</v>
      </c>
      <c r="D971" s="882">
        <v>1</v>
      </c>
      <c r="E971" s="915" t="s">
        <v>33</v>
      </c>
      <c r="F971" s="916" t="s">
        <v>6</v>
      </c>
      <c r="G971" s="917">
        <f>SUM(G965:G970)</f>
        <v>213.15570000000002</v>
      </c>
      <c r="H971" s="941" t="s">
        <v>752</v>
      </c>
    </row>
    <row r="972" spans="1:8" hidden="1" x14ac:dyDescent="0.3">
      <c r="D972" s="886"/>
      <c r="E972" s="918"/>
      <c r="F972" s="919"/>
      <c r="G972" s="888" t="str">
        <f>$G$37</f>
        <v xml:space="preserve"> เมษายน 2549</v>
      </c>
      <c r="H972" s="888"/>
    </row>
    <row r="973" spans="1:8" ht="19.5" hidden="1" x14ac:dyDescent="0.3">
      <c r="A973" s="820" t="s">
        <v>1068</v>
      </c>
      <c r="B973" s="820"/>
      <c r="C973" s="820"/>
      <c r="D973" s="820"/>
      <c r="E973" s="820"/>
      <c r="F973" s="820"/>
      <c r="G973" s="820"/>
      <c r="H973" s="820"/>
    </row>
    <row r="974" spans="1:8" ht="20.25" hidden="1" thickBot="1" x14ac:dyDescent="0.35">
      <c r="A974" s="889" t="s">
        <v>758</v>
      </c>
      <c r="B974" s="889"/>
      <c r="C974" s="889"/>
      <c r="D974" s="889"/>
      <c r="E974" s="889"/>
      <c r="F974" s="889"/>
      <c r="G974" s="889"/>
      <c r="H974" s="889"/>
    </row>
    <row r="975" spans="1:8" hidden="1" x14ac:dyDescent="0.3">
      <c r="A975" s="823" t="s">
        <v>424</v>
      </c>
      <c r="B975" s="824" t="s">
        <v>1</v>
      </c>
      <c r="C975" s="825"/>
      <c r="D975" s="826" t="s">
        <v>24</v>
      </c>
      <c r="E975" s="826" t="s">
        <v>25</v>
      </c>
      <c r="F975" s="827" t="s">
        <v>390</v>
      </c>
      <c r="G975" s="828" t="s">
        <v>743</v>
      </c>
      <c r="H975" s="829" t="s">
        <v>20</v>
      </c>
    </row>
    <row r="976" spans="1:8" hidden="1" x14ac:dyDescent="0.3">
      <c r="A976" s="830"/>
      <c r="B976" s="831"/>
      <c r="C976" s="832"/>
      <c r="D976" s="833"/>
      <c r="E976" s="833"/>
      <c r="F976" s="834" t="s">
        <v>31</v>
      </c>
      <c r="G976" s="835" t="s">
        <v>31</v>
      </c>
      <c r="H976" s="836"/>
    </row>
    <row r="977" spans="1:8" hidden="1" x14ac:dyDescent="0.3">
      <c r="A977" s="869">
        <v>11.22</v>
      </c>
      <c r="B977" s="846" t="s">
        <v>1374</v>
      </c>
      <c r="C977" s="852"/>
      <c r="D977" s="847"/>
      <c r="E977" s="847"/>
      <c r="F977" s="848"/>
      <c r="G977" s="849" t="s">
        <v>745</v>
      </c>
      <c r="H977" s="850"/>
    </row>
    <row r="978" spans="1:8" hidden="1" x14ac:dyDescent="0.3">
      <c r="A978" s="851"/>
      <c r="B978" s="852" t="s">
        <v>1069</v>
      </c>
      <c r="C978" s="853"/>
      <c r="D978" s="859">
        <v>1.05</v>
      </c>
      <c r="E978" s="855" t="s">
        <v>33</v>
      </c>
      <c r="F978" s="856">
        <v>155.84</v>
      </c>
      <c r="G978" s="857">
        <f t="shared" ref="G978:G983" si="34">D978*F978</f>
        <v>163.63200000000001</v>
      </c>
      <c r="H978" s="901" t="s">
        <v>1063</v>
      </c>
    </row>
    <row r="979" spans="1:8" hidden="1" x14ac:dyDescent="0.3">
      <c r="A979" s="851"/>
      <c r="B979" s="852" t="s">
        <v>788</v>
      </c>
      <c r="C979" s="853"/>
      <c r="D979" s="859">
        <v>21.51</v>
      </c>
      <c r="E979" s="855" t="s">
        <v>399</v>
      </c>
      <c r="F979" s="856">
        <v>2.08</v>
      </c>
      <c r="G979" s="857">
        <f t="shared" si="34"/>
        <v>44.740800000000007</v>
      </c>
      <c r="H979" s="901" t="s">
        <v>745</v>
      </c>
    </row>
    <row r="980" spans="1:8" hidden="1" x14ac:dyDescent="0.3">
      <c r="A980" s="851"/>
      <c r="B980" s="852" t="s">
        <v>748</v>
      </c>
      <c r="C980" s="853"/>
      <c r="D980" s="859">
        <v>0.11</v>
      </c>
      <c r="E980" s="855" t="s">
        <v>34</v>
      </c>
      <c r="F980" s="856">
        <v>287.5</v>
      </c>
      <c r="G980" s="857">
        <f t="shared" si="34"/>
        <v>31.625</v>
      </c>
      <c r="H980" s="900" t="s">
        <v>745</v>
      </c>
    </row>
    <row r="981" spans="1:8" hidden="1" x14ac:dyDescent="0.3">
      <c r="A981" s="851"/>
      <c r="B981" s="852" t="s">
        <v>835</v>
      </c>
      <c r="C981" s="853"/>
      <c r="D981" s="854">
        <v>6</v>
      </c>
      <c r="E981" s="855" t="s">
        <v>540</v>
      </c>
      <c r="F981" s="860">
        <v>1.44E-2</v>
      </c>
      <c r="G981" s="857">
        <f t="shared" si="34"/>
        <v>8.6400000000000005E-2</v>
      </c>
      <c r="H981" s="850"/>
    </row>
    <row r="982" spans="1:8" hidden="1" x14ac:dyDescent="0.3">
      <c r="A982" s="851"/>
      <c r="B982" s="852" t="s">
        <v>1064</v>
      </c>
      <c r="C982" s="853"/>
      <c r="D982" s="859">
        <v>0.1</v>
      </c>
      <c r="E982" s="855" t="s">
        <v>399</v>
      </c>
      <c r="F982" s="914">
        <v>28</v>
      </c>
      <c r="G982" s="857">
        <f t="shared" si="34"/>
        <v>2.8000000000000003</v>
      </c>
      <c r="H982" s="850"/>
    </row>
    <row r="983" spans="1:8" hidden="1" x14ac:dyDescent="0.3">
      <c r="A983" s="851"/>
      <c r="B983" s="852" t="s">
        <v>852</v>
      </c>
      <c r="C983" s="853"/>
      <c r="D983" s="859">
        <v>0.02</v>
      </c>
      <c r="E983" s="855" t="s">
        <v>399</v>
      </c>
      <c r="F983" s="856">
        <v>150</v>
      </c>
      <c r="G983" s="857">
        <f t="shared" si="34"/>
        <v>3</v>
      </c>
      <c r="H983" s="850"/>
    </row>
    <row r="984" spans="1:8" hidden="1" x14ac:dyDescent="0.3">
      <c r="A984" s="950"/>
      <c r="B984" s="951"/>
      <c r="C984" s="952" t="s">
        <v>1070</v>
      </c>
      <c r="D984" s="953">
        <v>1</v>
      </c>
      <c r="E984" s="954" t="s">
        <v>33</v>
      </c>
      <c r="F984" s="955" t="s">
        <v>6</v>
      </c>
      <c r="G984" s="956">
        <f>SUM(G978:G983)</f>
        <v>245.88420000000002</v>
      </c>
      <c r="H984" s="957" t="s">
        <v>752</v>
      </c>
    </row>
    <row r="985" spans="1:8" hidden="1" x14ac:dyDescent="0.3">
      <c r="A985" s="869">
        <v>11.23</v>
      </c>
      <c r="B985" s="846" t="s">
        <v>1375</v>
      </c>
      <c r="C985" s="852"/>
      <c r="D985" s="847"/>
      <c r="E985" s="847"/>
      <c r="F985" s="848"/>
      <c r="G985" s="849" t="s">
        <v>745</v>
      </c>
      <c r="H985" s="850"/>
    </row>
    <row r="986" spans="1:8" hidden="1" x14ac:dyDescent="0.3">
      <c r="A986" s="851"/>
      <c r="B986" s="852" t="s">
        <v>1071</v>
      </c>
      <c r="C986" s="853"/>
      <c r="D986" s="859">
        <v>1.05</v>
      </c>
      <c r="E986" s="855" t="s">
        <v>33</v>
      </c>
      <c r="F986" s="856">
        <v>198.8</v>
      </c>
      <c r="G986" s="857">
        <f t="shared" ref="G986:G991" si="35">D986*F986</f>
        <v>208.74</v>
      </c>
      <c r="H986" s="901" t="s">
        <v>1063</v>
      </c>
    </row>
    <row r="987" spans="1:8" hidden="1" x14ac:dyDescent="0.3">
      <c r="A987" s="851"/>
      <c r="B987" s="852" t="s">
        <v>788</v>
      </c>
      <c r="C987" s="853"/>
      <c r="D987" s="859">
        <v>21.51</v>
      </c>
      <c r="E987" s="855" t="s">
        <v>399</v>
      </c>
      <c r="F987" s="856">
        <v>2.08</v>
      </c>
      <c r="G987" s="857">
        <f t="shared" si="35"/>
        <v>44.740800000000007</v>
      </c>
      <c r="H987" s="901" t="s">
        <v>745</v>
      </c>
    </row>
    <row r="988" spans="1:8" hidden="1" x14ac:dyDescent="0.3">
      <c r="A988" s="851"/>
      <c r="B988" s="852" t="s">
        <v>748</v>
      </c>
      <c r="C988" s="853"/>
      <c r="D988" s="859">
        <v>0.11</v>
      </c>
      <c r="E988" s="855" t="s">
        <v>34</v>
      </c>
      <c r="F988" s="856">
        <v>287.5</v>
      </c>
      <c r="G988" s="857">
        <f t="shared" si="35"/>
        <v>31.625</v>
      </c>
      <c r="H988" s="900" t="s">
        <v>745</v>
      </c>
    </row>
    <row r="989" spans="1:8" hidden="1" x14ac:dyDescent="0.3">
      <c r="A989" s="851"/>
      <c r="B989" s="852" t="s">
        <v>835</v>
      </c>
      <c r="C989" s="853"/>
      <c r="D989" s="854">
        <v>6</v>
      </c>
      <c r="E989" s="855" t="s">
        <v>540</v>
      </c>
      <c r="F989" s="860">
        <v>1.44E-2</v>
      </c>
      <c r="G989" s="857">
        <f t="shared" si="35"/>
        <v>8.6400000000000005E-2</v>
      </c>
      <c r="H989" s="850"/>
    </row>
    <row r="990" spans="1:8" hidden="1" x14ac:dyDescent="0.3">
      <c r="A990" s="851"/>
      <c r="B990" s="852" t="s">
        <v>1064</v>
      </c>
      <c r="C990" s="853"/>
      <c r="D990" s="859">
        <v>0.1</v>
      </c>
      <c r="E990" s="855" t="s">
        <v>399</v>
      </c>
      <c r="F990" s="914">
        <v>28</v>
      </c>
      <c r="G990" s="857">
        <f t="shared" si="35"/>
        <v>2.8000000000000003</v>
      </c>
      <c r="H990" s="850"/>
    </row>
    <row r="991" spans="1:8" hidden="1" x14ac:dyDescent="0.3">
      <c r="A991" s="851"/>
      <c r="B991" s="852" t="s">
        <v>852</v>
      </c>
      <c r="C991" s="853"/>
      <c r="D991" s="859">
        <v>0.02</v>
      </c>
      <c r="E991" s="855" t="s">
        <v>399</v>
      </c>
      <c r="F991" s="856">
        <v>150</v>
      </c>
      <c r="G991" s="857">
        <f t="shared" si="35"/>
        <v>3</v>
      </c>
      <c r="H991" s="850"/>
    </row>
    <row r="992" spans="1:8" hidden="1" x14ac:dyDescent="0.3">
      <c r="A992" s="950"/>
      <c r="B992" s="951"/>
      <c r="C992" s="952" t="s">
        <v>1072</v>
      </c>
      <c r="D992" s="953">
        <v>1</v>
      </c>
      <c r="E992" s="954" t="s">
        <v>33</v>
      </c>
      <c r="F992" s="955" t="s">
        <v>6</v>
      </c>
      <c r="G992" s="956">
        <f>SUM(G986:G990)</f>
        <v>287.99220000000008</v>
      </c>
      <c r="H992" s="957" t="s">
        <v>752</v>
      </c>
    </row>
    <row r="993" spans="1:8" hidden="1" x14ac:dyDescent="0.3">
      <c r="A993" s="958">
        <v>11.24</v>
      </c>
      <c r="B993" s="846" t="s">
        <v>1376</v>
      </c>
      <c r="C993" s="852"/>
      <c r="D993" s="847"/>
      <c r="E993" s="847"/>
      <c r="F993" s="848"/>
      <c r="G993" s="849" t="s">
        <v>745</v>
      </c>
      <c r="H993" s="850"/>
    </row>
    <row r="994" spans="1:8" hidden="1" x14ac:dyDescent="0.3">
      <c r="A994" s="851"/>
      <c r="B994" s="852" t="s">
        <v>1073</v>
      </c>
      <c r="C994" s="853"/>
      <c r="D994" s="859">
        <v>1.05</v>
      </c>
      <c r="E994" s="855" t="s">
        <v>33</v>
      </c>
      <c r="F994" s="856">
        <v>250</v>
      </c>
      <c r="G994" s="857">
        <f t="shared" ref="G994:G999" si="36">D994*F994</f>
        <v>262.5</v>
      </c>
      <c r="H994" s="901" t="s">
        <v>1063</v>
      </c>
    </row>
    <row r="995" spans="1:8" hidden="1" x14ac:dyDescent="0.3">
      <c r="A995" s="851"/>
      <c r="B995" s="852" t="s">
        <v>788</v>
      </c>
      <c r="C995" s="853"/>
      <c r="D995" s="859">
        <v>21.51</v>
      </c>
      <c r="E995" s="855" t="s">
        <v>399</v>
      </c>
      <c r="F995" s="856">
        <v>2.08</v>
      </c>
      <c r="G995" s="857">
        <f t="shared" si="36"/>
        <v>44.740800000000007</v>
      </c>
      <c r="H995" s="901" t="s">
        <v>745</v>
      </c>
    </row>
    <row r="996" spans="1:8" hidden="1" x14ac:dyDescent="0.3">
      <c r="A996" s="851"/>
      <c r="B996" s="852" t="s">
        <v>748</v>
      </c>
      <c r="C996" s="853"/>
      <c r="D996" s="859">
        <v>0.11</v>
      </c>
      <c r="E996" s="855" t="s">
        <v>34</v>
      </c>
      <c r="F996" s="856">
        <v>287.5</v>
      </c>
      <c r="G996" s="857">
        <f t="shared" si="36"/>
        <v>31.625</v>
      </c>
      <c r="H996" s="900" t="s">
        <v>745</v>
      </c>
    </row>
    <row r="997" spans="1:8" hidden="1" x14ac:dyDescent="0.3">
      <c r="A997" s="851"/>
      <c r="B997" s="852" t="s">
        <v>835</v>
      </c>
      <c r="C997" s="853"/>
      <c r="D997" s="854">
        <v>6</v>
      </c>
      <c r="E997" s="855" t="s">
        <v>540</v>
      </c>
      <c r="F997" s="860">
        <v>1.44E-2</v>
      </c>
      <c r="G997" s="857">
        <f t="shared" si="36"/>
        <v>8.6400000000000005E-2</v>
      </c>
      <c r="H997" s="850"/>
    </row>
    <row r="998" spans="1:8" hidden="1" x14ac:dyDescent="0.3">
      <c r="A998" s="851"/>
      <c r="B998" s="852" t="s">
        <v>1064</v>
      </c>
      <c r="C998" s="853"/>
      <c r="D998" s="859">
        <v>0.1</v>
      </c>
      <c r="E998" s="855" t="s">
        <v>399</v>
      </c>
      <c r="F998" s="914">
        <v>28</v>
      </c>
      <c r="G998" s="857">
        <f t="shared" si="36"/>
        <v>2.8000000000000003</v>
      </c>
      <c r="H998" s="850"/>
    </row>
    <row r="999" spans="1:8" hidden="1" x14ac:dyDescent="0.3">
      <c r="A999" s="851"/>
      <c r="B999" s="852" t="s">
        <v>852</v>
      </c>
      <c r="C999" s="853"/>
      <c r="D999" s="859">
        <v>0.02</v>
      </c>
      <c r="E999" s="855" t="s">
        <v>399</v>
      </c>
      <c r="F999" s="856">
        <v>150</v>
      </c>
      <c r="G999" s="857">
        <f t="shared" si="36"/>
        <v>3</v>
      </c>
      <c r="H999" s="850"/>
    </row>
    <row r="1000" spans="1:8" hidden="1" x14ac:dyDescent="0.3">
      <c r="A1000" s="950"/>
      <c r="B1000" s="951"/>
      <c r="C1000" s="952" t="s">
        <v>1074</v>
      </c>
      <c r="D1000" s="953">
        <v>1</v>
      </c>
      <c r="E1000" s="954" t="s">
        <v>33</v>
      </c>
      <c r="F1000" s="955" t="s">
        <v>6</v>
      </c>
      <c r="G1000" s="956">
        <f>SUM(G994:G999)</f>
        <v>344.75220000000007</v>
      </c>
      <c r="H1000" s="957" t="s">
        <v>752</v>
      </c>
    </row>
    <row r="1001" spans="1:8" hidden="1" x14ac:dyDescent="0.3">
      <c r="A1001" s="958">
        <v>11.25</v>
      </c>
      <c r="B1001" s="846" t="s">
        <v>1377</v>
      </c>
      <c r="C1001" s="852"/>
      <c r="D1001" s="847"/>
      <c r="E1001" s="847"/>
      <c r="F1001" s="848"/>
      <c r="G1001" s="849" t="s">
        <v>745</v>
      </c>
      <c r="H1001" s="850"/>
    </row>
    <row r="1002" spans="1:8" hidden="1" x14ac:dyDescent="0.3">
      <c r="A1002" s="851"/>
      <c r="B1002" s="852" t="s">
        <v>1075</v>
      </c>
      <c r="C1002" s="853"/>
      <c r="D1002" s="859">
        <v>1.05</v>
      </c>
      <c r="E1002" s="855" t="s">
        <v>33</v>
      </c>
      <c r="F1002" s="856">
        <v>320</v>
      </c>
      <c r="G1002" s="857">
        <f t="shared" ref="G1002:G1007" si="37">D1002*F1002</f>
        <v>336</v>
      </c>
      <c r="H1002" s="901" t="s">
        <v>1063</v>
      </c>
    </row>
    <row r="1003" spans="1:8" hidden="1" x14ac:dyDescent="0.3">
      <c r="A1003" s="851"/>
      <c r="B1003" s="852" t="s">
        <v>788</v>
      </c>
      <c r="C1003" s="853"/>
      <c r="D1003" s="859">
        <v>21.51</v>
      </c>
      <c r="E1003" s="855" t="s">
        <v>399</v>
      </c>
      <c r="F1003" s="856">
        <v>2.08</v>
      </c>
      <c r="G1003" s="857">
        <f t="shared" si="37"/>
        <v>44.740800000000007</v>
      </c>
      <c r="H1003" s="901" t="s">
        <v>745</v>
      </c>
    </row>
    <row r="1004" spans="1:8" hidden="1" x14ac:dyDescent="0.3">
      <c r="A1004" s="851"/>
      <c r="B1004" s="852" t="s">
        <v>748</v>
      </c>
      <c r="C1004" s="853"/>
      <c r="D1004" s="859">
        <v>0.11</v>
      </c>
      <c r="E1004" s="855" t="s">
        <v>34</v>
      </c>
      <c r="F1004" s="856">
        <v>287.5</v>
      </c>
      <c r="G1004" s="857">
        <f t="shared" si="37"/>
        <v>31.625</v>
      </c>
      <c r="H1004" s="900" t="s">
        <v>745</v>
      </c>
    </row>
    <row r="1005" spans="1:8" hidden="1" x14ac:dyDescent="0.3">
      <c r="A1005" s="851"/>
      <c r="B1005" s="852" t="s">
        <v>835</v>
      </c>
      <c r="C1005" s="853"/>
      <c r="D1005" s="854">
        <v>6</v>
      </c>
      <c r="E1005" s="855" t="s">
        <v>540</v>
      </c>
      <c r="F1005" s="860">
        <v>1.44E-2</v>
      </c>
      <c r="G1005" s="857">
        <f t="shared" si="37"/>
        <v>8.6400000000000005E-2</v>
      </c>
      <c r="H1005" s="850"/>
    </row>
    <row r="1006" spans="1:8" hidden="1" x14ac:dyDescent="0.3">
      <c r="A1006" s="851"/>
      <c r="B1006" s="852" t="s">
        <v>1064</v>
      </c>
      <c r="C1006" s="853"/>
      <c r="D1006" s="859">
        <v>0.1</v>
      </c>
      <c r="E1006" s="855" t="s">
        <v>399</v>
      </c>
      <c r="F1006" s="914">
        <v>28</v>
      </c>
      <c r="G1006" s="857">
        <f t="shared" si="37"/>
        <v>2.8000000000000003</v>
      </c>
      <c r="H1006" s="850"/>
    </row>
    <row r="1007" spans="1:8" hidden="1" x14ac:dyDescent="0.3">
      <c r="A1007" s="851"/>
      <c r="B1007" s="852" t="s">
        <v>852</v>
      </c>
      <c r="C1007" s="853"/>
      <c r="D1007" s="859">
        <v>0.02</v>
      </c>
      <c r="E1007" s="855" t="s">
        <v>399</v>
      </c>
      <c r="F1007" s="856">
        <v>150</v>
      </c>
      <c r="G1007" s="857">
        <f t="shared" si="37"/>
        <v>3</v>
      </c>
      <c r="H1007" s="850"/>
    </row>
    <row r="1008" spans="1:8" hidden="1" x14ac:dyDescent="0.3">
      <c r="A1008" s="851"/>
      <c r="B1008" s="875"/>
      <c r="C1008" s="852" t="s">
        <v>1074</v>
      </c>
      <c r="D1008" s="854">
        <v>1</v>
      </c>
      <c r="E1008" s="855" t="s">
        <v>33</v>
      </c>
      <c r="F1008" s="876" t="s">
        <v>6</v>
      </c>
      <c r="G1008" s="945">
        <f>SUM(G1002:G1007)</f>
        <v>418.25220000000007</v>
      </c>
      <c r="H1008" s="878" t="s">
        <v>752</v>
      </c>
    </row>
    <row r="1009" spans="1:8" ht="19.5" hidden="1" thickBot="1" x14ac:dyDescent="0.35">
      <c r="A1009" s="879"/>
      <c r="B1009" s="880"/>
      <c r="C1009" s="881"/>
      <c r="D1009" s="883"/>
      <c r="E1009" s="883"/>
      <c r="F1009" s="985"/>
      <c r="G1009" s="891" t="s">
        <v>745</v>
      </c>
      <c r="H1009" s="885"/>
    </row>
    <row r="1010" spans="1:8" hidden="1" x14ac:dyDescent="0.3">
      <c r="G1010" s="888" t="str">
        <f>$G$37</f>
        <v xml:space="preserve"> เมษายน 2549</v>
      </c>
      <c r="H1010" s="888"/>
    </row>
    <row r="1011" spans="1:8" ht="19.5" hidden="1" x14ac:dyDescent="0.3">
      <c r="A1011" s="820" t="s">
        <v>1076</v>
      </c>
      <c r="B1011" s="820"/>
      <c r="C1011" s="820"/>
      <c r="D1011" s="820"/>
      <c r="E1011" s="820"/>
      <c r="F1011" s="820"/>
      <c r="G1011" s="820"/>
      <c r="H1011" s="820"/>
    </row>
    <row r="1012" spans="1:8" ht="20.25" hidden="1" thickBot="1" x14ac:dyDescent="0.35">
      <c r="A1012" s="889" t="s">
        <v>758</v>
      </c>
      <c r="B1012" s="889"/>
      <c r="C1012" s="889"/>
      <c r="D1012" s="889"/>
      <c r="E1012" s="889"/>
      <c r="F1012" s="889"/>
      <c r="G1012" s="889"/>
      <c r="H1012" s="889"/>
    </row>
    <row r="1013" spans="1:8" hidden="1" x14ac:dyDescent="0.3">
      <c r="A1013" s="823" t="s">
        <v>424</v>
      </c>
      <c r="B1013" s="824" t="s">
        <v>1</v>
      </c>
      <c r="C1013" s="825"/>
      <c r="D1013" s="826" t="s">
        <v>24</v>
      </c>
      <c r="E1013" s="826" t="s">
        <v>25</v>
      </c>
      <c r="F1013" s="827" t="s">
        <v>390</v>
      </c>
      <c r="G1013" s="828" t="s">
        <v>743</v>
      </c>
      <c r="H1013" s="829" t="s">
        <v>20</v>
      </c>
    </row>
    <row r="1014" spans="1:8" hidden="1" x14ac:dyDescent="0.3">
      <c r="A1014" s="830"/>
      <c r="B1014" s="831"/>
      <c r="C1014" s="832"/>
      <c r="D1014" s="833"/>
      <c r="E1014" s="833"/>
      <c r="F1014" s="834" t="s">
        <v>31</v>
      </c>
      <c r="G1014" s="835" t="s">
        <v>31</v>
      </c>
      <c r="H1014" s="836"/>
    </row>
    <row r="1015" spans="1:8" hidden="1" x14ac:dyDescent="0.3">
      <c r="A1015" s="958">
        <v>11.26</v>
      </c>
      <c r="B1015" s="846" t="s">
        <v>1378</v>
      </c>
      <c r="C1015" s="852"/>
      <c r="D1015" s="847"/>
      <c r="E1015" s="847"/>
      <c r="F1015" s="848"/>
      <c r="G1015" s="849" t="s">
        <v>745</v>
      </c>
      <c r="H1015" s="850"/>
    </row>
    <row r="1016" spans="1:8" hidden="1" x14ac:dyDescent="0.3">
      <c r="A1016" s="851"/>
      <c r="B1016" s="852" t="s">
        <v>1077</v>
      </c>
      <c r="C1016" s="853"/>
      <c r="D1016" s="859">
        <v>1.1000000000000001</v>
      </c>
      <c r="E1016" s="855" t="s">
        <v>33</v>
      </c>
      <c r="F1016" s="856">
        <v>560</v>
      </c>
      <c r="G1016" s="857">
        <f>D1016*F1016</f>
        <v>616</v>
      </c>
      <c r="H1016" s="901" t="s">
        <v>922</v>
      </c>
    </row>
    <row r="1017" spans="1:8" hidden="1" x14ac:dyDescent="0.3">
      <c r="A1017" s="851"/>
      <c r="B1017" s="852" t="s">
        <v>788</v>
      </c>
      <c r="C1017" s="853"/>
      <c r="D1017" s="859">
        <v>21.51</v>
      </c>
      <c r="E1017" s="855" t="s">
        <v>399</v>
      </c>
      <c r="F1017" s="856">
        <v>2.08</v>
      </c>
      <c r="G1017" s="857">
        <f>D1017*F1017</f>
        <v>44.740800000000007</v>
      </c>
      <c r="H1017" s="900" t="s">
        <v>745</v>
      </c>
    </row>
    <row r="1018" spans="1:8" hidden="1" x14ac:dyDescent="0.3">
      <c r="A1018" s="851"/>
      <c r="B1018" s="852" t="s">
        <v>748</v>
      </c>
      <c r="C1018" s="853"/>
      <c r="D1018" s="859">
        <v>0.11</v>
      </c>
      <c r="E1018" s="855" t="s">
        <v>34</v>
      </c>
      <c r="F1018" s="856">
        <v>287.5</v>
      </c>
      <c r="G1018" s="857">
        <f>D1018*F1018</f>
        <v>31.625</v>
      </c>
      <c r="H1018" s="850"/>
    </row>
    <row r="1019" spans="1:8" hidden="1" x14ac:dyDescent="0.3">
      <c r="A1019" s="851"/>
      <c r="B1019" s="852" t="s">
        <v>835</v>
      </c>
      <c r="C1019" s="853"/>
      <c r="D1019" s="854">
        <v>6</v>
      </c>
      <c r="E1019" s="855" t="s">
        <v>540</v>
      </c>
      <c r="F1019" s="860">
        <v>1.44E-2</v>
      </c>
      <c r="G1019" s="857">
        <f>D1019*F1019</f>
        <v>8.6400000000000005E-2</v>
      </c>
      <c r="H1019" s="850"/>
    </row>
    <row r="1020" spans="1:8" hidden="1" x14ac:dyDescent="0.3">
      <c r="A1020" s="851"/>
      <c r="B1020" s="852" t="s">
        <v>1078</v>
      </c>
      <c r="C1020" s="853"/>
      <c r="D1020" s="859">
        <v>0.1</v>
      </c>
      <c r="E1020" s="855" t="s">
        <v>399</v>
      </c>
      <c r="F1020" s="914">
        <v>28</v>
      </c>
      <c r="G1020" s="857">
        <f>D1020*F1020</f>
        <v>2.8000000000000003</v>
      </c>
      <c r="H1020" s="850"/>
    </row>
    <row r="1021" spans="1:8" hidden="1" x14ac:dyDescent="0.3">
      <c r="A1021" s="950"/>
      <c r="B1021" s="951"/>
      <c r="C1021" s="952" t="s">
        <v>1079</v>
      </c>
      <c r="D1021" s="953">
        <v>1</v>
      </c>
      <c r="E1021" s="954" t="s">
        <v>33</v>
      </c>
      <c r="F1021" s="955" t="s">
        <v>6</v>
      </c>
      <c r="G1021" s="956">
        <f>SUM(G1016:G1020)</f>
        <v>695.25220000000002</v>
      </c>
      <c r="H1021" s="957" t="s">
        <v>752</v>
      </c>
    </row>
    <row r="1022" spans="1:8" hidden="1" x14ac:dyDescent="0.3">
      <c r="A1022" s="958">
        <v>11.27</v>
      </c>
      <c r="B1022" s="846" t="s">
        <v>1379</v>
      </c>
      <c r="C1022" s="852"/>
      <c r="D1022" s="847"/>
      <c r="E1022" s="847"/>
      <c r="F1022" s="848"/>
      <c r="G1022" s="849" t="s">
        <v>745</v>
      </c>
      <c r="H1022" s="850"/>
    </row>
    <row r="1023" spans="1:8" hidden="1" x14ac:dyDescent="0.3">
      <c r="A1023" s="851"/>
      <c r="B1023" s="852" t="s">
        <v>1080</v>
      </c>
      <c r="C1023" s="853"/>
      <c r="D1023" s="859">
        <v>1.1000000000000001</v>
      </c>
      <c r="E1023" s="855" t="s">
        <v>33</v>
      </c>
      <c r="F1023" s="856">
        <v>620</v>
      </c>
      <c r="G1023" s="857">
        <f>D1023*F1023</f>
        <v>682</v>
      </c>
      <c r="H1023" s="901" t="s">
        <v>922</v>
      </c>
    </row>
    <row r="1024" spans="1:8" hidden="1" x14ac:dyDescent="0.3">
      <c r="A1024" s="851"/>
      <c r="B1024" s="852" t="s">
        <v>788</v>
      </c>
      <c r="C1024" s="853"/>
      <c r="D1024" s="859">
        <v>21.51</v>
      </c>
      <c r="E1024" s="855" t="s">
        <v>399</v>
      </c>
      <c r="F1024" s="856">
        <v>2.08</v>
      </c>
      <c r="G1024" s="857">
        <f>D1024*F1024</f>
        <v>44.740800000000007</v>
      </c>
      <c r="H1024" s="900" t="s">
        <v>745</v>
      </c>
    </row>
    <row r="1025" spans="1:8" hidden="1" x14ac:dyDescent="0.3">
      <c r="A1025" s="851"/>
      <c r="B1025" s="852" t="s">
        <v>748</v>
      </c>
      <c r="C1025" s="853"/>
      <c r="D1025" s="859">
        <v>0.11</v>
      </c>
      <c r="E1025" s="855" t="s">
        <v>34</v>
      </c>
      <c r="F1025" s="856">
        <v>287.5</v>
      </c>
      <c r="G1025" s="857">
        <f>D1025*F1025</f>
        <v>31.625</v>
      </c>
      <c r="H1025" s="850"/>
    </row>
    <row r="1026" spans="1:8" hidden="1" x14ac:dyDescent="0.3">
      <c r="A1026" s="851"/>
      <c r="B1026" s="852" t="s">
        <v>835</v>
      </c>
      <c r="C1026" s="853"/>
      <c r="D1026" s="854">
        <v>6</v>
      </c>
      <c r="E1026" s="855" t="s">
        <v>540</v>
      </c>
      <c r="F1026" s="860">
        <v>1.44E-2</v>
      </c>
      <c r="G1026" s="857">
        <f>D1026*F1026</f>
        <v>8.6400000000000005E-2</v>
      </c>
      <c r="H1026" s="850"/>
    </row>
    <row r="1027" spans="1:8" hidden="1" x14ac:dyDescent="0.3">
      <c r="A1027" s="851"/>
      <c r="B1027" s="852" t="s">
        <v>1078</v>
      </c>
      <c r="C1027" s="853"/>
      <c r="D1027" s="859">
        <v>0.1</v>
      </c>
      <c r="E1027" s="855" t="s">
        <v>399</v>
      </c>
      <c r="F1027" s="914">
        <v>28</v>
      </c>
      <c r="G1027" s="857">
        <f>D1027*F1027</f>
        <v>2.8000000000000003</v>
      </c>
      <c r="H1027" s="850"/>
    </row>
    <row r="1028" spans="1:8" hidden="1" x14ac:dyDescent="0.3">
      <c r="A1028" s="950"/>
      <c r="B1028" s="951"/>
      <c r="C1028" s="952" t="s">
        <v>1081</v>
      </c>
      <c r="D1028" s="953">
        <v>1</v>
      </c>
      <c r="E1028" s="954" t="s">
        <v>33</v>
      </c>
      <c r="F1028" s="955" t="s">
        <v>6</v>
      </c>
      <c r="G1028" s="956">
        <f>SUM(G1023:G1027)</f>
        <v>761.25220000000002</v>
      </c>
      <c r="H1028" s="957" t="s">
        <v>752</v>
      </c>
    </row>
    <row r="1029" spans="1:8" hidden="1" x14ac:dyDescent="0.3">
      <c r="A1029" s="958">
        <v>11.28</v>
      </c>
      <c r="B1029" s="846" t="s">
        <v>1380</v>
      </c>
      <c r="C1029" s="852"/>
      <c r="D1029" s="847"/>
      <c r="E1029" s="847"/>
      <c r="F1029" s="848"/>
      <c r="G1029" s="849" t="s">
        <v>745</v>
      </c>
      <c r="H1029" s="850"/>
    </row>
    <row r="1030" spans="1:8" hidden="1" x14ac:dyDescent="0.3">
      <c r="A1030" s="851"/>
      <c r="B1030" s="852" t="s">
        <v>1082</v>
      </c>
      <c r="C1030" s="853"/>
      <c r="D1030" s="859">
        <v>1.1000000000000001</v>
      </c>
      <c r="E1030" s="855" t="s">
        <v>33</v>
      </c>
      <c r="F1030" s="856">
        <v>390</v>
      </c>
      <c r="G1030" s="857">
        <f>D1030*F1030</f>
        <v>429.00000000000006</v>
      </c>
      <c r="H1030" s="901" t="s">
        <v>922</v>
      </c>
    </row>
    <row r="1031" spans="1:8" hidden="1" x14ac:dyDescent="0.3">
      <c r="A1031" s="851"/>
      <c r="B1031" s="852" t="s">
        <v>788</v>
      </c>
      <c r="C1031" s="853"/>
      <c r="D1031" s="859">
        <v>21.51</v>
      </c>
      <c r="E1031" s="855" t="s">
        <v>399</v>
      </c>
      <c r="F1031" s="856">
        <v>2.08</v>
      </c>
      <c r="G1031" s="857">
        <f>D1031*F1031</f>
        <v>44.740800000000007</v>
      </c>
      <c r="H1031" s="900" t="s">
        <v>745</v>
      </c>
    </row>
    <row r="1032" spans="1:8" hidden="1" x14ac:dyDescent="0.3">
      <c r="A1032" s="851"/>
      <c r="B1032" s="852" t="s">
        <v>748</v>
      </c>
      <c r="C1032" s="853"/>
      <c r="D1032" s="859">
        <v>0.11</v>
      </c>
      <c r="E1032" s="855" t="s">
        <v>34</v>
      </c>
      <c r="F1032" s="856">
        <v>287.5</v>
      </c>
      <c r="G1032" s="857">
        <f>D1032*F1032</f>
        <v>31.625</v>
      </c>
      <c r="H1032" s="850"/>
    </row>
    <row r="1033" spans="1:8" hidden="1" x14ac:dyDescent="0.3">
      <c r="A1033" s="851"/>
      <c r="B1033" s="852" t="s">
        <v>835</v>
      </c>
      <c r="C1033" s="853"/>
      <c r="D1033" s="854">
        <v>6</v>
      </c>
      <c r="E1033" s="855" t="s">
        <v>540</v>
      </c>
      <c r="F1033" s="860">
        <v>1.44E-2</v>
      </c>
      <c r="G1033" s="857">
        <f>D1033*F1033</f>
        <v>8.6400000000000005E-2</v>
      </c>
      <c r="H1033" s="850"/>
    </row>
    <row r="1034" spans="1:8" hidden="1" x14ac:dyDescent="0.3">
      <c r="A1034" s="851"/>
      <c r="B1034" s="852" t="s">
        <v>1078</v>
      </c>
      <c r="C1034" s="853"/>
      <c r="D1034" s="859">
        <v>0.1</v>
      </c>
      <c r="E1034" s="855" t="s">
        <v>399</v>
      </c>
      <c r="F1034" s="914">
        <v>28</v>
      </c>
      <c r="G1034" s="857">
        <f>D1034*F1034</f>
        <v>2.8000000000000003</v>
      </c>
      <c r="H1034" s="850"/>
    </row>
    <row r="1035" spans="1:8" hidden="1" x14ac:dyDescent="0.3">
      <c r="A1035" s="950"/>
      <c r="B1035" s="951"/>
      <c r="C1035" s="952" t="s">
        <v>1083</v>
      </c>
      <c r="D1035" s="953">
        <v>1</v>
      </c>
      <c r="E1035" s="954" t="s">
        <v>33</v>
      </c>
      <c r="F1035" s="955" t="s">
        <v>6</v>
      </c>
      <c r="G1035" s="956">
        <f>SUM(G1030:G1034)</f>
        <v>508.25220000000007</v>
      </c>
      <c r="H1035" s="957" t="s">
        <v>752</v>
      </c>
    </row>
    <row r="1036" spans="1:8" hidden="1" x14ac:dyDescent="0.3">
      <c r="A1036" s="958">
        <v>11.29</v>
      </c>
      <c r="B1036" s="846" t="s">
        <v>1380</v>
      </c>
      <c r="C1036" s="852"/>
      <c r="D1036" s="847"/>
      <c r="E1036" s="847"/>
      <c r="F1036" s="848"/>
      <c r="G1036" s="849" t="s">
        <v>745</v>
      </c>
      <c r="H1036" s="850"/>
    </row>
    <row r="1037" spans="1:8" hidden="1" x14ac:dyDescent="0.3">
      <c r="A1037" s="851"/>
      <c r="B1037" s="852" t="s">
        <v>1084</v>
      </c>
      <c r="C1037" s="853"/>
      <c r="D1037" s="859">
        <v>1.1000000000000001</v>
      </c>
      <c r="E1037" s="855" t="s">
        <v>33</v>
      </c>
      <c r="F1037" s="856">
        <v>430</v>
      </c>
      <c r="G1037" s="857">
        <f>D1037*F1037</f>
        <v>473.00000000000006</v>
      </c>
      <c r="H1037" s="901" t="s">
        <v>922</v>
      </c>
    </row>
    <row r="1038" spans="1:8" hidden="1" x14ac:dyDescent="0.3">
      <c r="A1038" s="851"/>
      <c r="B1038" s="852" t="s">
        <v>788</v>
      </c>
      <c r="C1038" s="853"/>
      <c r="D1038" s="859">
        <v>21.51</v>
      </c>
      <c r="E1038" s="855" t="s">
        <v>399</v>
      </c>
      <c r="F1038" s="856">
        <v>2.08</v>
      </c>
      <c r="G1038" s="857">
        <f>D1038*F1038</f>
        <v>44.740800000000007</v>
      </c>
      <c r="H1038" s="900" t="s">
        <v>745</v>
      </c>
    </row>
    <row r="1039" spans="1:8" hidden="1" x14ac:dyDescent="0.3">
      <c r="A1039" s="851"/>
      <c r="B1039" s="852" t="s">
        <v>748</v>
      </c>
      <c r="C1039" s="853"/>
      <c r="D1039" s="859">
        <v>0.11</v>
      </c>
      <c r="E1039" s="855" t="s">
        <v>34</v>
      </c>
      <c r="F1039" s="856">
        <v>287.5</v>
      </c>
      <c r="G1039" s="857">
        <f>D1039*F1039</f>
        <v>31.625</v>
      </c>
      <c r="H1039" s="850"/>
    </row>
    <row r="1040" spans="1:8" hidden="1" x14ac:dyDescent="0.3">
      <c r="A1040" s="851"/>
      <c r="B1040" s="852" t="s">
        <v>835</v>
      </c>
      <c r="C1040" s="853"/>
      <c r="D1040" s="854">
        <v>6</v>
      </c>
      <c r="E1040" s="855" t="s">
        <v>540</v>
      </c>
      <c r="F1040" s="860">
        <v>1.44E-2</v>
      </c>
      <c r="G1040" s="857">
        <f>D1040*F1040</f>
        <v>8.6400000000000005E-2</v>
      </c>
      <c r="H1040" s="850"/>
    </row>
    <row r="1041" spans="1:8" hidden="1" x14ac:dyDescent="0.3">
      <c r="A1041" s="851"/>
      <c r="B1041" s="852" t="s">
        <v>1078</v>
      </c>
      <c r="C1041" s="853"/>
      <c r="D1041" s="859">
        <v>0.1</v>
      </c>
      <c r="E1041" s="855" t="s">
        <v>399</v>
      </c>
      <c r="F1041" s="914">
        <v>28</v>
      </c>
      <c r="G1041" s="857">
        <f>D1041*F1041</f>
        <v>2.8000000000000003</v>
      </c>
      <c r="H1041" s="850"/>
    </row>
    <row r="1042" spans="1:8" hidden="1" x14ac:dyDescent="0.3">
      <c r="A1042" s="950"/>
      <c r="B1042" s="951"/>
      <c r="C1042" s="952" t="s">
        <v>1083</v>
      </c>
      <c r="D1042" s="953">
        <v>1</v>
      </c>
      <c r="E1042" s="954" t="s">
        <v>33</v>
      </c>
      <c r="F1042" s="955" t="s">
        <v>6</v>
      </c>
      <c r="G1042" s="956">
        <f>SUM(G1037:G1041)</f>
        <v>552.25220000000002</v>
      </c>
      <c r="H1042" s="957" t="s">
        <v>752</v>
      </c>
    </row>
    <row r="1043" spans="1:8" hidden="1" x14ac:dyDescent="0.3">
      <c r="A1043" s="851"/>
      <c r="B1043" s="875"/>
      <c r="C1043" s="852"/>
      <c r="D1043" s="847"/>
      <c r="E1043" s="847"/>
      <c r="F1043" s="848"/>
      <c r="G1043" s="849" t="s">
        <v>745</v>
      </c>
      <c r="H1043" s="850"/>
    </row>
    <row r="1044" spans="1:8" hidden="1" x14ac:dyDescent="0.3">
      <c r="A1044" s="851"/>
      <c r="B1044" s="875"/>
      <c r="C1044" s="852"/>
      <c r="D1044" s="847"/>
      <c r="E1044" s="847"/>
      <c r="F1044" s="848"/>
      <c r="G1044" s="849" t="s">
        <v>745</v>
      </c>
      <c r="H1044" s="850"/>
    </row>
    <row r="1045" spans="1:8" hidden="1" x14ac:dyDescent="0.3">
      <c r="A1045" s="851"/>
      <c r="B1045" s="875"/>
      <c r="C1045" s="852"/>
      <c r="D1045" s="847"/>
      <c r="E1045" s="847"/>
      <c r="F1045" s="848"/>
      <c r="G1045" s="849" t="s">
        <v>745</v>
      </c>
      <c r="H1045" s="850"/>
    </row>
    <row r="1046" spans="1:8" ht="19.5" hidden="1" thickBot="1" x14ac:dyDescent="0.35">
      <c r="A1046" s="879"/>
      <c r="B1046" s="880"/>
      <c r="C1046" s="881"/>
      <c r="D1046" s="883"/>
      <c r="E1046" s="883"/>
      <c r="F1046" s="884"/>
      <c r="G1046" s="891" t="s">
        <v>745</v>
      </c>
      <c r="H1046" s="885"/>
    </row>
    <row r="1047" spans="1:8" hidden="1" x14ac:dyDescent="0.3">
      <c r="G1047" s="888" t="str">
        <f>$G$37</f>
        <v xml:space="preserve"> เมษายน 2549</v>
      </c>
      <c r="H1047" s="888"/>
    </row>
    <row r="1048" spans="1:8" ht="19.5" hidden="1" x14ac:dyDescent="0.3">
      <c r="A1048" s="820" t="s">
        <v>1085</v>
      </c>
      <c r="B1048" s="820"/>
      <c r="C1048" s="820"/>
      <c r="D1048" s="820"/>
      <c r="E1048" s="820"/>
      <c r="F1048" s="820"/>
      <c r="G1048" s="820"/>
      <c r="H1048" s="820"/>
    </row>
    <row r="1049" spans="1:8" ht="20.25" hidden="1" thickBot="1" x14ac:dyDescent="0.35">
      <c r="A1049" s="889" t="s">
        <v>758</v>
      </c>
      <c r="B1049" s="889"/>
      <c r="C1049" s="889"/>
      <c r="D1049" s="889"/>
      <c r="E1049" s="889"/>
      <c r="F1049" s="889"/>
      <c r="G1049" s="889"/>
      <c r="H1049" s="889"/>
    </row>
    <row r="1050" spans="1:8" hidden="1" x14ac:dyDescent="0.3">
      <c r="A1050" s="823" t="s">
        <v>424</v>
      </c>
      <c r="B1050" s="824" t="s">
        <v>1</v>
      </c>
      <c r="C1050" s="825"/>
      <c r="D1050" s="826" t="s">
        <v>24</v>
      </c>
      <c r="E1050" s="826" t="s">
        <v>25</v>
      </c>
      <c r="F1050" s="827" t="s">
        <v>390</v>
      </c>
      <c r="G1050" s="828" t="s">
        <v>743</v>
      </c>
      <c r="H1050" s="829" t="s">
        <v>20</v>
      </c>
    </row>
    <row r="1051" spans="1:8" hidden="1" x14ac:dyDescent="0.3">
      <c r="A1051" s="830"/>
      <c r="B1051" s="831"/>
      <c r="C1051" s="832"/>
      <c r="D1051" s="833"/>
      <c r="E1051" s="833"/>
      <c r="F1051" s="834" t="s">
        <v>31</v>
      </c>
      <c r="G1051" s="835" t="s">
        <v>31</v>
      </c>
      <c r="H1051" s="836"/>
    </row>
    <row r="1052" spans="1:8" hidden="1" x14ac:dyDescent="0.3">
      <c r="A1052" s="958">
        <v>11.3</v>
      </c>
      <c r="B1052" s="846" t="s">
        <v>1381</v>
      </c>
      <c r="C1052" s="852"/>
      <c r="D1052" s="847"/>
      <c r="E1052" s="847"/>
      <c r="F1052" s="848"/>
      <c r="G1052" s="849" t="s">
        <v>745</v>
      </c>
      <c r="H1052" s="850"/>
    </row>
    <row r="1053" spans="1:8" hidden="1" x14ac:dyDescent="0.3">
      <c r="A1053" s="851"/>
      <c r="B1053" s="852" t="s">
        <v>1086</v>
      </c>
      <c r="C1053" s="853"/>
      <c r="D1053" s="859">
        <v>1.1000000000000001</v>
      </c>
      <c r="E1053" s="855" t="s">
        <v>33</v>
      </c>
      <c r="F1053" s="856">
        <v>680</v>
      </c>
      <c r="G1053" s="857">
        <f>D1053*F1053</f>
        <v>748.00000000000011</v>
      </c>
      <c r="H1053" s="901" t="s">
        <v>922</v>
      </c>
    </row>
    <row r="1054" spans="1:8" hidden="1" x14ac:dyDescent="0.3">
      <c r="A1054" s="851"/>
      <c r="B1054" s="852" t="s">
        <v>788</v>
      </c>
      <c r="C1054" s="853"/>
      <c r="D1054" s="859">
        <v>21.51</v>
      </c>
      <c r="E1054" s="855" t="s">
        <v>399</v>
      </c>
      <c r="F1054" s="856">
        <v>2.08</v>
      </c>
      <c r="G1054" s="857">
        <f>D1054*F1054</f>
        <v>44.740800000000007</v>
      </c>
      <c r="H1054" s="900" t="s">
        <v>745</v>
      </c>
    </row>
    <row r="1055" spans="1:8" hidden="1" x14ac:dyDescent="0.3">
      <c r="A1055" s="851"/>
      <c r="B1055" s="852" t="s">
        <v>748</v>
      </c>
      <c r="C1055" s="853"/>
      <c r="D1055" s="859">
        <v>0.11</v>
      </c>
      <c r="E1055" s="855" t="s">
        <v>34</v>
      </c>
      <c r="F1055" s="856">
        <v>287.5</v>
      </c>
      <c r="G1055" s="857">
        <f>D1055*F1055</f>
        <v>31.625</v>
      </c>
      <c r="H1055" s="850"/>
    </row>
    <row r="1056" spans="1:8" hidden="1" x14ac:dyDescent="0.3">
      <c r="A1056" s="851"/>
      <c r="B1056" s="852" t="s">
        <v>835</v>
      </c>
      <c r="C1056" s="853"/>
      <c r="D1056" s="854">
        <v>6</v>
      </c>
      <c r="E1056" s="855" t="s">
        <v>540</v>
      </c>
      <c r="F1056" s="860">
        <v>1.44E-2</v>
      </c>
      <c r="G1056" s="857">
        <f>D1056*F1056</f>
        <v>8.6400000000000005E-2</v>
      </c>
      <c r="H1056" s="850"/>
    </row>
    <row r="1057" spans="1:8" hidden="1" x14ac:dyDescent="0.3">
      <c r="A1057" s="851"/>
      <c r="B1057" s="852" t="s">
        <v>1078</v>
      </c>
      <c r="C1057" s="853"/>
      <c r="D1057" s="859">
        <v>0.1</v>
      </c>
      <c r="E1057" s="855" t="s">
        <v>399</v>
      </c>
      <c r="F1057" s="914">
        <v>28</v>
      </c>
      <c r="G1057" s="857">
        <f>D1057*F1057</f>
        <v>2.8000000000000003</v>
      </c>
      <c r="H1057" s="850"/>
    </row>
    <row r="1058" spans="1:8" hidden="1" x14ac:dyDescent="0.3">
      <c r="A1058" s="950"/>
      <c r="B1058" s="951"/>
      <c r="C1058" s="952" t="s">
        <v>1087</v>
      </c>
      <c r="D1058" s="953">
        <v>1</v>
      </c>
      <c r="E1058" s="954" t="s">
        <v>33</v>
      </c>
      <c r="F1058" s="955" t="s">
        <v>6</v>
      </c>
      <c r="G1058" s="956">
        <f>SUM(G1053:G1057)</f>
        <v>827.25220000000013</v>
      </c>
      <c r="H1058" s="957" t="s">
        <v>752</v>
      </c>
    </row>
    <row r="1059" spans="1:8" hidden="1" x14ac:dyDescent="0.3">
      <c r="A1059" s="958">
        <v>11.31</v>
      </c>
      <c r="B1059" s="846" t="s">
        <v>1382</v>
      </c>
      <c r="C1059" s="852"/>
      <c r="D1059" s="847"/>
      <c r="E1059" s="847"/>
      <c r="F1059" s="848"/>
      <c r="G1059" s="849" t="s">
        <v>745</v>
      </c>
      <c r="H1059" s="850"/>
    </row>
    <row r="1060" spans="1:8" hidden="1" x14ac:dyDescent="0.3">
      <c r="A1060" s="851"/>
      <c r="B1060" s="852" t="s">
        <v>1088</v>
      </c>
      <c r="C1060" s="853"/>
      <c r="D1060" s="859">
        <v>1.1000000000000001</v>
      </c>
      <c r="E1060" s="855" t="s">
        <v>33</v>
      </c>
      <c r="F1060" s="856">
        <v>540</v>
      </c>
      <c r="G1060" s="857">
        <f>D1060*F1060</f>
        <v>594</v>
      </c>
      <c r="H1060" s="901" t="s">
        <v>922</v>
      </c>
    </row>
    <row r="1061" spans="1:8" hidden="1" x14ac:dyDescent="0.3">
      <c r="A1061" s="851"/>
      <c r="B1061" s="852" t="s">
        <v>788</v>
      </c>
      <c r="C1061" s="853"/>
      <c r="D1061" s="859">
        <v>21.51</v>
      </c>
      <c r="E1061" s="855" t="s">
        <v>399</v>
      </c>
      <c r="F1061" s="856">
        <v>2.08</v>
      </c>
      <c r="G1061" s="857">
        <f>D1061*F1061</f>
        <v>44.740800000000007</v>
      </c>
      <c r="H1061" s="900" t="s">
        <v>745</v>
      </c>
    </row>
    <row r="1062" spans="1:8" hidden="1" x14ac:dyDescent="0.3">
      <c r="A1062" s="851"/>
      <c r="B1062" s="852" t="s">
        <v>748</v>
      </c>
      <c r="C1062" s="853"/>
      <c r="D1062" s="859">
        <v>0.11</v>
      </c>
      <c r="E1062" s="855" t="s">
        <v>34</v>
      </c>
      <c r="F1062" s="856">
        <v>287.5</v>
      </c>
      <c r="G1062" s="857">
        <f>D1062*F1062</f>
        <v>31.625</v>
      </c>
      <c r="H1062" s="850"/>
    </row>
    <row r="1063" spans="1:8" hidden="1" x14ac:dyDescent="0.3">
      <c r="A1063" s="851"/>
      <c r="B1063" s="852" t="s">
        <v>835</v>
      </c>
      <c r="C1063" s="853"/>
      <c r="D1063" s="854">
        <v>6</v>
      </c>
      <c r="E1063" s="855" t="s">
        <v>540</v>
      </c>
      <c r="F1063" s="860">
        <v>1.44E-2</v>
      </c>
      <c r="G1063" s="857">
        <f>D1063*F1063</f>
        <v>8.6400000000000005E-2</v>
      </c>
      <c r="H1063" s="850"/>
    </row>
    <row r="1064" spans="1:8" hidden="1" x14ac:dyDescent="0.3">
      <c r="A1064" s="851"/>
      <c r="B1064" s="852" t="s">
        <v>1078</v>
      </c>
      <c r="C1064" s="853"/>
      <c r="D1064" s="859">
        <v>0.1</v>
      </c>
      <c r="E1064" s="855" t="s">
        <v>399</v>
      </c>
      <c r="F1064" s="914">
        <v>28</v>
      </c>
      <c r="G1064" s="857">
        <f>D1064*F1064</f>
        <v>2.8000000000000003</v>
      </c>
      <c r="H1064" s="850"/>
    </row>
    <row r="1065" spans="1:8" hidden="1" x14ac:dyDescent="0.3">
      <c r="A1065" s="950"/>
      <c r="B1065" s="951"/>
      <c r="C1065" s="952" t="s">
        <v>1089</v>
      </c>
      <c r="D1065" s="953">
        <v>1</v>
      </c>
      <c r="E1065" s="954" t="s">
        <v>33</v>
      </c>
      <c r="F1065" s="955" t="s">
        <v>6</v>
      </c>
      <c r="G1065" s="956">
        <f>SUM(G1060:G1064)</f>
        <v>673.25220000000002</v>
      </c>
      <c r="H1065" s="957" t="s">
        <v>752</v>
      </c>
    </row>
    <row r="1066" spans="1:8" hidden="1" x14ac:dyDescent="0.3">
      <c r="A1066" s="958">
        <v>11.32</v>
      </c>
      <c r="B1066" s="846" t="s">
        <v>1383</v>
      </c>
      <c r="C1066" s="852"/>
      <c r="D1066" s="847"/>
      <c r="E1066" s="847"/>
      <c r="F1066" s="848"/>
      <c r="G1066" s="849" t="s">
        <v>745</v>
      </c>
      <c r="H1066" s="850"/>
    </row>
    <row r="1067" spans="1:8" hidden="1" x14ac:dyDescent="0.3">
      <c r="A1067" s="851"/>
      <c r="B1067" s="852" t="s">
        <v>1090</v>
      </c>
      <c r="C1067" s="853"/>
      <c r="D1067" s="859">
        <v>1.1000000000000001</v>
      </c>
      <c r="E1067" s="855" t="s">
        <v>33</v>
      </c>
      <c r="F1067" s="856">
        <v>160</v>
      </c>
      <c r="G1067" s="857">
        <f>D1067*F1067</f>
        <v>176</v>
      </c>
      <c r="H1067" s="901" t="s">
        <v>922</v>
      </c>
    </row>
    <row r="1068" spans="1:8" hidden="1" x14ac:dyDescent="0.3">
      <c r="A1068" s="851"/>
      <c r="B1068" s="852" t="s">
        <v>788</v>
      </c>
      <c r="C1068" s="853"/>
      <c r="D1068" s="859">
        <v>21.51</v>
      </c>
      <c r="E1068" s="855" t="s">
        <v>399</v>
      </c>
      <c r="F1068" s="856">
        <v>2.08</v>
      </c>
      <c r="G1068" s="857">
        <f>D1068*F1068</f>
        <v>44.740800000000007</v>
      </c>
      <c r="H1068" s="900" t="s">
        <v>745</v>
      </c>
    </row>
    <row r="1069" spans="1:8" hidden="1" x14ac:dyDescent="0.3">
      <c r="A1069" s="851"/>
      <c r="B1069" s="852" t="s">
        <v>748</v>
      </c>
      <c r="C1069" s="853"/>
      <c r="D1069" s="859">
        <v>0.11</v>
      </c>
      <c r="E1069" s="855" t="s">
        <v>34</v>
      </c>
      <c r="F1069" s="856">
        <v>287.5</v>
      </c>
      <c r="G1069" s="857">
        <f>D1069*F1069</f>
        <v>31.625</v>
      </c>
      <c r="H1069" s="850"/>
    </row>
    <row r="1070" spans="1:8" hidden="1" x14ac:dyDescent="0.3">
      <c r="A1070" s="851"/>
      <c r="B1070" s="852" t="s">
        <v>835</v>
      </c>
      <c r="C1070" s="853"/>
      <c r="D1070" s="854">
        <v>6</v>
      </c>
      <c r="E1070" s="855" t="s">
        <v>540</v>
      </c>
      <c r="F1070" s="860">
        <v>1.44E-2</v>
      </c>
      <c r="G1070" s="857">
        <f>D1070*F1070</f>
        <v>8.6400000000000005E-2</v>
      </c>
      <c r="H1070" s="850"/>
    </row>
    <row r="1071" spans="1:8" hidden="1" x14ac:dyDescent="0.3">
      <c r="A1071" s="851"/>
      <c r="B1071" s="852" t="s">
        <v>1078</v>
      </c>
      <c r="C1071" s="853"/>
      <c r="D1071" s="859">
        <v>0.1</v>
      </c>
      <c r="E1071" s="855" t="s">
        <v>399</v>
      </c>
      <c r="F1071" s="914">
        <v>28</v>
      </c>
      <c r="G1071" s="857">
        <f>D1071*F1071</f>
        <v>2.8000000000000003</v>
      </c>
      <c r="H1071" s="850"/>
    </row>
    <row r="1072" spans="1:8" hidden="1" x14ac:dyDescent="0.3">
      <c r="A1072" s="950"/>
      <c r="B1072" s="951"/>
      <c r="C1072" s="952" t="s">
        <v>1091</v>
      </c>
      <c r="D1072" s="953">
        <v>1</v>
      </c>
      <c r="E1072" s="954" t="s">
        <v>33</v>
      </c>
      <c r="F1072" s="955" t="s">
        <v>6</v>
      </c>
      <c r="G1072" s="956">
        <f>SUM(G1067:G1071)</f>
        <v>255.25220000000002</v>
      </c>
      <c r="H1072" s="957" t="s">
        <v>752</v>
      </c>
    </row>
    <row r="1073" spans="1:8" hidden="1" x14ac:dyDescent="0.3">
      <c r="A1073" s="958">
        <v>11.33</v>
      </c>
      <c r="B1073" s="846" t="s">
        <v>1384</v>
      </c>
      <c r="C1073" s="852"/>
      <c r="D1073" s="847"/>
      <c r="E1073" s="847"/>
      <c r="F1073" s="848"/>
      <c r="G1073" s="849" t="s">
        <v>745</v>
      </c>
      <c r="H1073" s="850"/>
    </row>
    <row r="1074" spans="1:8" hidden="1" x14ac:dyDescent="0.3">
      <c r="A1074" s="851"/>
      <c r="B1074" s="852" t="s">
        <v>1092</v>
      </c>
      <c r="C1074" s="853"/>
      <c r="D1074" s="859">
        <v>1.1000000000000001</v>
      </c>
      <c r="E1074" s="855" t="s">
        <v>33</v>
      </c>
      <c r="F1074" s="856">
        <v>125</v>
      </c>
      <c r="G1074" s="857">
        <f>D1074*F1074</f>
        <v>137.5</v>
      </c>
      <c r="H1074" s="901" t="s">
        <v>922</v>
      </c>
    </row>
    <row r="1075" spans="1:8" hidden="1" x14ac:dyDescent="0.3">
      <c r="A1075" s="851"/>
      <c r="B1075" s="852" t="s">
        <v>788</v>
      </c>
      <c r="C1075" s="853"/>
      <c r="D1075" s="859">
        <v>21.51</v>
      </c>
      <c r="E1075" s="855" t="s">
        <v>399</v>
      </c>
      <c r="F1075" s="856">
        <v>2.08</v>
      </c>
      <c r="G1075" s="857">
        <f>D1075*F1075</f>
        <v>44.740800000000007</v>
      </c>
      <c r="H1075" s="900" t="s">
        <v>745</v>
      </c>
    </row>
    <row r="1076" spans="1:8" hidden="1" x14ac:dyDescent="0.3">
      <c r="A1076" s="851"/>
      <c r="B1076" s="852" t="s">
        <v>748</v>
      </c>
      <c r="C1076" s="853"/>
      <c r="D1076" s="859">
        <v>0.11</v>
      </c>
      <c r="E1076" s="855" t="s">
        <v>34</v>
      </c>
      <c r="F1076" s="856">
        <v>287.5</v>
      </c>
      <c r="G1076" s="857">
        <f>D1076*F1076</f>
        <v>31.625</v>
      </c>
      <c r="H1076" s="850"/>
    </row>
    <row r="1077" spans="1:8" hidden="1" x14ac:dyDescent="0.3">
      <c r="A1077" s="851"/>
      <c r="B1077" s="852" t="s">
        <v>835</v>
      </c>
      <c r="C1077" s="853"/>
      <c r="D1077" s="854">
        <v>6</v>
      </c>
      <c r="E1077" s="855" t="s">
        <v>540</v>
      </c>
      <c r="F1077" s="860">
        <v>1.44E-2</v>
      </c>
      <c r="G1077" s="857">
        <f>D1077*F1077</f>
        <v>8.6400000000000005E-2</v>
      </c>
      <c r="H1077" s="850"/>
    </row>
    <row r="1078" spans="1:8" hidden="1" x14ac:dyDescent="0.3">
      <c r="A1078" s="851"/>
      <c r="B1078" s="852" t="s">
        <v>1078</v>
      </c>
      <c r="C1078" s="853"/>
      <c r="D1078" s="859">
        <v>0.1</v>
      </c>
      <c r="E1078" s="855" t="s">
        <v>399</v>
      </c>
      <c r="F1078" s="914">
        <v>28</v>
      </c>
      <c r="G1078" s="857">
        <f>D1078*F1078</f>
        <v>2.8000000000000003</v>
      </c>
      <c r="H1078" s="850"/>
    </row>
    <row r="1079" spans="1:8" hidden="1" x14ac:dyDescent="0.3">
      <c r="A1079" s="950"/>
      <c r="B1079" s="951"/>
      <c r="C1079" s="952" t="s">
        <v>1091</v>
      </c>
      <c r="D1079" s="953">
        <v>1</v>
      </c>
      <c r="E1079" s="954" t="s">
        <v>33</v>
      </c>
      <c r="F1079" s="955" t="s">
        <v>6</v>
      </c>
      <c r="G1079" s="956">
        <f>SUM(G1074:G1078)</f>
        <v>216.75220000000002</v>
      </c>
      <c r="H1079" s="957" t="s">
        <v>752</v>
      </c>
    </row>
    <row r="1080" spans="1:8" hidden="1" x14ac:dyDescent="0.3">
      <c r="A1080" s="851"/>
      <c r="B1080" s="875"/>
      <c r="C1080" s="852"/>
      <c r="D1080" s="847"/>
      <c r="E1080" s="847"/>
      <c r="F1080" s="848"/>
      <c r="G1080" s="849" t="s">
        <v>745</v>
      </c>
      <c r="H1080" s="850"/>
    </row>
    <row r="1081" spans="1:8" hidden="1" x14ac:dyDescent="0.3">
      <c r="A1081" s="851"/>
      <c r="B1081" s="875"/>
      <c r="C1081" s="852"/>
      <c r="D1081" s="847"/>
      <c r="E1081" s="847"/>
      <c r="F1081" s="848"/>
      <c r="G1081" s="849" t="s">
        <v>745</v>
      </c>
      <c r="H1081" s="850"/>
    </row>
    <row r="1082" spans="1:8" hidden="1" x14ac:dyDescent="0.3">
      <c r="A1082" s="851"/>
      <c r="B1082" s="875"/>
      <c r="C1082" s="852"/>
      <c r="D1082" s="847"/>
      <c r="E1082" s="847"/>
      <c r="F1082" s="848"/>
      <c r="G1082" s="849" t="s">
        <v>745</v>
      </c>
      <c r="H1082" s="850"/>
    </row>
    <row r="1083" spans="1:8" ht="19.5" hidden="1" thickBot="1" x14ac:dyDescent="0.35">
      <c r="A1083" s="879"/>
      <c r="B1083" s="880"/>
      <c r="C1083" s="881"/>
      <c r="D1083" s="883"/>
      <c r="E1083" s="883"/>
      <c r="F1083" s="884"/>
      <c r="G1083" s="891" t="s">
        <v>745</v>
      </c>
      <c r="H1083" s="885"/>
    </row>
    <row r="1084" spans="1:8" hidden="1" x14ac:dyDescent="0.3">
      <c r="G1084" s="888" t="str">
        <f>$G$37</f>
        <v xml:space="preserve"> เมษายน 2549</v>
      </c>
      <c r="H1084" s="888"/>
    </row>
    <row r="1085" spans="1:8" ht="19.5" hidden="1" x14ac:dyDescent="0.3">
      <c r="A1085" s="820" t="s">
        <v>1093</v>
      </c>
      <c r="B1085" s="820"/>
      <c r="C1085" s="820"/>
      <c r="D1085" s="820"/>
      <c r="E1085" s="820"/>
      <c r="F1085" s="820"/>
      <c r="G1085" s="820"/>
      <c r="H1085" s="820"/>
    </row>
    <row r="1086" spans="1:8" ht="20.25" hidden="1" thickBot="1" x14ac:dyDescent="0.35">
      <c r="A1086" s="889" t="s">
        <v>758</v>
      </c>
      <c r="B1086" s="889"/>
      <c r="C1086" s="889"/>
      <c r="D1086" s="889"/>
      <c r="E1086" s="889"/>
      <c r="F1086" s="889"/>
      <c r="G1086" s="889"/>
      <c r="H1086" s="889"/>
    </row>
    <row r="1087" spans="1:8" hidden="1" x14ac:dyDescent="0.3">
      <c r="A1087" s="823" t="s">
        <v>424</v>
      </c>
      <c r="B1087" s="824" t="s">
        <v>1</v>
      </c>
      <c r="C1087" s="825"/>
      <c r="D1087" s="826" t="s">
        <v>24</v>
      </c>
      <c r="E1087" s="826" t="s">
        <v>25</v>
      </c>
      <c r="F1087" s="827" t="s">
        <v>390</v>
      </c>
      <c r="G1087" s="828" t="s">
        <v>743</v>
      </c>
      <c r="H1087" s="829" t="s">
        <v>20</v>
      </c>
    </row>
    <row r="1088" spans="1:8" hidden="1" x14ac:dyDescent="0.3">
      <c r="A1088" s="830"/>
      <c r="B1088" s="831"/>
      <c r="C1088" s="832"/>
      <c r="D1088" s="833"/>
      <c r="E1088" s="833"/>
      <c r="F1088" s="834" t="s">
        <v>31</v>
      </c>
      <c r="G1088" s="835" t="s">
        <v>31</v>
      </c>
      <c r="H1088" s="836"/>
    </row>
    <row r="1089" spans="1:8" hidden="1" x14ac:dyDescent="0.3">
      <c r="A1089" s="958">
        <v>11.34</v>
      </c>
      <c r="B1089" s="846" t="s">
        <v>1094</v>
      </c>
      <c r="C1089" s="852"/>
      <c r="D1089" s="847"/>
      <c r="E1089" s="847"/>
      <c r="F1089" s="848"/>
      <c r="G1089" s="849" t="s">
        <v>745</v>
      </c>
      <c r="H1089" s="850"/>
    </row>
    <row r="1090" spans="1:8" hidden="1" x14ac:dyDescent="0.3">
      <c r="A1090" s="851"/>
      <c r="B1090" s="846" t="s">
        <v>1095</v>
      </c>
      <c r="C1090" s="852"/>
      <c r="D1090" s="859" t="s">
        <v>745</v>
      </c>
      <c r="E1090" s="855" t="s">
        <v>745</v>
      </c>
      <c r="F1090" s="856" t="s">
        <v>745</v>
      </c>
      <c r="G1090" s="857" t="s">
        <v>745</v>
      </c>
      <c r="H1090" s="963" t="s">
        <v>745</v>
      </c>
    </row>
    <row r="1091" spans="1:8" hidden="1" x14ac:dyDescent="0.3">
      <c r="A1091" s="851"/>
      <c r="B1091" s="852" t="s">
        <v>1096</v>
      </c>
      <c r="C1091" s="852"/>
      <c r="D1091" s="859">
        <v>1.1499999999999999</v>
      </c>
      <c r="E1091" s="855" t="s">
        <v>396</v>
      </c>
      <c r="F1091" s="856">
        <v>496</v>
      </c>
      <c r="G1091" s="857">
        <f>D1091*F1091</f>
        <v>570.4</v>
      </c>
      <c r="H1091" s="901" t="s">
        <v>1097</v>
      </c>
    </row>
    <row r="1092" spans="1:8" hidden="1" x14ac:dyDescent="0.3">
      <c r="A1092" s="851"/>
      <c r="B1092" s="852" t="s">
        <v>1098</v>
      </c>
      <c r="C1092" s="852"/>
      <c r="D1092" s="859">
        <v>0.51</v>
      </c>
      <c r="E1092" s="855" t="s">
        <v>396</v>
      </c>
      <c r="F1092" s="948">
        <v>791</v>
      </c>
      <c r="G1092" s="857">
        <f>D1092*F1092</f>
        <v>403.41</v>
      </c>
      <c r="H1092" s="850"/>
    </row>
    <row r="1093" spans="1:8" hidden="1" x14ac:dyDescent="0.3">
      <c r="A1093" s="851"/>
      <c r="B1093" s="852" t="s">
        <v>908</v>
      </c>
      <c r="C1093" s="852"/>
      <c r="D1093" s="859">
        <v>0.2</v>
      </c>
      <c r="E1093" s="855" t="s">
        <v>399</v>
      </c>
      <c r="F1093" s="965">
        <v>12.92</v>
      </c>
      <c r="G1093" s="857">
        <f>D1093*F1093</f>
        <v>2.5840000000000001</v>
      </c>
      <c r="H1093" s="850"/>
    </row>
    <row r="1094" spans="1:8" hidden="1" x14ac:dyDescent="0.3">
      <c r="A1094" s="950"/>
      <c r="B1094" s="951"/>
      <c r="C1094" s="952" t="s">
        <v>1099</v>
      </c>
      <c r="D1094" s="953">
        <v>1</v>
      </c>
      <c r="E1094" s="954" t="s">
        <v>33</v>
      </c>
      <c r="F1094" s="955" t="s">
        <v>6</v>
      </c>
      <c r="G1094" s="956">
        <f>SUM(G1090:G1093)</f>
        <v>976.39399999999989</v>
      </c>
      <c r="H1094" s="957" t="s">
        <v>752</v>
      </c>
    </row>
    <row r="1095" spans="1:8" hidden="1" x14ac:dyDescent="0.3">
      <c r="A1095" s="958">
        <v>11.35</v>
      </c>
      <c r="B1095" s="846" t="s">
        <v>1100</v>
      </c>
      <c r="C1095" s="852"/>
      <c r="D1095" s="847"/>
      <c r="E1095" s="847"/>
      <c r="F1095" s="848"/>
      <c r="G1095" s="849" t="s">
        <v>745</v>
      </c>
      <c r="H1095" s="850"/>
    </row>
    <row r="1096" spans="1:8" hidden="1" x14ac:dyDescent="0.3">
      <c r="A1096" s="851"/>
      <c r="B1096" s="846" t="s">
        <v>1095</v>
      </c>
      <c r="C1096" s="852"/>
      <c r="D1096" s="859" t="s">
        <v>745</v>
      </c>
      <c r="E1096" s="855" t="s">
        <v>745</v>
      </c>
      <c r="F1096" s="856" t="s">
        <v>745</v>
      </c>
      <c r="G1096" s="857" t="s">
        <v>745</v>
      </c>
      <c r="H1096" s="963" t="s">
        <v>745</v>
      </c>
    </row>
    <row r="1097" spans="1:8" hidden="1" x14ac:dyDescent="0.3">
      <c r="A1097" s="851"/>
      <c r="B1097" s="852" t="s">
        <v>1101</v>
      </c>
      <c r="C1097" s="852"/>
      <c r="D1097" s="859">
        <v>1.08</v>
      </c>
      <c r="E1097" s="855" t="s">
        <v>396</v>
      </c>
      <c r="F1097" s="856">
        <v>496</v>
      </c>
      <c r="G1097" s="857">
        <f>D1097*F1097</f>
        <v>535.68000000000006</v>
      </c>
      <c r="H1097" s="901" t="s">
        <v>1097</v>
      </c>
    </row>
    <row r="1098" spans="1:8" hidden="1" x14ac:dyDescent="0.3">
      <c r="A1098" s="851"/>
      <c r="B1098" s="852" t="s">
        <v>1098</v>
      </c>
      <c r="C1098" s="852"/>
      <c r="D1098" s="859">
        <v>0.51</v>
      </c>
      <c r="E1098" s="855" t="s">
        <v>396</v>
      </c>
      <c r="F1098" s="948">
        <v>791</v>
      </c>
      <c r="G1098" s="857">
        <f>D1098*F1098</f>
        <v>403.41</v>
      </c>
      <c r="H1098" s="850"/>
    </row>
    <row r="1099" spans="1:8" hidden="1" x14ac:dyDescent="0.3">
      <c r="A1099" s="851"/>
      <c r="B1099" s="852" t="s">
        <v>908</v>
      </c>
      <c r="C1099" s="852"/>
      <c r="D1099" s="859">
        <v>0.2</v>
      </c>
      <c r="E1099" s="855" t="s">
        <v>399</v>
      </c>
      <c r="F1099" s="965">
        <v>12.92</v>
      </c>
      <c r="G1099" s="857">
        <f>D1099*F1099</f>
        <v>2.5840000000000001</v>
      </c>
      <c r="H1099" s="850"/>
    </row>
    <row r="1100" spans="1:8" hidden="1" x14ac:dyDescent="0.3">
      <c r="A1100" s="950"/>
      <c r="B1100" s="951"/>
      <c r="C1100" s="952" t="s">
        <v>1102</v>
      </c>
      <c r="D1100" s="953">
        <v>1</v>
      </c>
      <c r="E1100" s="954" t="s">
        <v>33</v>
      </c>
      <c r="F1100" s="955" t="s">
        <v>6</v>
      </c>
      <c r="G1100" s="956">
        <f>SUM(G1096:G1099)</f>
        <v>941.67400000000009</v>
      </c>
      <c r="H1100" s="957" t="s">
        <v>752</v>
      </c>
    </row>
    <row r="1101" spans="1:8" hidden="1" x14ac:dyDescent="0.3">
      <c r="A1101" s="958">
        <v>11.36</v>
      </c>
      <c r="B1101" s="846" t="s">
        <v>1103</v>
      </c>
      <c r="C1101" s="852"/>
      <c r="D1101" s="847"/>
      <c r="E1101" s="847"/>
      <c r="F1101" s="848"/>
      <c r="G1101" s="849" t="s">
        <v>745</v>
      </c>
      <c r="H1101" s="850"/>
    </row>
    <row r="1102" spans="1:8" hidden="1" x14ac:dyDescent="0.3">
      <c r="A1102" s="851"/>
      <c r="B1102" s="846" t="s">
        <v>1095</v>
      </c>
      <c r="C1102" s="852"/>
      <c r="D1102" s="859" t="s">
        <v>745</v>
      </c>
      <c r="E1102" s="855" t="s">
        <v>745</v>
      </c>
      <c r="F1102" s="856" t="s">
        <v>745</v>
      </c>
      <c r="G1102" s="857" t="s">
        <v>745</v>
      </c>
      <c r="H1102" s="963" t="s">
        <v>745</v>
      </c>
    </row>
    <row r="1103" spans="1:8" hidden="1" x14ac:dyDescent="0.3">
      <c r="A1103" s="851"/>
      <c r="B1103" s="852" t="s">
        <v>1104</v>
      </c>
      <c r="C1103" s="852"/>
      <c r="D1103" s="859">
        <v>1.1499999999999999</v>
      </c>
      <c r="E1103" s="855" t="s">
        <v>396</v>
      </c>
      <c r="F1103" s="856">
        <v>829</v>
      </c>
      <c r="G1103" s="857">
        <f>D1103*F1103</f>
        <v>953.34999999999991</v>
      </c>
      <c r="H1103" s="901" t="s">
        <v>1097</v>
      </c>
    </row>
    <row r="1104" spans="1:8" hidden="1" x14ac:dyDescent="0.3">
      <c r="A1104" s="851"/>
      <c r="B1104" s="852" t="s">
        <v>1098</v>
      </c>
      <c r="C1104" s="852"/>
      <c r="D1104" s="859">
        <v>0.51</v>
      </c>
      <c r="E1104" s="855" t="s">
        <v>396</v>
      </c>
      <c r="F1104" s="948">
        <v>791</v>
      </c>
      <c r="G1104" s="857">
        <f>D1104*F1104</f>
        <v>403.41</v>
      </c>
      <c r="H1104" s="850"/>
    </row>
    <row r="1105" spans="1:8" hidden="1" x14ac:dyDescent="0.3">
      <c r="A1105" s="851"/>
      <c r="B1105" s="852" t="s">
        <v>908</v>
      </c>
      <c r="C1105" s="852"/>
      <c r="D1105" s="859">
        <v>0.2</v>
      </c>
      <c r="E1105" s="855" t="s">
        <v>399</v>
      </c>
      <c r="F1105" s="965">
        <v>12.92</v>
      </c>
      <c r="G1105" s="857">
        <f>D1105*F1105</f>
        <v>2.5840000000000001</v>
      </c>
      <c r="H1105" s="850"/>
    </row>
    <row r="1106" spans="1:8" hidden="1" x14ac:dyDescent="0.3">
      <c r="A1106" s="950"/>
      <c r="B1106" s="951"/>
      <c r="C1106" s="952" t="s">
        <v>1105</v>
      </c>
      <c r="D1106" s="953">
        <v>1</v>
      </c>
      <c r="E1106" s="954" t="s">
        <v>33</v>
      </c>
      <c r="F1106" s="955" t="s">
        <v>6</v>
      </c>
      <c r="G1106" s="956">
        <f>SUM(G1102:G1105)</f>
        <v>1359.3440000000001</v>
      </c>
      <c r="H1106" s="957" t="s">
        <v>752</v>
      </c>
    </row>
    <row r="1107" spans="1:8" hidden="1" x14ac:dyDescent="0.3">
      <c r="A1107" s="958">
        <v>11.37</v>
      </c>
      <c r="B1107" s="846" t="s">
        <v>1106</v>
      </c>
      <c r="C1107" s="852"/>
      <c r="D1107" s="847"/>
      <c r="E1107" s="847"/>
      <c r="F1107" s="848"/>
      <c r="G1107" s="849" t="s">
        <v>745</v>
      </c>
      <c r="H1107" s="850"/>
    </row>
    <row r="1108" spans="1:8" hidden="1" x14ac:dyDescent="0.3">
      <c r="A1108" s="851"/>
      <c r="B1108" s="846" t="s">
        <v>1095</v>
      </c>
      <c r="C1108" s="852"/>
      <c r="D1108" s="859" t="s">
        <v>745</v>
      </c>
      <c r="E1108" s="855" t="s">
        <v>745</v>
      </c>
      <c r="F1108" s="856" t="s">
        <v>745</v>
      </c>
      <c r="G1108" s="857" t="s">
        <v>745</v>
      </c>
      <c r="H1108" s="963" t="s">
        <v>745</v>
      </c>
    </row>
    <row r="1109" spans="1:8" hidden="1" x14ac:dyDescent="0.3">
      <c r="A1109" s="851"/>
      <c r="B1109" s="852" t="s">
        <v>1107</v>
      </c>
      <c r="C1109" s="852"/>
      <c r="D1109" s="859">
        <v>1.08</v>
      </c>
      <c r="E1109" s="855" t="s">
        <v>396</v>
      </c>
      <c r="F1109" s="856">
        <v>829</v>
      </c>
      <c r="G1109" s="857">
        <f>D1109*F1109</f>
        <v>895.32</v>
      </c>
      <c r="H1109" s="901" t="s">
        <v>1097</v>
      </c>
    </row>
    <row r="1110" spans="1:8" hidden="1" x14ac:dyDescent="0.3">
      <c r="A1110" s="851"/>
      <c r="B1110" s="852" t="s">
        <v>1098</v>
      </c>
      <c r="C1110" s="852"/>
      <c r="D1110" s="859">
        <v>0.51</v>
      </c>
      <c r="E1110" s="855" t="s">
        <v>396</v>
      </c>
      <c r="F1110" s="948">
        <v>791</v>
      </c>
      <c r="G1110" s="857">
        <f>D1110*F1110</f>
        <v>403.41</v>
      </c>
      <c r="H1110" s="850"/>
    </row>
    <row r="1111" spans="1:8" hidden="1" x14ac:dyDescent="0.3">
      <c r="A1111" s="851"/>
      <c r="B1111" s="852" t="s">
        <v>908</v>
      </c>
      <c r="C1111" s="852"/>
      <c r="D1111" s="859">
        <v>0.2</v>
      </c>
      <c r="E1111" s="855" t="s">
        <v>399</v>
      </c>
      <c r="F1111" s="965">
        <v>12.92</v>
      </c>
      <c r="G1111" s="857">
        <f>D1111*F1111</f>
        <v>2.5840000000000001</v>
      </c>
      <c r="H1111" s="850"/>
    </row>
    <row r="1112" spans="1:8" hidden="1" x14ac:dyDescent="0.3">
      <c r="A1112" s="950"/>
      <c r="B1112" s="951"/>
      <c r="C1112" s="952" t="s">
        <v>1108</v>
      </c>
      <c r="D1112" s="953">
        <v>1</v>
      </c>
      <c r="E1112" s="954" t="s">
        <v>33</v>
      </c>
      <c r="F1112" s="955" t="s">
        <v>6</v>
      </c>
      <c r="G1112" s="956">
        <f>SUM(G1108:G1111)</f>
        <v>1301.3140000000001</v>
      </c>
      <c r="H1112" s="957" t="s">
        <v>752</v>
      </c>
    </row>
    <row r="1113" spans="1:8" hidden="1" x14ac:dyDescent="0.3">
      <c r="A1113" s="958">
        <v>11.38</v>
      </c>
      <c r="B1113" s="846" t="s">
        <v>1109</v>
      </c>
      <c r="C1113" s="852"/>
      <c r="D1113" s="847"/>
      <c r="E1113" s="847"/>
      <c r="F1113" s="848"/>
      <c r="G1113" s="849" t="s">
        <v>745</v>
      </c>
      <c r="H1113" s="850"/>
    </row>
    <row r="1114" spans="1:8" hidden="1" x14ac:dyDescent="0.3">
      <c r="A1114" s="851"/>
      <c r="B1114" s="846" t="s">
        <v>1095</v>
      </c>
      <c r="C1114" s="852"/>
      <c r="D1114" s="859" t="s">
        <v>745</v>
      </c>
      <c r="E1114" s="855" t="s">
        <v>745</v>
      </c>
      <c r="F1114" s="856" t="s">
        <v>745</v>
      </c>
      <c r="G1114" s="857" t="s">
        <v>745</v>
      </c>
      <c r="H1114" s="963" t="s">
        <v>745</v>
      </c>
    </row>
    <row r="1115" spans="1:8" hidden="1" x14ac:dyDescent="0.3">
      <c r="A1115" s="851"/>
      <c r="B1115" s="852" t="s">
        <v>1110</v>
      </c>
      <c r="C1115" s="852"/>
      <c r="D1115" s="859">
        <v>1.1499999999999999</v>
      </c>
      <c r="E1115" s="855" t="s">
        <v>396</v>
      </c>
      <c r="F1115" s="856">
        <v>959</v>
      </c>
      <c r="G1115" s="857">
        <f>D1115*F1115</f>
        <v>1102.8499999999999</v>
      </c>
      <c r="H1115" s="901" t="s">
        <v>1097</v>
      </c>
    </row>
    <row r="1116" spans="1:8" hidden="1" x14ac:dyDescent="0.3">
      <c r="A1116" s="851"/>
      <c r="B1116" s="852" t="s">
        <v>1098</v>
      </c>
      <c r="C1116" s="852"/>
      <c r="D1116" s="859">
        <v>0.51</v>
      </c>
      <c r="E1116" s="855" t="s">
        <v>396</v>
      </c>
      <c r="F1116" s="948">
        <v>791</v>
      </c>
      <c r="G1116" s="857">
        <f>D1116*F1116</f>
        <v>403.41</v>
      </c>
      <c r="H1116" s="850"/>
    </row>
    <row r="1117" spans="1:8" hidden="1" x14ac:dyDescent="0.3">
      <c r="A1117" s="851"/>
      <c r="B1117" s="852" t="s">
        <v>908</v>
      </c>
      <c r="C1117" s="852"/>
      <c r="D1117" s="859">
        <v>0.2</v>
      </c>
      <c r="E1117" s="855" t="s">
        <v>399</v>
      </c>
      <c r="F1117" s="965">
        <v>12.92</v>
      </c>
      <c r="G1117" s="857">
        <f>D1117*F1117</f>
        <v>2.5840000000000001</v>
      </c>
      <c r="H1117" s="850"/>
    </row>
    <row r="1118" spans="1:8" hidden="1" x14ac:dyDescent="0.3">
      <c r="A1118" s="851"/>
      <c r="B1118" s="875"/>
      <c r="C1118" s="852" t="s">
        <v>1111</v>
      </c>
      <c r="D1118" s="854">
        <v>1</v>
      </c>
      <c r="E1118" s="855" t="s">
        <v>33</v>
      </c>
      <c r="F1118" s="876" t="s">
        <v>6</v>
      </c>
      <c r="G1118" s="945">
        <f>SUM(G1114:G1117)</f>
        <v>1508.8440000000001</v>
      </c>
      <c r="H1118" s="878" t="s">
        <v>752</v>
      </c>
    </row>
    <row r="1119" spans="1:8" hidden="1" x14ac:dyDescent="0.3">
      <c r="A1119" s="936"/>
      <c r="B1119" s="937"/>
      <c r="C1119" s="853"/>
      <c r="D1119" s="870"/>
      <c r="E1119" s="870"/>
      <c r="F1119" s="871"/>
      <c r="G1119" s="872"/>
      <c r="H1119" s="873"/>
    </row>
    <row r="1120" spans="1:8" ht="19.5" hidden="1" thickBot="1" x14ac:dyDescent="0.35">
      <c r="A1120" s="879"/>
      <c r="B1120" s="880"/>
      <c r="C1120" s="881"/>
      <c r="D1120" s="883"/>
      <c r="E1120" s="883"/>
      <c r="F1120" s="884"/>
      <c r="G1120" s="891" t="s">
        <v>745</v>
      </c>
      <c r="H1120" s="885"/>
    </row>
    <row r="1121" spans="1:8" hidden="1" x14ac:dyDescent="0.3">
      <c r="G1121" s="888" t="str">
        <f>$G$37</f>
        <v xml:space="preserve"> เมษายน 2549</v>
      </c>
      <c r="H1121" s="888"/>
    </row>
    <row r="1122" spans="1:8" ht="19.5" hidden="1" x14ac:dyDescent="0.3">
      <c r="A1122" s="820" t="s">
        <v>1112</v>
      </c>
      <c r="B1122" s="820"/>
      <c r="C1122" s="820"/>
      <c r="D1122" s="820"/>
      <c r="E1122" s="820"/>
      <c r="F1122" s="820"/>
      <c r="G1122" s="820"/>
      <c r="H1122" s="820"/>
    </row>
    <row r="1123" spans="1:8" ht="20.25" hidden="1" thickBot="1" x14ac:dyDescent="0.35">
      <c r="A1123" s="889" t="s">
        <v>758</v>
      </c>
      <c r="B1123" s="889"/>
      <c r="C1123" s="889"/>
      <c r="D1123" s="889"/>
      <c r="E1123" s="889"/>
      <c r="F1123" s="889"/>
      <c r="G1123" s="889"/>
      <c r="H1123" s="889"/>
    </row>
    <row r="1124" spans="1:8" hidden="1" x14ac:dyDescent="0.3">
      <c r="A1124" s="823" t="s">
        <v>424</v>
      </c>
      <c r="B1124" s="824" t="s">
        <v>1</v>
      </c>
      <c r="C1124" s="825"/>
      <c r="D1124" s="826" t="s">
        <v>24</v>
      </c>
      <c r="E1124" s="826" t="s">
        <v>25</v>
      </c>
      <c r="F1124" s="827" t="s">
        <v>390</v>
      </c>
      <c r="G1124" s="828" t="s">
        <v>743</v>
      </c>
      <c r="H1124" s="829" t="s">
        <v>20</v>
      </c>
    </row>
    <row r="1125" spans="1:8" hidden="1" x14ac:dyDescent="0.3">
      <c r="A1125" s="830"/>
      <c r="B1125" s="831"/>
      <c r="C1125" s="832"/>
      <c r="D1125" s="833"/>
      <c r="E1125" s="833"/>
      <c r="F1125" s="834" t="s">
        <v>31</v>
      </c>
      <c r="G1125" s="835" t="s">
        <v>31</v>
      </c>
      <c r="H1125" s="836"/>
    </row>
    <row r="1126" spans="1:8" hidden="1" x14ac:dyDescent="0.3">
      <c r="A1126" s="958">
        <v>11.39</v>
      </c>
      <c r="B1126" s="846" t="s">
        <v>1113</v>
      </c>
      <c r="C1126" s="852"/>
      <c r="D1126" s="847"/>
      <c r="E1126" s="847"/>
      <c r="F1126" s="848"/>
      <c r="G1126" s="849" t="s">
        <v>745</v>
      </c>
      <c r="H1126" s="850"/>
    </row>
    <row r="1127" spans="1:8" hidden="1" x14ac:dyDescent="0.3">
      <c r="A1127" s="851"/>
      <c r="B1127" s="846" t="s">
        <v>1095</v>
      </c>
      <c r="C1127" s="852"/>
      <c r="D1127" s="859" t="s">
        <v>745</v>
      </c>
      <c r="E1127" s="855" t="s">
        <v>745</v>
      </c>
      <c r="F1127" s="856" t="s">
        <v>745</v>
      </c>
      <c r="G1127" s="857" t="s">
        <v>745</v>
      </c>
      <c r="H1127" s="963" t="s">
        <v>745</v>
      </c>
    </row>
    <row r="1128" spans="1:8" hidden="1" x14ac:dyDescent="0.3">
      <c r="A1128" s="851"/>
      <c r="B1128" s="852" t="s">
        <v>1114</v>
      </c>
      <c r="C1128" s="852"/>
      <c r="D1128" s="859">
        <v>1.08</v>
      </c>
      <c r="E1128" s="855" t="s">
        <v>396</v>
      </c>
      <c r="F1128" s="856">
        <v>959</v>
      </c>
      <c r="G1128" s="857">
        <f>D1128*F1128</f>
        <v>1035.72</v>
      </c>
      <c r="H1128" s="901" t="s">
        <v>1097</v>
      </c>
    </row>
    <row r="1129" spans="1:8" hidden="1" x14ac:dyDescent="0.3">
      <c r="A1129" s="851"/>
      <c r="B1129" s="852" t="s">
        <v>1098</v>
      </c>
      <c r="C1129" s="852"/>
      <c r="D1129" s="859">
        <v>0.51</v>
      </c>
      <c r="E1129" s="855" t="s">
        <v>396</v>
      </c>
      <c r="F1129" s="948">
        <v>791</v>
      </c>
      <c r="G1129" s="857">
        <f>D1129*F1129</f>
        <v>403.41</v>
      </c>
      <c r="H1129" s="850"/>
    </row>
    <row r="1130" spans="1:8" hidden="1" x14ac:dyDescent="0.3">
      <c r="A1130" s="851"/>
      <c r="B1130" s="852" t="s">
        <v>908</v>
      </c>
      <c r="C1130" s="852"/>
      <c r="D1130" s="859">
        <v>0.2</v>
      </c>
      <c r="E1130" s="855" t="s">
        <v>399</v>
      </c>
      <c r="F1130" s="965">
        <v>12.92</v>
      </c>
      <c r="G1130" s="857">
        <f>D1130*F1130</f>
        <v>2.5840000000000001</v>
      </c>
      <c r="H1130" s="850"/>
    </row>
    <row r="1131" spans="1:8" hidden="1" x14ac:dyDescent="0.3">
      <c r="A1131" s="861"/>
      <c r="B1131" s="862"/>
      <c r="C1131" s="863" t="s">
        <v>1115</v>
      </c>
      <c r="D1131" s="864">
        <v>1</v>
      </c>
      <c r="E1131" s="865" t="s">
        <v>33</v>
      </c>
      <c r="F1131" s="866" t="s">
        <v>6</v>
      </c>
      <c r="G1131" s="911">
        <f>SUM(G1127:G1130)</f>
        <v>1441.7140000000002</v>
      </c>
      <c r="H1131" s="868" t="s">
        <v>752</v>
      </c>
    </row>
    <row r="1132" spans="1:8" hidden="1" x14ac:dyDescent="0.3">
      <c r="A1132" s="958">
        <v>11.4</v>
      </c>
      <c r="B1132" s="846" t="s">
        <v>1116</v>
      </c>
      <c r="C1132" s="852"/>
      <c r="D1132" s="847"/>
      <c r="E1132" s="847"/>
      <c r="F1132" s="848"/>
      <c r="G1132" s="849" t="s">
        <v>745</v>
      </c>
      <c r="H1132" s="850"/>
    </row>
    <row r="1133" spans="1:8" hidden="1" x14ac:dyDescent="0.3">
      <c r="A1133" s="851"/>
      <c r="B1133" s="846" t="s">
        <v>1095</v>
      </c>
      <c r="C1133" s="852"/>
      <c r="D1133" s="859" t="s">
        <v>745</v>
      </c>
      <c r="E1133" s="855" t="s">
        <v>745</v>
      </c>
      <c r="F1133" s="856" t="s">
        <v>745</v>
      </c>
      <c r="G1133" s="857" t="s">
        <v>745</v>
      </c>
      <c r="H1133" s="963" t="s">
        <v>745</v>
      </c>
    </row>
    <row r="1134" spans="1:8" hidden="1" x14ac:dyDescent="0.3">
      <c r="A1134" s="851"/>
      <c r="B1134" s="852" t="s">
        <v>1117</v>
      </c>
      <c r="C1134" s="852"/>
      <c r="D1134" s="859">
        <v>1.1499999999999999</v>
      </c>
      <c r="E1134" s="855" t="s">
        <v>396</v>
      </c>
      <c r="F1134" s="856">
        <v>2622</v>
      </c>
      <c r="G1134" s="857">
        <f>D1134*F1134</f>
        <v>3015.2999999999997</v>
      </c>
      <c r="H1134" s="901" t="s">
        <v>1097</v>
      </c>
    </row>
    <row r="1135" spans="1:8" hidden="1" x14ac:dyDescent="0.3">
      <c r="A1135" s="851"/>
      <c r="B1135" s="852" t="s">
        <v>1098</v>
      </c>
      <c r="C1135" s="852"/>
      <c r="D1135" s="859">
        <v>0.51</v>
      </c>
      <c r="E1135" s="855" t="s">
        <v>396</v>
      </c>
      <c r="F1135" s="948">
        <v>791</v>
      </c>
      <c r="G1135" s="857">
        <f>D1135*F1135</f>
        <v>403.41</v>
      </c>
      <c r="H1135" s="850"/>
    </row>
    <row r="1136" spans="1:8" hidden="1" x14ac:dyDescent="0.3">
      <c r="A1136" s="851"/>
      <c r="B1136" s="852" t="s">
        <v>908</v>
      </c>
      <c r="C1136" s="852"/>
      <c r="D1136" s="859">
        <v>0.2</v>
      </c>
      <c r="E1136" s="855" t="s">
        <v>399</v>
      </c>
      <c r="F1136" s="965">
        <v>12.92</v>
      </c>
      <c r="G1136" s="857">
        <f>D1136*F1136</f>
        <v>2.5840000000000001</v>
      </c>
      <c r="H1136" s="850"/>
    </row>
    <row r="1137" spans="1:8" hidden="1" x14ac:dyDescent="0.3">
      <c r="A1137" s="861"/>
      <c r="B1137" s="862"/>
      <c r="C1137" s="863" t="s">
        <v>1118</v>
      </c>
      <c r="D1137" s="864">
        <v>1</v>
      </c>
      <c r="E1137" s="865" t="s">
        <v>33</v>
      </c>
      <c r="F1137" s="866" t="s">
        <v>6</v>
      </c>
      <c r="G1137" s="911">
        <f>SUM(G1133:G1136)</f>
        <v>3421.2939999999994</v>
      </c>
      <c r="H1137" s="868" t="s">
        <v>752</v>
      </c>
    </row>
    <row r="1138" spans="1:8" hidden="1" x14ac:dyDescent="0.3">
      <c r="A1138" s="958">
        <v>11.41</v>
      </c>
      <c r="B1138" s="935" t="s">
        <v>1119</v>
      </c>
      <c r="C1138" s="853"/>
      <c r="D1138" s="870"/>
      <c r="E1138" s="870"/>
      <c r="F1138" s="871"/>
      <c r="G1138" s="872" t="s">
        <v>745</v>
      </c>
      <c r="H1138" s="873"/>
    </row>
    <row r="1139" spans="1:8" hidden="1" x14ac:dyDescent="0.3">
      <c r="A1139" s="851"/>
      <c r="B1139" s="846" t="s">
        <v>1095</v>
      </c>
      <c r="C1139" s="852"/>
      <c r="D1139" s="859" t="s">
        <v>745</v>
      </c>
      <c r="E1139" s="855" t="s">
        <v>745</v>
      </c>
      <c r="F1139" s="856" t="s">
        <v>745</v>
      </c>
      <c r="G1139" s="857" t="s">
        <v>745</v>
      </c>
      <c r="H1139" s="963" t="s">
        <v>745</v>
      </c>
    </row>
    <row r="1140" spans="1:8" hidden="1" x14ac:dyDescent="0.3">
      <c r="A1140" s="851"/>
      <c r="B1140" s="852" t="s">
        <v>1120</v>
      </c>
      <c r="C1140" s="852"/>
      <c r="D1140" s="859">
        <v>1.08</v>
      </c>
      <c r="E1140" s="855" t="s">
        <v>396</v>
      </c>
      <c r="F1140" s="856">
        <v>2622</v>
      </c>
      <c r="G1140" s="857">
        <f>D1140*F1140</f>
        <v>2831.76</v>
      </c>
      <c r="H1140" s="901" t="s">
        <v>1097</v>
      </c>
    </row>
    <row r="1141" spans="1:8" hidden="1" x14ac:dyDescent="0.3">
      <c r="A1141" s="851"/>
      <c r="B1141" s="852" t="s">
        <v>1098</v>
      </c>
      <c r="C1141" s="852"/>
      <c r="D1141" s="859">
        <v>0.51</v>
      </c>
      <c r="E1141" s="855" t="s">
        <v>396</v>
      </c>
      <c r="F1141" s="948">
        <v>791</v>
      </c>
      <c r="G1141" s="857">
        <f>D1141*F1141</f>
        <v>403.41</v>
      </c>
      <c r="H1141" s="850"/>
    </row>
    <row r="1142" spans="1:8" hidden="1" x14ac:dyDescent="0.3">
      <c r="A1142" s="851"/>
      <c r="B1142" s="852" t="s">
        <v>908</v>
      </c>
      <c r="C1142" s="852"/>
      <c r="D1142" s="859">
        <v>0.2</v>
      </c>
      <c r="E1142" s="855" t="s">
        <v>399</v>
      </c>
      <c r="F1142" s="965">
        <v>12.02</v>
      </c>
      <c r="G1142" s="857">
        <f>D1142*F1142</f>
        <v>2.4039999999999999</v>
      </c>
      <c r="H1142" s="850"/>
    </row>
    <row r="1143" spans="1:8" hidden="1" x14ac:dyDescent="0.3">
      <c r="A1143" s="861"/>
      <c r="B1143" s="862"/>
      <c r="C1143" s="863" t="s">
        <v>1121</v>
      </c>
      <c r="D1143" s="864">
        <v>1</v>
      </c>
      <c r="E1143" s="865" t="s">
        <v>33</v>
      </c>
      <c r="F1143" s="866" t="s">
        <v>6</v>
      </c>
      <c r="G1143" s="911">
        <f>SUM(G1139:G1142)</f>
        <v>3237.5740000000001</v>
      </c>
      <c r="H1143" s="868" t="s">
        <v>752</v>
      </c>
    </row>
    <row r="1144" spans="1:8" hidden="1" x14ac:dyDescent="0.3">
      <c r="A1144" s="958">
        <v>11.42</v>
      </c>
      <c r="B1144" s="846" t="s">
        <v>1122</v>
      </c>
      <c r="C1144" s="852"/>
      <c r="D1144" s="847"/>
      <c r="E1144" s="847"/>
      <c r="F1144" s="848"/>
      <c r="G1144" s="849" t="s">
        <v>745</v>
      </c>
      <c r="H1144" s="850"/>
    </row>
    <row r="1145" spans="1:8" hidden="1" x14ac:dyDescent="0.3">
      <c r="A1145" s="851"/>
      <c r="B1145" s="846" t="s">
        <v>1095</v>
      </c>
      <c r="C1145" s="852"/>
      <c r="D1145" s="859" t="s">
        <v>745</v>
      </c>
      <c r="E1145" s="855" t="s">
        <v>745</v>
      </c>
      <c r="F1145" s="856" t="s">
        <v>745</v>
      </c>
      <c r="G1145" s="857" t="s">
        <v>745</v>
      </c>
      <c r="H1145" s="963" t="s">
        <v>745</v>
      </c>
    </row>
    <row r="1146" spans="1:8" hidden="1" x14ac:dyDescent="0.3">
      <c r="A1146" s="851"/>
      <c r="B1146" s="852" t="s">
        <v>1123</v>
      </c>
      <c r="C1146" s="852"/>
      <c r="D1146" s="859">
        <v>1.1499999999999999</v>
      </c>
      <c r="E1146" s="855" t="s">
        <v>396</v>
      </c>
      <c r="F1146" s="856">
        <v>1544</v>
      </c>
      <c r="G1146" s="857">
        <f>D1146*F1146</f>
        <v>1775.6</v>
      </c>
      <c r="H1146" s="901" t="s">
        <v>1097</v>
      </c>
    </row>
    <row r="1147" spans="1:8" hidden="1" x14ac:dyDescent="0.3">
      <c r="A1147" s="851"/>
      <c r="B1147" s="852" t="s">
        <v>1098</v>
      </c>
      <c r="C1147" s="852"/>
      <c r="D1147" s="859">
        <v>0.51</v>
      </c>
      <c r="E1147" s="855" t="s">
        <v>396</v>
      </c>
      <c r="F1147" s="948">
        <v>791</v>
      </c>
      <c r="G1147" s="857">
        <f>D1147*F1147</f>
        <v>403.41</v>
      </c>
      <c r="H1147" s="850"/>
    </row>
    <row r="1148" spans="1:8" hidden="1" x14ac:dyDescent="0.3">
      <c r="A1148" s="851"/>
      <c r="B1148" s="852" t="s">
        <v>908</v>
      </c>
      <c r="C1148" s="852"/>
      <c r="D1148" s="859">
        <v>0.2</v>
      </c>
      <c r="E1148" s="855" t="s">
        <v>399</v>
      </c>
      <c r="F1148" s="965">
        <v>12.92</v>
      </c>
      <c r="G1148" s="857">
        <f>D1148*F1148</f>
        <v>2.5840000000000001</v>
      </c>
      <c r="H1148" s="850"/>
    </row>
    <row r="1149" spans="1:8" hidden="1" x14ac:dyDescent="0.3">
      <c r="A1149" s="861"/>
      <c r="B1149" s="862"/>
      <c r="C1149" s="863" t="s">
        <v>1124</v>
      </c>
      <c r="D1149" s="864">
        <v>1</v>
      </c>
      <c r="E1149" s="865" t="s">
        <v>33</v>
      </c>
      <c r="F1149" s="866" t="s">
        <v>6</v>
      </c>
      <c r="G1149" s="911">
        <f>SUM(G1145:G1148)</f>
        <v>2181.5939999999996</v>
      </c>
      <c r="H1149" s="868" t="s">
        <v>752</v>
      </c>
    </row>
    <row r="1150" spans="1:8" hidden="1" x14ac:dyDescent="0.3">
      <c r="A1150" s="958">
        <v>11.43</v>
      </c>
      <c r="B1150" s="935" t="s">
        <v>1125</v>
      </c>
      <c r="C1150" s="853"/>
      <c r="D1150" s="870"/>
      <c r="E1150" s="870"/>
      <c r="F1150" s="871"/>
      <c r="G1150" s="872" t="s">
        <v>745</v>
      </c>
      <c r="H1150" s="873"/>
    </row>
    <row r="1151" spans="1:8" hidden="1" x14ac:dyDescent="0.3">
      <c r="A1151" s="851"/>
      <c r="B1151" s="846" t="s">
        <v>1095</v>
      </c>
      <c r="C1151" s="852"/>
      <c r="D1151" s="859" t="s">
        <v>745</v>
      </c>
      <c r="E1151" s="855" t="s">
        <v>745</v>
      </c>
      <c r="F1151" s="856" t="s">
        <v>745</v>
      </c>
      <c r="G1151" s="857" t="s">
        <v>745</v>
      </c>
      <c r="H1151" s="963" t="s">
        <v>745</v>
      </c>
    </row>
    <row r="1152" spans="1:8" hidden="1" x14ac:dyDescent="0.3">
      <c r="A1152" s="851"/>
      <c r="B1152" s="852" t="s">
        <v>1126</v>
      </c>
      <c r="C1152" s="852"/>
      <c r="D1152" s="859">
        <v>1.08</v>
      </c>
      <c r="E1152" s="855" t="s">
        <v>396</v>
      </c>
      <c r="F1152" s="856">
        <v>1544</v>
      </c>
      <c r="G1152" s="857">
        <f>D1152*F1152</f>
        <v>1667.5200000000002</v>
      </c>
      <c r="H1152" s="901" t="s">
        <v>1097</v>
      </c>
    </row>
    <row r="1153" spans="1:8" hidden="1" x14ac:dyDescent="0.3">
      <c r="A1153" s="851"/>
      <c r="B1153" s="852" t="s">
        <v>1098</v>
      </c>
      <c r="C1153" s="852"/>
      <c r="D1153" s="859">
        <v>0.51</v>
      </c>
      <c r="E1153" s="855" t="s">
        <v>396</v>
      </c>
      <c r="F1153" s="948">
        <v>791</v>
      </c>
      <c r="G1153" s="857">
        <f>D1153*F1153</f>
        <v>403.41</v>
      </c>
      <c r="H1153" s="850"/>
    </row>
    <row r="1154" spans="1:8" hidden="1" x14ac:dyDescent="0.3">
      <c r="A1154" s="851"/>
      <c r="B1154" s="852" t="s">
        <v>908</v>
      </c>
      <c r="C1154" s="852"/>
      <c r="D1154" s="859">
        <v>0.2</v>
      </c>
      <c r="E1154" s="855" t="s">
        <v>399</v>
      </c>
      <c r="F1154" s="965">
        <v>12.92</v>
      </c>
      <c r="G1154" s="857">
        <f>D1154*F1154</f>
        <v>2.5840000000000001</v>
      </c>
      <c r="H1154" s="850"/>
    </row>
    <row r="1155" spans="1:8" hidden="1" x14ac:dyDescent="0.3">
      <c r="A1155" s="851"/>
      <c r="B1155" s="875"/>
      <c r="C1155" s="852" t="s">
        <v>1127</v>
      </c>
      <c r="D1155" s="854">
        <v>1</v>
      </c>
      <c r="E1155" s="855" t="s">
        <v>33</v>
      </c>
      <c r="F1155" s="876" t="s">
        <v>6</v>
      </c>
      <c r="G1155" s="945">
        <f>SUM(G1151:G1154)</f>
        <v>2073.5140000000001</v>
      </c>
      <c r="H1155" s="878" t="s">
        <v>752</v>
      </c>
    </row>
    <row r="1156" spans="1:8" hidden="1" x14ac:dyDescent="0.3">
      <c r="A1156" s="936"/>
      <c r="B1156" s="937"/>
      <c r="C1156" s="853"/>
      <c r="D1156" s="870"/>
      <c r="E1156" s="870"/>
      <c r="F1156" s="871"/>
      <c r="G1156" s="872" t="s">
        <v>745</v>
      </c>
      <c r="H1156" s="873"/>
    </row>
    <row r="1157" spans="1:8" ht="19.5" hidden="1" thickBot="1" x14ac:dyDescent="0.35">
      <c r="A1157" s="879"/>
      <c r="B1157" s="880"/>
      <c r="C1157" s="881"/>
      <c r="D1157" s="883"/>
      <c r="E1157" s="883"/>
      <c r="F1157" s="884"/>
      <c r="G1157" s="891" t="s">
        <v>745</v>
      </c>
      <c r="H1157" s="885"/>
    </row>
    <row r="1158" spans="1:8" hidden="1" x14ac:dyDescent="0.3">
      <c r="G1158" s="888" t="str">
        <f>$G$37</f>
        <v xml:space="preserve"> เมษายน 2549</v>
      </c>
      <c r="H1158" s="888"/>
    </row>
    <row r="1159" spans="1:8" ht="19.5" hidden="1" x14ac:dyDescent="0.3">
      <c r="A1159" s="820" t="s">
        <v>1128</v>
      </c>
      <c r="B1159" s="820"/>
      <c r="C1159" s="820"/>
      <c r="D1159" s="820"/>
      <c r="E1159" s="820"/>
      <c r="F1159" s="820"/>
      <c r="G1159" s="820"/>
      <c r="H1159" s="820"/>
    </row>
    <row r="1160" spans="1:8" ht="20.25" hidden="1" thickBot="1" x14ac:dyDescent="0.35">
      <c r="A1160" s="889" t="s">
        <v>758</v>
      </c>
      <c r="B1160" s="889"/>
      <c r="C1160" s="889"/>
      <c r="D1160" s="889"/>
      <c r="E1160" s="889"/>
      <c r="F1160" s="889"/>
      <c r="G1160" s="889"/>
      <c r="H1160" s="889"/>
    </row>
    <row r="1161" spans="1:8" hidden="1" x14ac:dyDescent="0.3">
      <c r="A1161" s="823" t="s">
        <v>424</v>
      </c>
      <c r="B1161" s="824" t="s">
        <v>1</v>
      </c>
      <c r="C1161" s="825"/>
      <c r="D1161" s="826" t="s">
        <v>24</v>
      </c>
      <c r="E1161" s="826" t="s">
        <v>25</v>
      </c>
      <c r="F1161" s="827" t="s">
        <v>390</v>
      </c>
      <c r="G1161" s="828" t="s">
        <v>743</v>
      </c>
      <c r="H1161" s="829" t="s">
        <v>20</v>
      </c>
    </row>
    <row r="1162" spans="1:8" hidden="1" x14ac:dyDescent="0.3">
      <c r="A1162" s="830"/>
      <c r="B1162" s="831"/>
      <c r="C1162" s="832"/>
      <c r="D1162" s="833"/>
      <c r="E1162" s="833"/>
      <c r="F1162" s="834" t="s">
        <v>31</v>
      </c>
      <c r="G1162" s="835" t="s">
        <v>31</v>
      </c>
      <c r="H1162" s="836"/>
    </row>
    <row r="1163" spans="1:8" hidden="1" x14ac:dyDescent="0.3">
      <c r="A1163" s="958">
        <v>11.44</v>
      </c>
      <c r="B1163" s="935" t="s">
        <v>1129</v>
      </c>
      <c r="C1163" s="853"/>
      <c r="D1163" s="870"/>
      <c r="E1163" s="870"/>
      <c r="F1163" s="871"/>
      <c r="G1163" s="872" t="s">
        <v>745</v>
      </c>
      <c r="H1163" s="873"/>
    </row>
    <row r="1164" spans="1:8" hidden="1" x14ac:dyDescent="0.3">
      <c r="A1164" s="851"/>
      <c r="B1164" s="894" t="s">
        <v>1385</v>
      </c>
      <c r="C1164" s="852"/>
      <c r="D1164" s="859" t="s">
        <v>745</v>
      </c>
      <c r="E1164" s="855" t="s">
        <v>745</v>
      </c>
      <c r="F1164" s="856" t="s">
        <v>745</v>
      </c>
      <c r="G1164" s="857" t="s">
        <v>745</v>
      </c>
      <c r="H1164" s="963" t="s">
        <v>745</v>
      </c>
    </row>
    <row r="1165" spans="1:8" hidden="1" x14ac:dyDescent="0.3">
      <c r="A1165" s="851"/>
      <c r="B1165" s="852" t="s">
        <v>1130</v>
      </c>
      <c r="C1165" s="852"/>
      <c r="D1165" s="859">
        <v>7</v>
      </c>
      <c r="E1165" s="855" t="s">
        <v>850</v>
      </c>
      <c r="F1165" s="856">
        <v>16.149999999999999</v>
      </c>
      <c r="G1165" s="857">
        <f>D1165*F1165</f>
        <v>113.04999999999998</v>
      </c>
      <c r="H1165" s="858" t="s">
        <v>745</v>
      </c>
    </row>
    <row r="1166" spans="1:8" hidden="1" x14ac:dyDescent="0.3">
      <c r="A1166" s="851"/>
      <c r="B1166" s="852" t="s">
        <v>1131</v>
      </c>
      <c r="C1166" s="852"/>
      <c r="D1166" s="859">
        <v>0.05</v>
      </c>
      <c r="E1166" s="855" t="s">
        <v>34</v>
      </c>
      <c r="F1166" s="856">
        <v>287.5</v>
      </c>
      <c r="G1166" s="857">
        <f>D1166*F1166</f>
        <v>14.375</v>
      </c>
      <c r="H1166" s="850"/>
    </row>
    <row r="1167" spans="1:8" hidden="1" x14ac:dyDescent="0.3">
      <c r="A1167" s="851"/>
      <c r="B1167" s="852" t="s">
        <v>1132</v>
      </c>
      <c r="C1167" s="852"/>
      <c r="D1167" s="859">
        <v>0.02</v>
      </c>
      <c r="E1167" s="855" t="s">
        <v>34</v>
      </c>
      <c r="F1167" s="965">
        <v>10</v>
      </c>
      <c r="G1167" s="857">
        <f>D1167*F1167</f>
        <v>0.2</v>
      </c>
      <c r="H1167" s="850"/>
    </row>
    <row r="1168" spans="1:8" hidden="1" x14ac:dyDescent="0.3">
      <c r="A1168" s="861"/>
      <c r="B1168" s="862"/>
      <c r="C1168" s="863" t="s">
        <v>1133</v>
      </c>
      <c r="D1168" s="864">
        <v>1</v>
      </c>
      <c r="E1168" s="865" t="s">
        <v>33</v>
      </c>
      <c r="F1168" s="866" t="s">
        <v>6</v>
      </c>
      <c r="G1168" s="911">
        <f>SUM(G1164:G1167)</f>
        <v>127.62499999999999</v>
      </c>
      <c r="H1168" s="868" t="s">
        <v>752</v>
      </c>
    </row>
    <row r="1169" spans="1:8" hidden="1" x14ac:dyDescent="0.3">
      <c r="A1169" s="958">
        <v>11.45</v>
      </c>
      <c r="B1169" s="935" t="s">
        <v>1134</v>
      </c>
      <c r="C1169" s="853"/>
      <c r="D1169" s="870"/>
      <c r="E1169" s="870"/>
      <c r="F1169" s="871"/>
      <c r="G1169" s="872" t="s">
        <v>745</v>
      </c>
      <c r="H1169" s="873"/>
    </row>
    <row r="1170" spans="1:8" hidden="1" x14ac:dyDescent="0.3">
      <c r="A1170" s="851"/>
      <c r="B1170" s="894" t="s">
        <v>1385</v>
      </c>
      <c r="C1170" s="852"/>
      <c r="D1170" s="859" t="s">
        <v>745</v>
      </c>
      <c r="E1170" s="855" t="s">
        <v>745</v>
      </c>
      <c r="F1170" s="856" t="s">
        <v>745</v>
      </c>
      <c r="G1170" s="857" t="s">
        <v>745</v>
      </c>
      <c r="H1170" s="963" t="s">
        <v>745</v>
      </c>
    </row>
    <row r="1171" spans="1:8" hidden="1" x14ac:dyDescent="0.3">
      <c r="A1171" s="851"/>
      <c r="B1171" s="852" t="s">
        <v>1130</v>
      </c>
      <c r="C1171" s="852"/>
      <c r="D1171" s="859">
        <v>50</v>
      </c>
      <c r="E1171" s="855" t="s">
        <v>850</v>
      </c>
      <c r="F1171" s="856">
        <v>6.25</v>
      </c>
      <c r="G1171" s="857">
        <f>D1171*F1171</f>
        <v>312.5</v>
      </c>
      <c r="H1171" s="858" t="s">
        <v>745</v>
      </c>
    </row>
    <row r="1172" spans="1:8" hidden="1" x14ac:dyDescent="0.3">
      <c r="A1172" s="851"/>
      <c r="B1172" s="852" t="s">
        <v>1131</v>
      </c>
      <c r="C1172" s="852"/>
      <c r="D1172" s="859">
        <v>0.05</v>
      </c>
      <c r="E1172" s="855" t="s">
        <v>34</v>
      </c>
      <c r="F1172" s="856">
        <v>287.5</v>
      </c>
      <c r="G1172" s="857">
        <f>D1172*F1172</f>
        <v>14.375</v>
      </c>
      <c r="H1172" s="850"/>
    </row>
    <row r="1173" spans="1:8" hidden="1" x14ac:dyDescent="0.3">
      <c r="A1173" s="851"/>
      <c r="B1173" s="852" t="s">
        <v>1132</v>
      </c>
      <c r="C1173" s="852"/>
      <c r="D1173" s="859">
        <v>0.02</v>
      </c>
      <c r="E1173" s="855" t="s">
        <v>34</v>
      </c>
      <c r="F1173" s="965">
        <v>10</v>
      </c>
      <c r="G1173" s="857">
        <f>D1173*F1173</f>
        <v>0.2</v>
      </c>
      <c r="H1173" s="850"/>
    </row>
    <row r="1174" spans="1:8" hidden="1" x14ac:dyDescent="0.3">
      <c r="A1174" s="861"/>
      <c r="B1174" s="862"/>
      <c r="C1174" s="863" t="s">
        <v>1135</v>
      </c>
      <c r="D1174" s="864">
        <v>1</v>
      </c>
      <c r="E1174" s="865" t="s">
        <v>33</v>
      </c>
      <c r="F1174" s="866" t="s">
        <v>6</v>
      </c>
      <c r="G1174" s="911">
        <f>SUM(G1170:G1173)</f>
        <v>327.07499999999999</v>
      </c>
      <c r="H1174" s="868" t="s">
        <v>752</v>
      </c>
    </row>
    <row r="1175" spans="1:8" hidden="1" x14ac:dyDescent="0.3">
      <c r="A1175" s="923"/>
      <c r="B1175" s="971"/>
      <c r="C1175" s="972"/>
      <c r="D1175" s="973"/>
      <c r="E1175" s="974"/>
      <c r="F1175" s="975"/>
      <c r="G1175" s="976"/>
      <c r="H1175" s="924"/>
    </row>
    <row r="1176" spans="1:8" hidden="1" x14ac:dyDescent="0.3">
      <c r="A1176" s="851"/>
      <c r="B1176" s="875"/>
      <c r="C1176" s="852"/>
      <c r="D1176" s="847"/>
      <c r="E1176" s="847"/>
      <c r="F1176" s="848"/>
      <c r="G1176" s="849" t="s">
        <v>745</v>
      </c>
      <c r="H1176" s="850"/>
    </row>
    <row r="1177" spans="1:8" hidden="1" x14ac:dyDescent="0.3">
      <c r="A1177" s="851"/>
      <c r="B1177" s="875"/>
      <c r="C1177" s="852"/>
      <c r="D1177" s="847"/>
      <c r="E1177" s="847"/>
      <c r="F1177" s="848"/>
      <c r="G1177" s="849" t="s">
        <v>745</v>
      </c>
      <c r="H1177" s="850"/>
    </row>
    <row r="1178" spans="1:8" hidden="1" x14ac:dyDescent="0.3">
      <c r="A1178" s="851"/>
      <c r="B1178" s="875"/>
      <c r="C1178" s="852"/>
      <c r="D1178" s="847"/>
      <c r="E1178" s="847"/>
      <c r="F1178" s="848"/>
      <c r="G1178" s="849" t="s">
        <v>745</v>
      </c>
      <c r="H1178" s="850"/>
    </row>
    <row r="1179" spans="1:8" hidden="1" x14ac:dyDescent="0.3">
      <c r="A1179" s="851"/>
      <c r="B1179" s="875"/>
      <c r="C1179" s="852"/>
      <c r="D1179" s="847"/>
      <c r="E1179" s="847"/>
      <c r="F1179" s="848"/>
      <c r="G1179" s="849" t="s">
        <v>745</v>
      </c>
      <c r="H1179" s="850"/>
    </row>
    <row r="1180" spans="1:8" hidden="1" x14ac:dyDescent="0.3">
      <c r="A1180" s="851"/>
      <c r="B1180" s="875"/>
      <c r="C1180" s="852"/>
      <c r="D1180" s="847"/>
      <c r="E1180" s="847"/>
      <c r="F1180" s="848"/>
      <c r="G1180" s="849" t="s">
        <v>745</v>
      </c>
      <c r="H1180" s="850"/>
    </row>
    <row r="1181" spans="1:8" hidden="1" x14ac:dyDescent="0.3">
      <c r="A1181" s="851"/>
      <c r="B1181" s="875"/>
      <c r="C1181" s="852"/>
      <c r="D1181" s="847"/>
      <c r="E1181" s="847"/>
      <c r="F1181" s="848"/>
      <c r="G1181" s="849" t="s">
        <v>745</v>
      </c>
      <c r="H1181" s="850"/>
    </row>
    <row r="1182" spans="1:8" hidden="1" x14ac:dyDescent="0.3">
      <c r="A1182" s="851"/>
      <c r="B1182" s="875"/>
      <c r="C1182" s="852"/>
      <c r="D1182" s="847"/>
      <c r="E1182" s="847"/>
      <c r="F1182" s="848"/>
      <c r="G1182" s="849" t="s">
        <v>745</v>
      </c>
      <c r="H1182" s="850"/>
    </row>
    <row r="1183" spans="1:8" hidden="1" x14ac:dyDescent="0.3">
      <c r="A1183" s="851"/>
      <c r="B1183" s="875"/>
      <c r="C1183" s="852"/>
      <c r="D1183" s="847"/>
      <c r="E1183" s="847"/>
      <c r="F1183" s="848"/>
      <c r="G1183" s="849" t="s">
        <v>745</v>
      </c>
      <c r="H1183" s="850"/>
    </row>
    <row r="1184" spans="1:8" hidden="1" x14ac:dyDescent="0.3">
      <c r="A1184" s="851"/>
      <c r="B1184" s="875"/>
      <c r="C1184" s="852"/>
      <c r="D1184" s="847"/>
      <c r="E1184" s="847"/>
      <c r="F1184" s="848"/>
      <c r="G1184" s="849" t="s">
        <v>745</v>
      </c>
      <c r="H1184" s="850"/>
    </row>
    <row r="1185" spans="1:8" hidden="1" x14ac:dyDescent="0.3">
      <c r="A1185" s="851"/>
      <c r="B1185" s="875"/>
      <c r="C1185" s="852"/>
      <c r="D1185" s="847"/>
      <c r="E1185" s="847"/>
      <c r="F1185" s="848"/>
      <c r="G1185" s="849" t="s">
        <v>745</v>
      </c>
      <c r="H1185" s="850"/>
    </row>
    <row r="1186" spans="1:8" hidden="1" x14ac:dyDescent="0.3">
      <c r="A1186" s="851"/>
      <c r="B1186" s="875"/>
      <c r="C1186" s="852"/>
      <c r="D1186" s="847"/>
      <c r="E1186" s="847"/>
      <c r="F1186" s="848"/>
      <c r="G1186" s="849" t="s">
        <v>745</v>
      </c>
      <c r="H1186" s="850"/>
    </row>
    <row r="1187" spans="1:8" hidden="1" x14ac:dyDescent="0.3">
      <c r="A1187" s="851"/>
      <c r="B1187" s="875"/>
      <c r="C1187" s="852"/>
      <c r="D1187" s="847"/>
      <c r="E1187" s="847"/>
      <c r="F1187" s="848"/>
      <c r="G1187" s="849" t="s">
        <v>745</v>
      </c>
      <c r="H1187" s="850"/>
    </row>
    <row r="1188" spans="1:8" hidden="1" x14ac:dyDescent="0.3">
      <c r="A1188" s="851"/>
      <c r="B1188" s="875"/>
      <c r="C1188" s="852"/>
      <c r="D1188" s="847"/>
      <c r="E1188" s="847"/>
      <c r="F1188" s="848"/>
      <c r="G1188" s="849" t="s">
        <v>745</v>
      </c>
      <c r="H1188" s="850"/>
    </row>
    <row r="1189" spans="1:8" hidden="1" x14ac:dyDescent="0.3">
      <c r="A1189" s="851"/>
      <c r="B1189" s="875"/>
      <c r="C1189" s="852"/>
      <c r="D1189" s="847"/>
      <c r="E1189" s="847"/>
      <c r="F1189" s="848"/>
      <c r="G1189" s="849" t="s">
        <v>745</v>
      </c>
      <c r="H1189" s="850"/>
    </row>
    <row r="1190" spans="1:8" hidden="1" x14ac:dyDescent="0.3">
      <c r="A1190" s="851"/>
      <c r="B1190" s="875"/>
      <c r="C1190" s="852"/>
      <c r="D1190" s="847"/>
      <c r="E1190" s="847"/>
      <c r="F1190" s="848"/>
      <c r="G1190" s="849" t="s">
        <v>745</v>
      </c>
      <c r="H1190" s="850"/>
    </row>
    <row r="1191" spans="1:8" hidden="1" x14ac:dyDescent="0.3">
      <c r="A1191" s="851"/>
      <c r="B1191" s="875"/>
      <c r="C1191" s="852"/>
      <c r="D1191" s="847"/>
      <c r="E1191" s="847"/>
      <c r="F1191" s="848"/>
      <c r="G1191" s="849" t="s">
        <v>745</v>
      </c>
      <c r="H1191" s="850"/>
    </row>
    <row r="1192" spans="1:8" hidden="1" x14ac:dyDescent="0.3">
      <c r="A1192" s="851"/>
      <c r="B1192" s="875"/>
      <c r="C1192" s="852"/>
      <c r="D1192" s="847"/>
      <c r="E1192" s="847"/>
      <c r="F1192" s="848"/>
      <c r="G1192" s="849" t="s">
        <v>745</v>
      </c>
      <c r="H1192" s="850"/>
    </row>
    <row r="1193" spans="1:8" hidden="1" x14ac:dyDescent="0.3">
      <c r="A1193" s="851"/>
      <c r="B1193" s="875"/>
      <c r="C1193" s="852"/>
      <c r="D1193" s="847"/>
      <c r="E1193" s="847"/>
      <c r="F1193" s="848"/>
      <c r="G1193" s="849" t="s">
        <v>745</v>
      </c>
      <c r="H1193" s="850"/>
    </row>
    <row r="1194" spans="1:8" ht="19.5" hidden="1" thickBot="1" x14ac:dyDescent="0.35">
      <c r="A1194" s="879"/>
      <c r="B1194" s="880"/>
      <c r="C1194" s="881"/>
      <c r="D1194" s="883"/>
      <c r="E1194" s="883"/>
      <c r="F1194" s="884"/>
      <c r="G1194" s="891" t="s">
        <v>745</v>
      </c>
      <c r="H1194" s="885"/>
    </row>
    <row r="1195" spans="1:8" hidden="1" x14ac:dyDescent="0.3">
      <c r="G1195" s="888" t="str">
        <f>$G$37</f>
        <v xml:space="preserve"> เมษายน 2549</v>
      </c>
      <c r="H1195" s="888"/>
    </row>
    <row r="1196" spans="1:8" ht="19.5" hidden="1" x14ac:dyDescent="0.3">
      <c r="A1196" s="820" t="s">
        <v>1136</v>
      </c>
      <c r="B1196" s="820"/>
      <c r="C1196" s="820"/>
      <c r="D1196" s="820"/>
      <c r="E1196" s="820"/>
      <c r="F1196" s="820"/>
      <c r="G1196" s="820"/>
      <c r="H1196" s="820"/>
    </row>
    <row r="1197" spans="1:8" ht="20.25" hidden="1" thickBot="1" x14ac:dyDescent="0.35">
      <c r="A1197" s="889" t="s">
        <v>758</v>
      </c>
      <c r="B1197" s="889"/>
      <c r="C1197" s="889"/>
      <c r="D1197" s="889"/>
      <c r="E1197" s="889"/>
      <c r="F1197" s="889"/>
      <c r="G1197" s="889"/>
      <c r="H1197" s="889"/>
    </row>
    <row r="1198" spans="1:8" hidden="1" x14ac:dyDescent="0.3">
      <c r="A1198" s="823" t="s">
        <v>424</v>
      </c>
      <c r="B1198" s="824" t="s">
        <v>1</v>
      </c>
      <c r="C1198" s="825"/>
      <c r="D1198" s="826" t="s">
        <v>24</v>
      </c>
      <c r="E1198" s="826" t="s">
        <v>25</v>
      </c>
      <c r="F1198" s="827" t="s">
        <v>390</v>
      </c>
      <c r="G1198" s="828" t="s">
        <v>743</v>
      </c>
      <c r="H1198" s="829" t="s">
        <v>20</v>
      </c>
    </row>
    <row r="1199" spans="1:8" hidden="1" x14ac:dyDescent="0.3">
      <c r="A1199" s="830"/>
      <c r="B1199" s="831"/>
      <c r="C1199" s="832"/>
      <c r="D1199" s="833"/>
      <c r="E1199" s="833"/>
      <c r="F1199" s="834" t="s">
        <v>31</v>
      </c>
      <c r="G1199" s="835" t="s">
        <v>31</v>
      </c>
      <c r="H1199" s="836"/>
    </row>
    <row r="1200" spans="1:8" ht="19.5" hidden="1" x14ac:dyDescent="0.3">
      <c r="A1200" s="986">
        <v>12</v>
      </c>
      <c r="B1200" s="838" t="s">
        <v>1137</v>
      </c>
      <c r="C1200" s="987"/>
      <c r="D1200" s="847"/>
      <c r="E1200" s="847"/>
      <c r="F1200" s="848"/>
      <c r="G1200" s="849" t="s">
        <v>745</v>
      </c>
      <c r="H1200" s="850"/>
    </row>
    <row r="1201" spans="1:8" hidden="1" x14ac:dyDescent="0.3">
      <c r="A1201" s="869">
        <v>12.1</v>
      </c>
      <c r="B1201" s="846" t="s">
        <v>1138</v>
      </c>
      <c r="C1201" s="852"/>
      <c r="D1201" s="859" t="s">
        <v>745</v>
      </c>
      <c r="E1201" s="855" t="s">
        <v>745</v>
      </c>
      <c r="F1201" s="856" t="s">
        <v>745</v>
      </c>
      <c r="G1201" s="857" t="s">
        <v>745</v>
      </c>
      <c r="H1201" s="963" t="s">
        <v>745</v>
      </c>
    </row>
    <row r="1202" spans="1:8" hidden="1" x14ac:dyDescent="0.3">
      <c r="A1202" s="851"/>
      <c r="B1202" s="846" t="s">
        <v>1139</v>
      </c>
      <c r="C1202" s="852"/>
      <c r="D1202" s="859" t="s">
        <v>745</v>
      </c>
      <c r="E1202" s="855" t="s">
        <v>745</v>
      </c>
      <c r="F1202" s="856" t="s">
        <v>745</v>
      </c>
      <c r="G1202" s="857" t="s">
        <v>745</v>
      </c>
      <c r="H1202" s="963" t="s">
        <v>745</v>
      </c>
    </row>
    <row r="1203" spans="1:8" hidden="1" x14ac:dyDescent="0.3">
      <c r="A1203" s="851"/>
      <c r="B1203" s="875"/>
      <c r="C1203" s="852" t="s">
        <v>1140</v>
      </c>
      <c r="D1203" s="964">
        <v>0.72499999999999998</v>
      </c>
      <c r="E1203" s="855" t="s">
        <v>396</v>
      </c>
      <c r="F1203" s="856">
        <v>415</v>
      </c>
      <c r="G1203" s="857">
        <f>D1203*F1203</f>
        <v>300.875</v>
      </c>
      <c r="H1203" s="963" t="s">
        <v>1097</v>
      </c>
    </row>
    <row r="1204" spans="1:8" hidden="1" x14ac:dyDescent="0.3">
      <c r="A1204" s="851"/>
      <c r="B1204" s="875"/>
      <c r="C1204" s="852" t="s">
        <v>1141</v>
      </c>
      <c r="D1204" s="859">
        <v>0.25</v>
      </c>
      <c r="E1204" s="855" t="s">
        <v>396</v>
      </c>
      <c r="F1204" s="948">
        <v>388</v>
      </c>
      <c r="G1204" s="857">
        <f>D1204*F1204</f>
        <v>97</v>
      </c>
      <c r="H1204" s="850"/>
    </row>
    <row r="1205" spans="1:8" hidden="1" x14ac:dyDescent="0.3">
      <c r="A1205" s="851"/>
      <c r="B1205" s="875"/>
      <c r="C1205" s="852" t="s">
        <v>908</v>
      </c>
      <c r="D1205" s="859">
        <v>0.15</v>
      </c>
      <c r="E1205" s="855" t="s">
        <v>399</v>
      </c>
      <c r="F1205" s="965">
        <v>12.92</v>
      </c>
      <c r="G1205" s="857">
        <f>D1205*F1205</f>
        <v>1.9379999999999999</v>
      </c>
      <c r="H1205" s="850"/>
    </row>
    <row r="1206" spans="1:8" hidden="1" x14ac:dyDescent="0.3">
      <c r="A1206" s="861"/>
      <c r="B1206" s="862"/>
      <c r="C1206" s="863" t="s">
        <v>1142</v>
      </c>
      <c r="D1206" s="864">
        <v>1</v>
      </c>
      <c r="E1206" s="865" t="s">
        <v>33</v>
      </c>
      <c r="F1206" s="866" t="s">
        <v>6</v>
      </c>
      <c r="G1206" s="911">
        <f>SUM(G1201:G1205)</f>
        <v>399.81299999999999</v>
      </c>
      <c r="H1206" s="868" t="s">
        <v>752</v>
      </c>
    </row>
    <row r="1207" spans="1:8" hidden="1" x14ac:dyDescent="0.3">
      <c r="A1207" s="869">
        <v>12.2</v>
      </c>
      <c r="B1207" s="846" t="s">
        <v>1143</v>
      </c>
      <c r="C1207" s="853"/>
      <c r="D1207" s="938" t="s">
        <v>745</v>
      </c>
      <c r="E1207" s="939" t="s">
        <v>745</v>
      </c>
      <c r="F1207" s="948" t="s">
        <v>745</v>
      </c>
      <c r="G1207" s="966" t="s">
        <v>745</v>
      </c>
      <c r="H1207" s="967" t="s">
        <v>745</v>
      </c>
    </row>
    <row r="1208" spans="1:8" hidden="1" x14ac:dyDescent="0.3">
      <c r="A1208" s="851"/>
      <c r="B1208" s="846" t="s">
        <v>1139</v>
      </c>
      <c r="C1208" s="852"/>
      <c r="D1208" s="859" t="s">
        <v>745</v>
      </c>
      <c r="E1208" s="855" t="s">
        <v>745</v>
      </c>
      <c r="F1208" s="856" t="s">
        <v>745</v>
      </c>
      <c r="G1208" s="857" t="s">
        <v>745</v>
      </c>
      <c r="H1208" s="963" t="s">
        <v>745</v>
      </c>
    </row>
    <row r="1209" spans="1:8" hidden="1" x14ac:dyDescent="0.3">
      <c r="A1209" s="851"/>
      <c r="B1209" s="875"/>
      <c r="C1209" s="852" t="s">
        <v>1140</v>
      </c>
      <c r="D1209" s="964">
        <v>0.72499999999999998</v>
      </c>
      <c r="E1209" s="855" t="s">
        <v>396</v>
      </c>
      <c r="F1209" s="856">
        <v>415</v>
      </c>
      <c r="G1209" s="857">
        <f>D1209*F1209</f>
        <v>300.875</v>
      </c>
      <c r="H1209" s="850"/>
    </row>
    <row r="1210" spans="1:8" hidden="1" x14ac:dyDescent="0.3">
      <c r="A1210" s="851"/>
      <c r="B1210" s="875"/>
      <c r="C1210" s="852" t="s">
        <v>1144</v>
      </c>
      <c r="D1210" s="859">
        <v>0.25</v>
      </c>
      <c r="E1210" s="855" t="s">
        <v>396</v>
      </c>
      <c r="F1210" s="948">
        <v>830</v>
      </c>
      <c r="G1210" s="857">
        <f>D1210*F1210</f>
        <v>207.5</v>
      </c>
      <c r="H1210" s="850"/>
    </row>
    <row r="1211" spans="1:8" hidden="1" x14ac:dyDescent="0.3">
      <c r="A1211" s="851"/>
      <c r="B1211" s="875"/>
      <c r="C1211" s="852" t="s">
        <v>908</v>
      </c>
      <c r="D1211" s="859">
        <v>0.15</v>
      </c>
      <c r="E1211" s="855" t="s">
        <v>399</v>
      </c>
      <c r="F1211" s="965">
        <v>12.92</v>
      </c>
      <c r="G1211" s="857">
        <f>D1211*F1211</f>
        <v>1.9379999999999999</v>
      </c>
      <c r="H1211" s="850"/>
    </row>
    <row r="1212" spans="1:8" hidden="1" x14ac:dyDescent="0.3">
      <c r="A1212" s="861"/>
      <c r="B1212" s="862"/>
      <c r="C1212" s="863" t="s">
        <v>1142</v>
      </c>
      <c r="D1212" s="864">
        <v>1</v>
      </c>
      <c r="E1212" s="865" t="s">
        <v>33</v>
      </c>
      <c r="F1212" s="866" t="s">
        <v>6</v>
      </c>
      <c r="G1212" s="911">
        <f>SUM(G1207:G1211)</f>
        <v>510.31299999999999</v>
      </c>
      <c r="H1212" s="868" t="s">
        <v>752</v>
      </c>
    </row>
    <row r="1213" spans="1:8" hidden="1" x14ac:dyDescent="0.3">
      <c r="A1213" s="869">
        <v>12.3</v>
      </c>
      <c r="B1213" s="935" t="s">
        <v>1145</v>
      </c>
      <c r="C1213" s="853"/>
      <c r="D1213" s="859" t="s">
        <v>745</v>
      </c>
      <c r="E1213" s="855" t="s">
        <v>745</v>
      </c>
      <c r="F1213" s="856" t="s">
        <v>745</v>
      </c>
      <c r="G1213" s="857" t="s">
        <v>745</v>
      </c>
      <c r="H1213" s="963" t="s">
        <v>745</v>
      </c>
    </row>
    <row r="1214" spans="1:8" hidden="1" x14ac:dyDescent="0.3">
      <c r="A1214" s="851"/>
      <c r="B1214" s="846" t="s">
        <v>920</v>
      </c>
      <c r="C1214" s="852"/>
      <c r="D1214" s="859" t="s">
        <v>745</v>
      </c>
      <c r="E1214" s="855" t="s">
        <v>745</v>
      </c>
      <c r="F1214" s="856" t="s">
        <v>745</v>
      </c>
      <c r="G1214" s="857" t="s">
        <v>745</v>
      </c>
      <c r="H1214" s="963" t="s">
        <v>745</v>
      </c>
    </row>
    <row r="1215" spans="1:8" hidden="1" x14ac:dyDescent="0.3">
      <c r="A1215" s="851"/>
      <c r="B1215" s="875"/>
      <c r="C1215" s="852" t="s">
        <v>1146</v>
      </c>
      <c r="D1215" s="964">
        <v>0.56999999999999995</v>
      </c>
      <c r="E1215" s="855" t="s">
        <v>396</v>
      </c>
      <c r="F1215" s="856">
        <v>0</v>
      </c>
      <c r="G1215" s="857">
        <f>D1215*F1215</f>
        <v>0</v>
      </c>
      <c r="H1215" s="963" t="s">
        <v>1097</v>
      </c>
    </row>
    <row r="1216" spans="1:8" hidden="1" x14ac:dyDescent="0.3">
      <c r="A1216" s="851"/>
      <c r="B1216" s="875"/>
      <c r="C1216" s="852" t="s">
        <v>1144</v>
      </c>
      <c r="D1216" s="859">
        <v>0.25</v>
      </c>
      <c r="E1216" s="855" t="s">
        <v>396</v>
      </c>
      <c r="F1216" s="948">
        <v>514</v>
      </c>
      <c r="G1216" s="857">
        <f>D1216*F1216</f>
        <v>128.5</v>
      </c>
      <c r="H1216" s="850"/>
    </row>
    <row r="1217" spans="1:8" hidden="1" x14ac:dyDescent="0.3">
      <c r="A1217" s="851"/>
      <c r="B1217" s="875"/>
      <c r="C1217" s="852" t="s">
        <v>908</v>
      </c>
      <c r="D1217" s="859">
        <v>0.15</v>
      </c>
      <c r="E1217" s="855" t="s">
        <v>399</v>
      </c>
      <c r="F1217" s="965">
        <v>30.38</v>
      </c>
      <c r="G1217" s="857">
        <f>D1217*F1217</f>
        <v>4.5569999999999995</v>
      </c>
      <c r="H1217" s="850"/>
    </row>
    <row r="1218" spans="1:8" hidden="1" x14ac:dyDescent="0.3">
      <c r="A1218" s="861"/>
      <c r="B1218" s="862"/>
      <c r="C1218" s="863" t="s">
        <v>1147</v>
      </c>
      <c r="D1218" s="864">
        <v>1</v>
      </c>
      <c r="E1218" s="865" t="s">
        <v>33</v>
      </c>
      <c r="F1218" s="866" t="s">
        <v>6</v>
      </c>
      <c r="G1218" s="911">
        <f>SUM(G1213:G1217)</f>
        <v>133.05699999999999</v>
      </c>
      <c r="H1218" s="868" t="s">
        <v>752</v>
      </c>
    </row>
    <row r="1219" spans="1:8" hidden="1" x14ac:dyDescent="0.3">
      <c r="A1219" s="869">
        <v>12.4</v>
      </c>
      <c r="B1219" s="935" t="s">
        <v>1148</v>
      </c>
      <c r="C1219" s="853"/>
      <c r="D1219" s="938" t="s">
        <v>745</v>
      </c>
      <c r="E1219" s="939" t="s">
        <v>745</v>
      </c>
      <c r="F1219" s="948" t="s">
        <v>745</v>
      </c>
      <c r="G1219" s="966" t="s">
        <v>745</v>
      </c>
      <c r="H1219" s="967" t="s">
        <v>745</v>
      </c>
    </row>
    <row r="1220" spans="1:8" hidden="1" x14ac:dyDescent="0.3">
      <c r="A1220" s="851"/>
      <c r="B1220" s="846" t="s">
        <v>920</v>
      </c>
      <c r="C1220" s="852"/>
      <c r="D1220" s="859" t="s">
        <v>745</v>
      </c>
      <c r="E1220" s="855" t="s">
        <v>745</v>
      </c>
      <c r="F1220" s="856" t="s">
        <v>745</v>
      </c>
      <c r="G1220" s="857" t="s">
        <v>745</v>
      </c>
      <c r="H1220" s="963" t="s">
        <v>745</v>
      </c>
    </row>
    <row r="1221" spans="1:8" hidden="1" x14ac:dyDescent="0.3">
      <c r="A1221" s="851"/>
      <c r="B1221" s="875"/>
      <c r="C1221" s="852" t="s">
        <v>1149</v>
      </c>
      <c r="D1221" s="964">
        <v>0.56999999999999995</v>
      </c>
      <c r="E1221" s="855" t="s">
        <v>396</v>
      </c>
      <c r="F1221" s="856">
        <v>787</v>
      </c>
      <c r="G1221" s="857">
        <f>D1221*F1221</f>
        <v>448.59</v>
      </c>
      <c r="H1221" s="963" t="s">
        <v>1097</v>
      </c>
    </row>
    <row r="1222" spans="1:8" hidden="1" x14ac:dyDescent="0.3">
      <c r="A1222" s="851"/>
      <c r="B1222" s="875"/>
      <c r="C1222" s="852" t="s">
        <v>1144</v>
      </c>
      <c r="D1222" s="859">
        <v>0.25</v>
      </c>
      <c r="E1222" s="855" t="s">
        <v>396</v>
      </c>
      <c r="F1222" s="948">
        <v>830</v>
      </c>
      <c r="G1222" s="857">
        <f>D1222*F1222</f>
        <v>207.5</v>
      </c>
      <c r="H1222" s="850"/>
    </row>
    <row r="1223" spans="1:8" hidden="1" x14ac:dyDescent="0.3">
      <c r="A1223" s="851"/>
      <c r="B1223" s="875"/>
      <c r="C1223" s="852" t="s">
        <v>908</v>
      </c>
      <c r="D1223" s="859">
        <v>0.15</v>
      </c>
      <c r="E1223" s="855" t="s">
        <v>399</v>
      </c>
      <c r="F1223" s="965">
        <v>12.92</v>
      </c>
      <c r="G1223" s="857">
        <f>D1223*F1223</f>
        <v>1.9379999999999999</v>
      </c>
      <c r="H1223" s="850"/>
    </row>
    <row r="1224" spans="1:8" hidden="1" x14ac:dyDescent="0.3">
      <c r="A1224" s="861"/>
      <c r="B1224" s="862"/>
      <c r="C1224" s="863" t="s">
        <v>1150</v>
      </c>
      <c r="D1224" s="864">
        <v>1</v>
      </c>
      <c r="E1224" s="865" t="s">
        <v>33</v>
      </c>
      <c r="F1224" s="866" t="s">
        <v>6</v>
      </c>
      <c r="G1224" s="911">
        <f>SUM(G1219:G1223)</f>
        <v>658.02799999999991</v>
      </c>
      <c r="H1224" s="868" t="s">
        <v>752</v>
      </c>
    </row>
    <row r="1225" spans="1:8" hidden="1" x14ac:dyDescent="0.3">
      <c r="A1225" s="869">
        <v>12.5</v>
      </c>
      <c r="B1225" s="935" t="s">
        <v>1151</v>
      </c>
      <c r="C1225" s="853"/>
      <c r="D1225" s="938" t="s">
        <v>745</v>
      </c>
      <c r="E1225" s="939" t="s">
        <v>745</v>
      </c>
      <c r="F1225" s="948" t="s">
        <v>745</v>
      </c>
      <c r="G1225" s="966" t="s">
        <v>745</v>
      </c>
      <c r="H1225" s="967" t="s">
        <v>745</v>
      </c>
    </row>
    <row r="1226" spans="1:8" hidden="1" x14ac:dyDescent="0.3">
      <c r="A1226" s="851"/>
      <c r="B1226" s="846" t="s">
        <v>920</v>
      </c>
      <c r="C1226" s="852"/>
      <c r="D1226" s="859" t="s">
        <v>745</v>
      </c>
      <c r="E1226" s="855" t="s">
        <v>745</v>
      </c>
      <c r="F1226" s="856" t="s">
        <v>745</v>
      </c>
      <c r="G1226" s="857" t="s">
        <v>745</v>
      </c>
      <c r="H1226" s="963" t="s">
        <v>745</v>
      </c>
    </row>
    <row r="1227" spans="1:8" hidden="1" x14ac:dyDescent="0.3">
      <c r="A1227" s="851"/>
      <c r="B1227" s="875"/>
      <c r="C1227" s="852" t="s">
        <v>1152</v>
      </c>
      <c r="D1227" s="964">
        <v>0.56999999999999995</v>
      </c>
      <c r="E1227" s="855" t="s">
        <v>396</v>
      </c>
      <c r="F1227" s="856">
        <v>1412</v>
      </c>
      <c r="G1227" s="857">
        <f>D1227*F1227</f>
        <v>804.83999999999992</v>
      </c>
      <c r="H1227" s="963" t="s">
        <v>1097</v>
      </c>
    </row>
    <row r="1228" spans="1:8" hidden="1" x14ac:dyDescent="0.3">
      <c r="A1228" s="851"/>
      <c r="B1228" s="875"/>
      <c r="C1228" s="852" t="s">
        <v>1144</v>
      </c>
      <c r="D1228" s="859">
        <v>0.25</v>
      </c>
      <c r="E1228" s="855" t="s">
        <v>396</v>
      </c>
      <c r="F1228" s="948">
        <v>830</v>
      </c>
      <c r="G1228" s="857">
        <f>D1228*F1228</f>
        <v>207.5</v>
      </c>
      <c r="H1228" s="850"/>
    </row>
    <row r="1229" spans="1:8" hidden="1" x14ac:dyDescent="0.3">
      <c r="A1229" s="851"/>
      <c r="B1229" s="875"/>
      <c r="C1229" s="852" t="s">
        <v>908</v>
      </c>
      <c r="D1229" s="859">
        <v>0.15</v>
      </c>
      <c r="E1229" s="855" t="s">
        <v>399</v>
      </c>
      <c r="F1229" s="965">
        <v>12.92</v>
      </c>
      <c r="G1229" s="857">
        <f>D1229*F1229</f>
        <v>1.9379999999999999</v>
      </c>
      <c r="H1229" s="850"/>
    </row>
    <row r="1230" spans="1:8" hidden="1" x14ac:dyDescent="0.3">
      <c r="A1230" s="923"/>
      <c r="B1230" s="875"/>
      <c r="C1230" s="852" t="s">
        <v>1153</v>
      </c>
      <c r="D1230" s="973">
        <v>1</v>
      </c>
      <c r="E1230" s="974" t="s">
        <v>33</v>
      </c>
      <c r="F1230" s="975" t="s">
        <v>6</v>
      </c>
      <c r="G1230" s="976">
        <f>SUM(G1225:G1229)</f>
        <v>1014.2779999999999</v>
      </c>
      <c r="H1230" s="924" t="s">
        <v>752</v>
      </c>
    </row>
    <row r="1231" spans="1:8" ht="19.5" hidden="1" thickBot="1" x14ac:dyDescent="0.35">
      <c r="A1231" s="879"/>
      <c r="B1231" s="880"/>
      <c r="C1231" s="881"/>
      <c r="D1231" s="883"/>
      <c r="E1231" s="883"/>
      <c r="F1231" s="884"/>
      <c r="G1231" s="883"/>
      <c r="H1231" s="959"/>
    </row>
    <row r="1232" spans="1:8" hidden="1" x14ac:dyDescent="0.3">
      <c r="G1232" s="888" t="str">
        <f>$G$37</f>
        <v xml:space="preserve"> เมษายน 2549</v>
      </c>
      <c r="H1232" s="888"/>
    </row>
    <row r="1233" spans="1:8" ht="19.5" hidden="1" x14ac:dyDescent="0.3">
      <c r="A1233" s="820" t="s">
        <v>1154</v>
      </c>
      <c r="B1233" s="820"/>
      <c r="C1233" s="820"/>
      <c r="D1233" s="820"/>
      <c r="E1233" s="820"/>
      <c r="F1233" s="820"/>
      <c r="G1233" s="820"/>
      <c r="H1233" s="820"/>
    </row>
    <row r="1234" spans="1:8" ht="20.25" hidden="1" thickBot="1" x14ac:dyDescent="0.35">
      <c r="A1234" s="889" t="s">
        <v>758</v>
      </c>
      <c r="B1234" s="889"/>
      <c r="C1234" s="889"/>
      <c r="D1234" s="889"/>
      <c r="E1234" s="889"/>
      <c r="F1234" s="889"/>
      <c r="G1234" s="889"/>
      <c r="H1234" s="889"/>
    </row>
    <row r="1235" spans="1:8" hidden="1" x14ac:dyDescent="0.3">
      <c r="A1235" s="823" t="s">
        <v>424</v>
      </c>
      <c r="B1235" s="824" t="s">
        <v>1</v>
      </c>
      <c r="C1235" s="825"/>
      <c r="D1235" s="826" t="s">
        <v>24</v>
      </c>
      <c r="E1235" s="826" t="s">
        <v>25</v>
      </c>
      <c r="F1235" s="827" t="s">
        <v>390</v>
      </c>
      <c r="G1235" s="828" t="s">
        <v>743</v>
      </c>
      <c r="H1235" s="829" t="s">
        <v>20</v>
      </c>
    </row>
    <row r="1236" spans="1:8" hidden="1" x14ac:dyDescent="0.3">
      <c r="A1236" s="830"/>
      <c r="B1236" s="831"/>
      <c r="C1236" s="832"/>
      <c r="D1236" s="833"/>
      <c r="E1236" s="833"/>
      <c r="F1236" s="834" t="s">
        <v>31</v>
      </c>
      <c r="G1236" s="835" t="s">
        <v>31</v>
      </c>
      <c r="H1236" s="836"/>
    </row>
    <row r="1237" spans="1:8" hidden="1" x14ac:dyDescent="0.3">
      <c r="A1237" s="869">
        <v>12.6</v>
      </c>
      <c r="B1237" s="935" t="s">
        <v>1155</v>
      </c>
      <c r="C1237" s="853"/>
      <c r="D1237" s="938" t="s">
        <v>745</v>
      </c>
      <c r="E1237" s="939" t="s">
        <v>745</v>
      </c>
      <c r="F1237" s="948" t="s">
        <v>745</v>
      </c>
      <c r="G1237" s="966" t="s">
        <v>745</v>
      </c>
      <c r="H1237" s="967" t="s">
        <v>745</v>
      </c>
    </row>
    <row r="1238" spans="1:8" hidden="1" x14ac:dyDescent="0.3">
      <c r="A1238" s="851"/>
      <c r="B1238" s="846" t="s">
        <v>920</v>
      </c>
      <c r="C1238" s="852"/>
      <c r="D1238" s="859" t="s">
        <v>745</v>
      </c>
      <c r="E1238" s="855" t="s">
        <v>745</v>
      </c>
      <c r="F1238" s="856" t="s">
        <v>745</v>
      </c>
      <c r="G1238" s="857" t="s">
        <v>745</v>
      </c>
      <c r="H1238" s="963" t="s">
        <v>745</v>
      </c>
    </row>
    <row r="1239" spans="1:8" hidden="1" x14ac:dyDescent="0.3">
      <c r="A1239" s="851"/>
      <c r="B1239" s="875"/>
      <c r="C1239" s="852" t="s">
        <v>1156</v>
      </c>
      <c r="D1239" s="964">
        <v>0.47799999999999998</v>
      </c>
      <c r="E1239" s="855" t="s">
        <v>396</v>
      </c>
      <c r="F1239" s="856">
        <v>787</v>
      </c>
      <c r="G1239" s="857">
        <f>D1239*F1239</f>
        <v>376.18599999999998</v>
      </c>
      <c r="H1239" s="963" t="s">
        <v>1097</v>
      </c>
    </row>
    <row r="1240" spans="1:8" hidden="1" x14ac:dyDescent="0.3">
      <c r="A1240" s="851"/>
      <c r="B1240" s="875"/>
      <c r="C1240" s="852" t="s">
        <v>1144</v>
      </c>
      <c r="D1240" s="859">
        <v>0.25</v>
      </c>
      <c r="E1240" s="855" t="s">
        <v>396</v>
      </c>
      <c r="F1240" s="948">
        <v>830</v>
      </c>
      <c r="G1240" s="857">
        <f>D1240*F1240</f>
        <v>207.5</v>
      </c>
      <c r="H1240" s="850"/>
    </row>
    <row r="1241" spans="1:8" hidden="1" x14ac:dyDescent="0.3">
      <c r="A1241" s="851"/>
      <c r="B1241" s="875"/>
      <c r="C1241" s="852" t="s">
        <v>908</v>
      </c>
      <c r="D1241" s="859">
        <v>0.15</v>
      </c>
      <c r="E1241" s="855" t="s">
        <v>399</v>
      </c>
      <c r="F1241" s="965">
        <v>12.92</v>
      </c>
      <c r="G1241" s="857">
        <f>D1241*F1241</f>
        <v>1.9379999999999999</v>
      </c>
      <c r="H1241" s="850"/>
    </row>
    <row r="1242" spans="1:8" hidden="1" x14ac:dyDescent="0.3">
      <c r="A1242" s="861"/>
      <c r="B1242" s="862"/>
      <c r="C1242" s="863" t="s">
        <v>1150</v>
      </c>
      <c r="D1242" s="864">
        <v>1</v>
      </c>
      <c r="E1242" s="865" t="s">
        <v>33</v>
      </c>
      <c r="F1242" s="866" t="s">
        <v>6</v>
      </c>
      <c r="G1242" s="911">
        <f>SUM(G1237:G1241)</f>
        <v>585.62399999999991</v>
      </c>
      <c r="H1242" s="868" t="s">
        <v>752</v>
      </c>
    </row>
    <row r="1243" spans="1:8" hidden="1" x14ac:dyDescent="0.3">
      <c r="A1243" s="869">
        <v>12.7</v>
      </c>
      <c r="B1243" s="935" t="s">
        <v>1157</v>
      </c>
      <c r="C1243" s="853"/>
      <c r="D1243" s="938" t="s">
        <v>745</v>
      </c>
      <c r="E1243" s="939" t="s">
        <v>745</v>
      </c>
      <c r="F1243" s="948" t="s">
        <v>745</v>
      </c>
      <c r="G1243" s="966" t="s">
        <v>745</v>
      </c>
      <c r="H1243" s="967" t="s">
        <v>745</v>
      </c>
    </row>
    <row r="1244" spans="1:8" hidden="1" x14ac:dyDescent="0.3">
      <c r="A1244" s="851"/>
      <c r="B1244" s="846" t="s">
        <v>920</v>
      </c>
      <c r="C1244" s="852"/>
      <c r="D1244" s="859" t="s">
        <v>745</v>
      </c>
      <c r="E1244" s="855" t="s">
        <v>745</v>
      </c>
      <c r="F1244" s="856" t="s">
        <v>745</v>
      </c>
      <c r="G1244" s="857" t="s">
        <v>745</v>
      </c>
      <c r="H1244" s="963" t="s">
        <v>745</v>
      </c>
    </row>
    <row r="1245" spans="1:8" hidden="1" x14ac:dyDescent="0.3">
      <c r="A1245" s="851"/>
      <c r="B1245" s="875"/>
      <c r="C1245" s="852" t="s">
        <v>1158</v>
      </c>
      <c r="D1245" s="964">
        <v>0.47799999999999998</v>
      </c>
      <c r="E1245" s="855" t="s">
        <v>396</v>
      </c>
      <c r="F1245" s="856">
        <v>1482</v>
      </c>
      <c r="G1245" s="857">
        <f>D1245*F1245</f>
        <v>708.39599999999996</v>
      </c>
      <c r="H1245" s="963" t="s">
        <v>1097</v>
      </c>
    </row>
    <row r="1246" spans="1:8" hidden="1" x14ac:dyDescent="0.3">
      <c r="A1246" s="851"/>
      <c r="B1246" s="875"/>
      <c r="C1246" s="852" t="s">
        <v>1144</v>
      </c>
      <c r="D1246" s="859">
        <v>0.25</v>
      </c>
      <c r="E1246" s="855" t="s">
        <v>396</v>
      </c>
      <c r="F1246" s="948">
        <v>830</v>
      </c>
      <c r="G1246" s="857">
        <f>D1246*F1246</f>
        <v>207.5</v>
      </c>
      <c r="H1246" s="850"/>
    </row>
    <row r="1247" spans="1:8" hidden="1" x14ac:dyDescent="0.3">
      <c r="A1247" s="851"/>
      <c r="B1247" s="875"/>
      <c r="C1247" s="852" t="s">
        <v>908</v>
      </c>
      <c r="D1247" s="859">
        <v>0.15</v>
      </c>
      <c r="E1247" s="855" t="s">
        <v>399</v>
      </c>
      <c r="F1247" s="965">
        <v>12.92</v>
      </c>
      <c r="G1247" s="857">
        <f>D1247*F1247</f>
        <v>1.9379999999999999</v>
      </c>
      <c r="H1247" s="850"/>
    </row>
    <row r="1248" spans="1:8" hidden="1" x14ac:dyDescent="0.3">
      <c r="A1248" s="861"/>
      <c r="B1248" s="862"/>
      <c r="C1248" s="863" t="s">
        <v>1153</v>
      </c>
      <c r="D1248" s="864">
        <v>1</v>
      </c>
      <c r="E1248" s="865" t="s">
        <v>33</v>
      </c>
      <c r="F1248" s="866" t="s">
        <v>6</v>
      </c>
      <c r="G1248" s="911">
        <f>SUM(G1243:G1247)</f>
        <v>917.83399999999995</v>
      </c>
      <c r="H1248" s="868" t="s">
        <v>752</v>
      </c>
    </row>
    <row r="1249" spans="1:8" hidden="1" x14ac:dyDescent="0.3">
      <c r="A1249" s="869">
        <v>12.8</v>
      </c>
      <c r="B1249" s="935" t="s">
        <v>1159</v>
      </c>
      <c r="C1249" s="853"/>
      <c r="D1249" s="938" t="s">
        <v>745</v>
      </c>
      <c r="E1249" s="939" t="s">
        <v>745</v>
      </c>
      <c r="F1249" s="948" t="s">
        <v>745</v>
      </c>
      <c r="G1249" s="966" t="s">
        <v>745</v>
      </c>
      <c r="H1249" s="967" t="s">
        <v>745</v>
      </c>
    </row>
    <row r="1250" spans="1:8" hidden="1" x14ac:dyDescent="0.3">
      <c r="A1250" s="851"/>
      <c r="B1250" s="846" t="s">
        <v>1160</v>
      </c>
      <c r="C1250" s="852"/>
      <c r="D1250" s="859" t="s">
        <v>745</v>
      </c>
      <c r="E1250" s="855" t="s">
        <v>745</v>
      </c>
      <c r="F1250" s="856" t="s">
        <v>745</v>
      </c>
      <c r="G1250" s="857" t="s">
        <v>745</v>
      </c>
      <c r="H1250" s="963" t="s">
        <v>745</v>
      </c>
    </row>
    <row r="1251" spans="1:8" hidden="1" x14ac:dyDescent="0.3">
      <c r="A1251" s="851"/>
      <c r="B1251" s="875"/>
      <c r="C1251" s="852" t="s">
        <v>1161</v>
      </c>
      <c r="D1251" s="964">
        <v>0.54700000000000004</v>
      </c>
      <c r="E1251" s="855" t="s">
        <v>396</v>
      </c>
      <c r="F1251" s="856">
        <v>787</v>
      </c>
      <c r="G1251" s="857">
        <f>D1251*F1251</f>
        <v>430.48900000000003</v>
      </c>
      <c r="H1251" s="963" t="s">
        <v>1097</v>
      </c>
    </row>
    <row r="1252" spans="1:8" hidden="1" x14ac:dyDescent="0.3">
      <c r="A1252" s="851"/>
      <c r="B1252" s="875"/>
      <c r="C1252" s="852" t="s">
        <v>1144</v>
      </c>
      <c r="D1252" s="859">
        <v>0.25</v>
      </c>
      <c r="E1252" s="855" t="s">
        <v>396</v>
      </c>
      <c r="F1252" s="948">
        <v>830</v>
      </c>
      <c r="G1252" s="857">
        <f>D1252*F1252</f>
        <v>207.5</v>
      </c>
      <c r="H1252" s="850"/>
    </row>
    <row r="1253" spans="1:8" hidden="1" x14ac:dyDescent="0.3">
      <c r="A1253" s="851"/>
      <c r="B1253" s="875"/>
      <c r="C1253" s="852" t="s">
        <v>908</v>
      </c>
      <c r="D1253" s="859">
        <v>0.15</v>
      </c>
      <c r="E1253" s="855" t="s">
        <v>399</v>
      </c>
      <c r="F1253" s="965">
        <v>12.92</v>
      </c>
      <c r="G1253" s="857">
        <f>D1253*F1253</f>
        <v>1.9379999999999999</v>
      </c>
      <c r="H1253" s="850"/>
    </row>
    <row r="1254" spans="1:8" hidden="1" x14ac:dyDescent="0.3">
      <c r="A1254" s="861"/>
      <c r="B1254" s="862"/>
      <c r="C1254" s="863" t="s">
        <v>1162</v>
      </c>
      <c r="D1254" s="864">
        <v>1</v>
      </c>
      <c r="E1254" s="865" t="s">
        <v>33</v>
      </c>
      <c r="F1254" s="866" t="s">
        <v>6</v>
      </c>
      <c r="G1254" s="911">
        <f>SUM(G1249:G1253)</f>
        <v>639.92700000000002</v>
      </c>
      <c r="H1254" s="868" t="s">
        <v>752</v>
      </c>
    </row>
    <row r="1255" spans="1:8" hidden="1" x14ac:dyDescent="0.3">
      <c r="A1255" s="869">
        <v>12.9</v>
      </c>
      <c r="B1255" s="846" t="s">
        <v>1163</v>
      </c>
      <c r="C1255" s="852"/>
      <c r="D1255" s="859" t="s">
        <v>745</v>
      </c>
      <c r="E1255" s="939" t="s">
        <v>745</v>
      </c>
      <c r="F1255" s="948" t="s">
        <v>745</v>
      </c>
      <c r="G1255" s="966" t="s">
        <v>745</v>
      </c>
      <c r="H1255" s="967" t="s">
        <v>745</v>
      </c>
    </row>
    <row r="1256" spans="1:8" hidden="1" x14ac:dyDescent="0.3">
      <c r="A1256" s="851"/>
      <c r="B1256" s="846" t="s">
        <v>1160</v>
      </c>
      <c r="C1256" s="852"/>
      <c r="D1256" s="859" t="s">
        <v>745</v>
      </c>
      <c r="E1256" s="855" t="s">
        <v>745</v>
      </c>
      <c r="F1256" s="856" t="s">
        <v>745</v>
      </c>
      <c r="G1256" s="857" t="s">
        <v>745</v>
      </c>
      <c r="H1256" s="963" t="s">
        <v>745</v>
      </c>
    </row>
    <row r="1257" spans="1:8" hidden="1" x14ac:dyDescent="0.3">
      <c r="A1257" s="851"/>
      <c r="B1257" s="875"/>
      <c r="C1257" s="852" t="s">
        <v>1164</v>
      </c>
      <c r="D1257" s="964">
        <v>0.54700000000000004</v>
      </c>
      <c r="E1257" s="855" t="s">
        <v>396</v>
      </c>
      <c r="F1257" s="856">
        <v>1992</v>
      </c>
      <c r="G1257" s="857">
        <f>D1257*F1257</f>
        <v>1089.624</v>
      </c>
      <c r="H1257" s="963" t="s">
        <v>1097</v>
      </c>
    </row>
    <row r="1258" spans="1:8" hidden="1" x14ac:dyDescent="0.3">
      <c r="A1258" s="851"/>
      <c r="B1258" s="875"/>
      <c r="C1258" s="852" t="s">
        <v>1144</v>
      </c>
      <c r="D1258" s="859">
        <v>0.25</v>
      </c>
      <c r="E1258" s="855" t="s">
        <v>396</v>
      </c>
      <c r="F1258" s="948">
        <v>830</v>
      </c>
      <c r="G1258" s="857">
        <f>D1258*F1258</f>
        <v>207.5</v>
      </c>
      <c r="H1258" s="850"/>
    </row>
    <row r="1259" spans="1:8" hidden="1" x14ac:dyDescent="0.3">
      <c r="A1259" s="851"/>
      <c r="B1259" s="875"/>
      <c r="C1259" s="852" t="s">
        <v>908</v>
      </c>
      <c r="D1259" s="859">
        <v>0.15</v>
      </c>
      <c r="E1259" s="855" t="s">
        <v>399</v>
      </c>
      <c r="F1259" s="965">
        <v>12.92</v>
      </c>
      <c r="G1259" s="857">
        <f>D1259*F1259</f>
        <v>1.9379999999999999</v>
      </c>
      <c r="H1259" s="850"/>
    </row>
    <row r="1260" spans="1:8" hidden="1" x14ac:dyDescent="0.3">
      <c r="A1260" s="861"/>
      <c r="B1260" s="862"/>
      <c r="C1260" s="863" t="s">
        <v>1165</v>
      </c>
      <c r="D1260" s="864">
        <v>1</v>
      </c>
      <c r="E1260" s="865" t="s">
        <v>33</v>
      </c>
      <c r="F1260" s="866" t="s">
        <v>6</v>
      </c>
      <c r="G1260" s="911">
        <f>SUM(G1255:G1259)</f>
        <v>1299.0620000000001</v>
      </c>
      <c r="H1260" s="868" t="s">
        <v>752</v>
      </c>
    </row>
    <row r="1261" spans="1:8" hidden="1" x14ac:dyDescent="0.3">
      <c r="A1261" s="958">
        <v>12.1</v>
      </c>
      <c r="B1261" s="846" t="s">
        <v>1166</v>
      </c>
      <c r="C1261" s="852"/>
      <c r="D1261" s="859" t="s">
        <v>745</v>
      </c>
      <c r="E1261" s="855" t="s">
        <v>745</v>
      </c>
      <c r="F1261" s="856" t="s">
        <v>745</v>
      </c>
      <c r="G1261" s="857" t="s">
        <v>745</v>
      </c>
      <c r="H1261" s="963" t="s">
        <v>745</v>
      </c>
    </row>
    <row r="1262" spans="1:8" hidden="1" x14ac:dyDescent="0.3">
      <c r="A1262" s="851"/>
      <c r="B1262" s="846" t="s">
        <v>1160</v>
      </c>
      <c r="C1262" s="852"/>
      <c r="D1262" s="859" t="s">
        <v>745</v>
      </c>
      <c r="E1262" s="855" t="s">
        <v>745</v>
      </c>
      <c r="F1262" s="856" t="s">
        <v>745</v>
      </c>
      <c r="G1262" s="857" t="s">
        <v>745</v>
      </c>
      <c r="H1262" s="963" t="s">
        <v>745</v>
      </c>
    </row>
    <row r="1263" spans="1:8" hidden="1" x14ac:dyDescent="0.3">
      <c r="A1263" s="851"/>
      <c r="B1263" s="875"/>
      <c r="C1263" s="852" t="s">
        <v>1167</v>
      </c>
      <c r="D1263" s="964">
        <v>0.54700000000000004</v>
      </c>
      <c r="E1263" s="855" t="s">
        <v>396</v>
      </c>
      <c r="F1263" s="856">
        <v>1482</v>
      </c>
      <c r="G1263" s="857">
        <f>D1263*F1263</f>
        <v>810.65400000000011</v>
      </c>
      <c r="H1263" s="963" t="s">
        <v>1097</v>
      </c>
    </row>
    <row r="1264" spans="1:8" hidden="1" x14ac:dyDescent="0.3">
      <c r="A1264" s="851"/>
      <c r="B1264" s="875"/>
      <c r="C1264" s="852" t="s">
        <v>1144</v>
      </c>
      <c r="D1264" s="859">
        <v>0.25</v>
      </c>
      <c r="E1264" s="855" t="s">
        <v>396</v>
      </c>
      <c r="F1264" s="948">
        <v>830</v>
      </c>
      <c r="G1264" s="857">
        <f>D1264*F1264</f>
        <v>207.5</v>
      </c>
      <c r="H1264" s="850"/>
    </row>
    <row r="1265" spans="1:8" hidden="1" x14ac:dyDescent="0.3">
      <c r="A1265" s="851"/>
      <c r="B1265" s="875"/>
      <c r="C1265" s="852" t="s">
        <v>908</v>
      </c>
      <c r="D1265" s="859">
        <v>0.15</v>
      </c>
      <c r="E1265" s="855" t="s">
        <v>399</v>
      </c>
      <c r="F1265" s="965">
        <v>12.92</v>
      </c>
      <c r="G1265" s="857">
        <f>D1265*F1265</f>
        <v>1.9379999999999999</v>
      </c>
      <c r="H1265" s="850"/>
    </row>
    <row r="1266" spans="1:8" hidden="1" x14ac:dyDescent="0.3">
      <c r="A1266" s="851"/>
      <c r="B1266" s="875"/>
      <c r="C1266" s="852" t="s">
        <v>1168</v>
      </c>
      <c r="D1266" s="854">
        <v>1</v>
      </c>
      <c r="E1266" s="855" t="s">
        <v>33</v>
      </c>
      <c r="F1266" s="876" t="s">
        <v>6</v>
      </c>
      <c r="G1266" s="945">
        <f>SUM(G1261:G1265)</f>
        <v>1020.0920000000001</v>
      </c>
      <c r="H1266" s="878" t="s">
        <v>752</v>
      </c>
    </row>
    <row r="1267" spans="1:8" hidden="1" x14ac:dyDescent="0.3">
      <c r="A1267" s="851"/>
      <c r="B1267" s="875"/>
      <c r="C1267" s="852"/>
      <c r="D1267" s="854"/>
      <c r="E1267" s="855"/>
      <c r="F1267" s="876"/>
      <c r="G1267" s="945"/>
      <c r="H1267" s="878"/>
    </row>
    <row r="1268" spans="1:8" ht="19.5" hidden="1" thickBot="1" x14ac:dyDescent="0.35">
      <c r="A1268" s="879"/>
      <c r="B1268" s="880"/>
      <c r="C1268" s="881"/>
      <c r="D1268" s="883"/>
      <c r="E1268" s="883"/>
      <c r="F1268" s="884"/>
      <c r="G1268" s="883"/>
      <c r="H1268" s="959"/>
    </row>
    <row r="1269" spans="1:8" hidden="1" x14ac:dyDescent="0.3">
      <c r="G1269" s="888" t="str">
        <f>$G$37</f>
        <v xml:space="preserve"> เมษายน 2549</v>
      </c>
      <c r="H1269" s="888"/>
    </row>
    <row r="1270" spans="1:8" ht="19.5" hidden="1" x14ac:dyDescent="0.3">
      <c r="A1270" s="820" t="s">
        <v>1169</v>
      </c>
      <c r="B1270" s="820"/>
      <c r="C1270" s="820"/>
      <c r="D1270" s="820"/>
      <c r="E1270" s="820"/>
      <c r="F1270" s="820"/>
      <c r="G1270" s="820"/>
      <c r="H1270" s="820"/>
    </row>
    <row r="1271" spans="1:8" ht="20.25" hidden="1" thickBot="1" x14ac:dyDescent="0.35">
      <c r="A1271" s="889" t="s">
        <v>758</v>
      </c>
      <c r="B1271" s="889"/>
      <c r="C1271" s="889"/>
      <c r="D1271" s="889"/>
      <c r="E1271" s="889"/>
      <c r="F1271" s="889"/>
      <c r="G1271" s="889"/>
      <c r="H1271" s="889"/>
    </row>
    <row r="1272" spans="1:8" hidden="1" x14ac:dyDescent="0.3">
      <c r="A1272" s="823" t="s">
        <v>424</v>
      </c>
      <c r="B1272" s="824" t="s">
        <v>1</v>
      </c>
      <c r="C1272" s="825"/>
      <c r="D1272" s="826" t="s">
        <v>24</v>
      </c>
      <c r="E1272" s="826" t="s">
        <v>25</v>
      </c>
      <c r="F1272" s="827" t="s">
        <v>390</v>
      </c>
      <c r="G1272" s="828" t="s">
        <v>743</v>
      </c>
      <c r="H1272" s="829" t="s">
        <v>20</v>
      </c>
    </row>
    <row r="1273" spans="1:8" hidden="1" x14ac:dyDescent="0.3">
      <c r="A1273" s="830"/>
      <c r="B1273" s="831"/>
      <c r="C1273" s="832"/>
      <c r="D1273" s="833"/>
      <c r="E1273" s="833"/>
      <c r="F1273" s="834" t="s">
        <v>31</v>
      </c>
      <c r="G1273" s="835" t="s">
        <v>31</v>
      </c>
      <c r="H1273" s="836"/>
    </row>
    <row r="1274" spans="1:8" hidden="1" x14ac:dyDescent="0.3">
      <c r="A1274" s="869">
        <v>12.11</v>
      </c>
      <c r="B1274" s="935" t="s">
        <v>1170</v>
      </c>
      <c r="C1274" s="853"/>
      <c r="D1274" s="938" t="s">
        <v>745</v>
      </c>
      <c r="E1274" s="939" t="s">
        <v>745</v>
      </c>
      <c r="F1274" s="948" t="s">
        <v>745</v>
      </c>
      <c r="G1274" s="966" t="s">
        <v>745</v>
      </c>
      <c r="H1274" s="967" t="s">
        <v>745</v>
      </c>
    </row>
    <row r="1275" spans="1:8" hidden="1" x14ac:dyDescent="0.3">
      <c r="A1275" s="851"/>
      <c r="B1275" s="846" t="s">
        <v>1171</v>
      </c>
      <c r="C1275" s="852"/>
      <c r="D1275" s="859" t="s">
        <v>745</v>
      </c>
      <c r="E1275" s="855" t="s">
        <v>745</v>
      </c>
      <c r="F1275" s="856" t="s">
        <v>745</v>
      </c>
      <c r="G1275" s="857" t="s">
        <v>745</v>
      </c>
      <c r="H1275" s="963" t="s">
        <v>745</v>
      </c>
    </row>
    <row r="1276" spans="1:8" hidden="1" x14ac:dyDescent="0.3">
      <c r="A1276" s="851"/>
      <c r="B1276" s="875"/>
      <c r="C1276" s="852" t="s">
        <v>933</v>
      </c>
      <c r="D1276" s="859">
        <v>1</v>
      </c>
      <c r="E1276" s="855" t="s">
        <v>33</v>
      </c>
      <c r="F1276" s="856">
        <v>69.58</v>
      </c>
      <c r="G1276" s="857">
        <f>D1276*F1276</f>
        <v>69.58</v>
      </c>
      <c r="H1276" s="968" t="s">
        <v>934</v>
      </c>
    </row>
    <row r="1277" spans="1:8" hidden="1" x14ac:dyDescent="0.3">
      <c r="A1277" s="851"/>
      <c r="B1277" s="875"/>
      <c r="C1277" s="852" t="s">
        <v>1172</v>
      </c>
      <c r="D1277" s="859">
        <v>0.48</v>
      </c>
      <c r="E1277" s="855" t="s">
        <v>396</v>
      </c>
      <c r="F1277" s="948">
        <v>388</v>
      </c>
      <c r="G1277" s="857">
        <f>D1277*F1277</f>
        <v>186.23999999999998</v>
      </c>
      <c r="H1277" s="850"/>
    </row>
    <row r="1278" spans="1:8" hidden="1" x14ac:dyDescent="0.3">
      <c r="A1278" s="851"/>
      <c r="B1278" s="875"/>
      <c r="C1278" s="852" t="s">
        <v>908</v>
      </c>
      <c r="D1278" s="859">
        <v>0.2</v>
      </c>
      <c r="E1278" s="855" t="s">
        <v>399</v>
      </c>
      <c r="F1278" s="965">
        <v>12.92</v>
      </c>
      <c r="G1278" s="857">
        <f>D1278*F1278</f>
        <v>2.5840000000000001</v>
      </c>
      <c r="H1278" s="850"/>
    </row>
    <row r="1279" spans="1:8" hidden="1" x14ac:dyDescent="0.3">
      <c r="A1279" s="861"/>
      <c r="B1279" s="862"/>
      <c r="C1279" s="863" t="s">
        <v>1386</v>
      </c>
      <c r="D1279" s="864">
        <v>1</v>
      </c>
      <c r="E1279" s="865" t="s">
        <v>33</v>
      </c>
      <c r="F1279" s="866" t="s">
        <v>6</v>
      </c>
      <c r="G1279" s="911">
        <f>SUM(G1274:G1278)</f>
        <v>258.404</v>
      </c>
      <c r="H1279" s="868" t="s">
        <v>752</v>
      </c>
    </row>
    <row r="1280" spans="1:8" hidden="1" x14ac:dyDescent="0.3">
      <c r="A1280" s="869">
        <v>12.12</v>
      </c>
      <c r="B1280" s="935" t="s">
        <v>1173</v>
      </c>
      <c r="C1280" s="853"/>
      <c r="D1280" s="938" t="s">
        <v>745</v>
      </c>
      <c r="E1280" s="939" t="s">
        <v>745</v>
      </c>
      <c r="F1280" s="948" t="s">
        <v>745</v>
      </c>
      <c r="G1280" s="966" t="s">
        <v>745</v>
      </c>
      <c r="H1280" s="967" t="s">
        <v>745</v>
      </c>
    </row>
    <row r="1281" spans="1:8" hidden="1" x14ac:dyDescent="0.3">
      <c r="A1281" s="851"/>
      <c r="B1281" s="846" t="s">
        <v>1174</v>
      </c>
      <c r="C1281" s="852"/>
      <c r="D1281" s="859" t="s">
        <v>745</v>
      </c>
      <c r="E1281" s="855" t="s">
        <v>745</v>
      </c>
      <c r="F1281" s="856" t="s">
        <v>745</v>
      </c>
      <c r="G1281" s="857" t="s">
        <v>745</v>
      </c>
      <c r="H1281" s="963" t="s">
        <v>745</v>
      </c>
    </row>
    <row r="1282" spans="1:8" hidden="1" x14ac:dyDescent="0.3">
      <c r="A1282" s="851"/>
      <c r="B1282" s="875"/>
      <c r="C1282" s="852" t="s">
        <v>933</v>
      </c>
      <c r="D1282" s="859">
        <v>1</v>
      </c>
      <c r="E1282" s="855" t="s">
        <v>33</v>
      </c>
      <c r="F1282" s="856">
        <v>69.58</v>
      </c>
      <c r="G1282" s="857">
        <f>D1282*F1282</f>
        <v>69.58</v>
      </c>
      <c r="H1282" s="968" t="s">
        <v>934</v>
      </c>
    </row>
    <row r="1283" spans="1:8" hidden="1" x14ac:dyDescent="0.3">
      <c r="A1283" s="851"/>
      <c r="B1283" s="875"/>
      <c r="C1283" s="852" t="s">
        <v>1175</v>
      </c>
      <c r="D1283" s="859">
        <v>0.48</v>
      </c>
      <c r="E1283" s="855" t="s">
        <v>396</v>
      </c>
      <c r="F1283" s="948">
        <v>830</v>
      </c>
      <c r="G1283" s="857">
        <f>D1283*F1283</f>
        <v>398.4</v>
      </c>
      <c r="H1283" s="850"/>
    </row>
    <row r="1284" spans="1:8" hidden="1" x14ac:dyDescent="0.3">
      <c r="A1284" s="851"/>
      <c r="B1284" s="875"/>
      <c r="C1284" s="852" t="s">
        <v>908</v>
      </c>
      <c r="D1284" s="859">
        <v>0.2</v>
      </c>
      <c r="E1284" s="855" t="s">
        <v>399</v>
      </c>
      <c r="F1284" s="965">
        <v>12.92</v>
      </c>
      <c r="G1284" s="857">
        <f>D1284*F1284</f>
        <v>2.5840000000000001</v>
      </c>
      <c r="H1284" s="850"/>
    </row>
    <row r="1285" spans="1:8" hidden="1" x14ac:dyDescent="0.3">
      <c r="A1285" s="861"/>
      <c r="B1285" s="862"/>
      <c r="C1285" s="863" t="s">
        <v>1387</v>
      </c>
      <c r="D1285" s="864">
        <v>1</v>
      </c>
      <c r="E1285" s="865" t="s">
        <v>33</v>
      </c>
      <c r="F1285" s="866" t="s">
        <v>6</v>
      </c>
      <c r="G1285" s="911">
        <f>SUM(G1280:G1284)</f>
        <v>470.56399999999996</v>
      </c>
      <c r="H1285" s="868" t="s">
        <v>752</v>
      </c>
    </row>
    <row r="1286" spans="1:8" hidden="1" x14ac:dyDescent="0.3">
      <c r="A1286" s="958">
        <v>12.13</v>
      </c>
      <c r="B1286" s="935" t="s">
        <v>1176</v>
      </c>
      <c r="C1286" s="853"/>
      <c r="D1286" s="938" t="s">
        <v>745</v>
      </c>
      <c r="E1286" s="939" t="s">
        <v>745</v>
      </c>
      <c r="F1286" s="948" t="s">
        <v>745</v>
      </c>
      <c r="G1286" s="966" t="s">
        <v>745</v>
      </c>
      <c r="H1286" s="967" t="s">
        <v>745</v>
      </c>
    </row>
    <row r="1287" spans="1:8" hidden="1" x14ac:dyDescent="0.3">
      <c r="A1287" s="851"/>
      <c r="B1287" s="846" t="s">
        <v>1171</v>
      </c>
      <c r="C1287" s="852"/>
      <c r="D1287" s="859" t="s">
        <v>745</v>
      </c>
      <c r="E1287" s="855" t="s">
        <v>745</v>
      </c>
      <c r="F1287" s="856" t="s">
        <v>745</v>
      </c>
      <c r="G1287" s="857" t="s">
        <v>745</v>
      </c>
      <c r="H1287" s="963" t="s">
        <v>745</v>
      </c>
    </row>
    <row r="1288" spans="1:8" hidden="1" x14ac:dyDescent="0.3">
      <c r="A1288" s="851"/>
      <c r="B1288" s="875"/>
      <c r="C1288" s="852" t="s">
        <v>941</v>
      </c>
      <c r="D1288" s="859">
        <v>1</v>
      </c>
      <c r="E1288" s="855" t="s">
        <v>33</v>
      </c>
      <c r="F1288" s="856">
        <v>106.5</v>
      </c>
      <c r="G1288" s="857">
        <f>D1288*F1288</f>
        <v>106.5</v>
      </c>
      <c r="H1288" s="968" t="s">
        <v>934</v>
      </c>
    </row>
    <row r="1289" spans="1:8" hidden="1" x14ac:dyDescent="0.3">
      <c r="A1289" s="851"/>
      <c r="B1289" s="875"/>
      <c r="C1289" s="852" t="s">
        <v>1172</v>
      </c>
      <c r="D1289" s="859">
        <v>0.48</v>
      </c>
      <c r="E1289" s="855" t="s">
        <v>396</v>
      </c>
      <c r="F1289" s="948">
        <v>388</v>
      </c>
      <c r="G1289" s="857">
        <f>D1289*F1289</f>
        <v>186.23999999999998</v>
      </c>
      <c r="H1289" s="850"/>
    </row>
    <row r="1290" spans="1:8" hidden="1" x14ac:dyDescent="0.3">
      <c r="A1290" s="851"/>
      <c r="B1290" s="875"/>
      <c r="C1290" s="852" t="s">
        <v>908</v>
      </c>
      <c r="D1290" s="859">
        <v>0.2</v>
      </c>
      <c r="E1290" s="855" t="s">
        <v>399</v>
      </c>
      <c r="F1290" s="965">
        <v>12.92</v>
      </c>
      <c r="G1290" s="857">
        <f>D1290*F1290</f>
        <v>2.5840000000000001</v>
      </c>
      <c r="H1290" s="850"/>
    </row>
    <row r="1291" spans="1:8" hidden="1" x14ac:dyDescent="0.3">
      <c r="A1291" s="861"/>
      <c r="B1291" s="862"/>
      <c r="C1291" s="863" t="s">
        <v>1388</v>
      </c>
      <c r="D1291" s="864">
        <v>1</v>
      </c>
      <c r="E1291" s="865" t="s">
        <v>33</v>
      </c>
      <c r="F1291" s="866" t="s">
        <v>6</v>
      </c>
      <c r="G1291" s="911">
        <f>SUM(G1286:G1290)</f>
        <v>295.32400000000001</v>
      </c>
      <c r="H1291" s="868" t="s">
        <v>752</v>
      </c>
    </row>
    <row r="1292" spans="1:8" hidden="1" x14ac:dyDescent="0.3">
      <c r="A1292" s="869">
        <v>12.14</v>
      </c>
      <c r="B1292" s="935" t="s">
        <v>1177</v>
      </c>
      <c r="C1292" s="853"/>
      <c r="D1292" s="938" t="s">
        <v>745</v>
      </c>
      <c r="E1292" s="939" t="s">
        <v>745</v>
      </c>
      <c r="F1292" s="948" t="s">
        <v>745</v>
      </c>
      <c r="G1292" s="966" t="s">
        <v>745</v>
      </c>
      <c r="H1292" s="967" t="s">
        <v>745</v>
      </c>
    </row>
    <row r="1293" spans="1:8" hidden="1" x14ac:dyDescent="0.3">
      <c r="A1293" s="851"/>
      <c r="B1293" s="846" t="s">
        <v>1174</v>
      </c>
      <c r="C1293" s="852"/>
      <c r="D1293" s="859" t="s">
        <v>745</v>
      </c>
      <c r="E1293" s="855" t="s">
        <v>745</v>
      </c>
      <c r="F1293" s="856" t="s">
        <v>745</v>
      </c>
      <c r="G1293" s="857" t="s">
        <v>745</v>
      </c>
      <c r="H1293" s="963" t="s">
        <v>745</v>
      </c>
    </row>
    <row r="1294" spans="1:8" hidden="1" x14ac:dyDescent="0.3">
      <c r="A1294" s="851"/>
      <c r="B1294" s="875"/>
      <c r="C1294" s="852" t="s">
        <v>941</v>
      </c>
      <c r="D1294" s="859">
        <v>1</v>
      </c>
      <c r="E1294" s="855" t="s">
        <v>33</v>
      </c>
      <c r="F1294" s="856">
        <v>106.25</v>
      </c>
      <c r="G1294" s="857">
        <f>D1294*F1294</f>
        <v>106.25</v>
      </c>
      <c r="H1294" s="968" t="s">
        <v>934</v>
      </c>
    </row>
    <row r="1295" spans="1:8" hidden="1" x14ac:dyDescent="0.3">
      <c r="A1295" s="851"/>
      <c r="B1295" s="875"/>
      <c r="C1295" s="852" t="s">
        <v>1175</v>
      </c>
      <c r="D1295" s="859">
        <v>0.48</v>
      </c>
      <c r="E1295" s="855" t="s">
        <v>396</v>
      </c>
      <c r="F1295" s="948">
        <v>830</v>
      </c>
      <c r="G1295" s="857">
        <f>D1295*F1295</f>
        <v>398.4</v>
      </c>
      <c r="H1295" s="850"/>
    </row>
    <row r="1296" spans="1:8" hidden="1" x14ac:dyDescent="0.3">
      <c r="A1296" s="851"/>
      <c r="B1296" s="875"/>
      <c r="C1296" s="852" t="s">
        <v>908</v>
      </c>
      <c r="D1296" s="859">
        <v>0.2</v>
      </c>
      <c r="E1296" s="855" t="s">
        <v>399</v>
      </c>
      <c r="F1296" s="965">
        <v>12.92</v>
      </c>
      <c r="G1296" s="857">
        <f>D1296*F1296</f>
        <v>2.5840000000000001</v>
      </c>
      <c r="H1296" s="850"/>
    </row>
    <row r="1297" spans="1:8" hidden="1" x14ac:dyDescent="0.3">
      <c r="A1297" s="861"/>
      <c r="B1297" s="862"/>
      <c r="C1297" s="863" t="s">
        <v>1389</v>
      </c>
      <c r="D1297" s="864">
        <v>1</v>
      </c>
      <c r="E1297" s="865" t="s">
        <v>33</v>
      </c>
      <c r="F1297" s="866" t="s">
        <v>6</v>
      </c>
      <c r="G1297" s="911">
        <f>SUM(G1292:G1296)</f>
        <v>507.23399999999998</v>
      </c>
      <c r="H1297" s="868" t="s">
        <v>752</v>
      </c>
    </row>
    <row r="1298" spans="1:8" hidden="1" x14ac:dyDescent="0.3">
      <c r="A1298" s="869">
        <v>12.15</v>
      </c>
      <c r="B1298" s="935" t="s">
        <v>1178</v>
      </c>
      <c r="C1298" s="853"/>
      <c r="D1298" s="938" t="s">
        <v>745</v>
      </c>
      <c r="E1298" s="939" t="s">
        <v>745</v>
      </c>
      <c r="F1298" s="948" t="s">
        <v>745</v>
      </c>
      <c r="G1298" s="966" t="s">
        <v>745</v>
      </c>
      <c r="H1298" s="967" t="s">
        <v>745</v>
      </c>
    </row>
    <row r="1299" spans="1:8" hidden="1" x14ac:dyDescent="0.3">
      <c r="A1299" s="851"/>
      <c r="B1299" s="846" t="s">
        <v>1171</v>
      </c>
      <c r="C1299" s="852"/>
      <c r="D1299" s="859" t="s">
        <v>745</v>
      </c>
      <c r="E1299" s="855" t="s">
        <v>745</v>
      </c>
      <c r="F1299" s="856" t="s">
        <v>745</v>
      </c>
      <c r="G1299" s="857" t="s">
        <v>745</v>
      </c>
      <c r="H1299" s="963" t="s">
        <v>745</v>
      </c>
    </row>
    <row r="1300" spans="1:8" hidden="1" x14ac:dyDescent="0.3">
      <c r="A1300" s="851"/>
      <c r="B1300" s="875"/>
      <c r="C1300" s="852" t="s">
        <v>958</v>
      </c>
      <c r="D1300" s="859">
        <v>1</v>
      </c>
      <c r="E1300" s="855" t="s">
        <v>33</v>
      </c>
      <c r="F1300" s="856">
        <v>116.67</v>
      </c>
      <c r="G1300" s="857">
        <f>D1300*F1300</f>
        <v>116.67</v>
      </c>
      <c r="H1300" s="968" t="s">
        <v>934</v>
      </c>
    </row>
    <row r="1301" spans="1:8" hidden="1" x14ac:dyDescent="0.3">
      <c r="A1301" s="851"/>
      <c r="B1301" s="875"/>
      <c r="C1301" s="852" t="s">
        <v>1172</v>
      </c>
      <c r="D1301" s="859">
        <v>0.48</v>
      </c>
      <c r="E1301" s="855" t="s">
        <v>396</v>
      </c>
      <c r="F1301" s="948">
        <v>388</v>
      </c>
      <c r="G1301" s="857">
        <f>D1301*F1301</f>
        <v>186.23999999999998</v>
      </c>
      <c r="H1301" s="850"/>
    </row>
    <row r="1302" spans="1:8" hidden="1" x14ac:dyDescent="0.3">
      <c r="A1302" s="851"/>
      <c r="B1302" s="875"/>
      <c r="C1302" s="852" t="s">
        <v>908</v>
      </c>
      <c r="D1302" s="859">
        <v>0.2</v>
      </c>
      <c r="E1302" s="855" t="s">
        <v>399</v>
      </c>
      <c r="F1302" s="965">
        <v>12.92</v>
      </c>
      <c r="G1302" s="857">
        <f>D1302*F1302</f>
        <v>2.5840000000000001</v>
      </c>
      <c r="H1302" s="850"/>
    </row>
    <row r="1303" spans="1:8" hidden="1" x14ac:dyDescent="0.3">
      <c r="A1303" s="851"/>
      <c r="B1303" s="875"/>
      <c r="C1303" s="852" t="s">
        <v>1390</v>
      </c>
      <c r="D1303" s="854">
        <v>1</v>
      </c>
      <c r="E1303" s="855" t="s">
        <v>33</v>
      </c>
      <c r="F1303" s="876" t="s">
        <v>6</v>
      </c>
      <c r="G1303" s="945">
        <f>SUM(G1298:G1302)</f>
        <v>305.49399999999997</v>
      </c>
      <c r="H1303" s="878" t="s">
        <v>752</v>
      </c>
    </row>
    <row r="1304" spans="1:8" hidden="1" x14ac:dyDescent="0.3">
      <c r="A1304" s="988"/>
      <c r="B1304" s="875"/>
      <c r="C1304" s="852"/>
      <c r="D1304" s="847"/>
      <c r="E1304" s="847"/>
      <c r="F1304" s="848"/>
      <c r="G1304" s="847"/>
      <c r="H1304" s="989"/>
    </row>
    <row r="1305" spans="1:8" ht="19.5" hidden="1" thickBot="1" x14ac:dyDescent="0.35">
      <c r="A1305" s="990"/>
      <c r="B1305" s="880"/>
      <c r="C1305" s="881"/>
      <c r="D1305" s="883"/>
      <c r="E1305" s="883"/>
      <c r="F1305" s="884"/>
      <c r="G1305" s="883"/>
      <c r="H1305" s="959"/>
    </row>
    <row r="1306" spans="1:8" hidden="1" x14ac:dyDescent="0.3">
      <c r="G1306" s="888" t="str">
        <f>$G$37</f>
        <v xml:space="preserve"> เมษายน 2549</v>
      </c>
      <c r="H1306" s="888"/>
    </row>
    <row r="1307" spans="1:8" ht="19.5" hidden="1" x14ac:dyDescent="0.3">
      <c r="A1307" s="820" t="s">
        <v>1179</v>
      </c>
      <c r="B1307" s="820"/>
      <c r="C1307" s="820"/>
      <c r="D1307" s="820"/>
      <c r="E1307" s="820"/>
      <c r="F1307" s="820"/>
      <c r="G1307" s="820"/>
      <c r="H1307" s="820"/>
    </row>
    <row r="1308" spans="1:8" ht="20.25" hidden="1" thickBot="1" x14ac:dyDescent="0.35">
      <c r="A1308" s="889" t="s">
        <v>758</v>
      </c>
      <c r="B1308" s="889"/>
      <c r="C1308" s="889"/>
      <c r="D1308" s="889"/>
      <c r="E1308" s="889"/>
      <c r="F1308" s="889"/>
      <c r="G1308" s="889"/>
      <c r="H1308" s="889"/>
    </row>
    <row r="1309" spans="1:8" hidden="1" x14ac:dyDescent="0.3">
      <c r="A1309" s="823" t="s">
        <v>424</v>
      </c>
      <c r="B1309" s="824" t="s">
        <v>1</v>
      </c>
      <c r="C1309" s="825"/>
      <c r="D1309" s="826" t="s">
        <v>24</v>
      </c>
      <c r="E1309" s="826" t="s">
        <v>25</v>
      </c>
      <c r="F1309" s="827" t="s">
        <v>390</v>
      </c>
      <c r="G1309" s="828" t="s">
        <v>743</v>
      </c>
      <c r="H1309" s="829" t="s">
        <v>20</v>
      </c>
    </row>
    <row r="1310" spans="1:8" hidden="1" x14ac:dyDescent="0.3">
      <c r="A1310" s="830"/>
      <c r="B1310" s="831"/>
      <c r="C1310" s="832"/>
      <c r="D1310" s="833"/>
      <c r="E1310" s="833"/>
      <c r="F1310" s="834" t="s">
        <v>31</v>
      </c>
      <c r="G1310" s="835" t="s">
        <v>31</v>
      </c>
      <c r="H1310" s="836"/>
    </row>
    <row r="1311" spans="1:8" hidden="1" x14ac:dyDescent="0.3">
      <c r="A1311" s="869">
        <v>12.16</v>
      </c>
      <c r="B1311" s="935" t="s">
        <v>1180</v>
      </c>
      <c r="C1311" s="853"/>
      <c r="D1311" s="938" t="s">
        <v>745</v>
      </c>
      <c r="E1311" s="939" t="s">
        <v>745</v>
      </c>
      <c r="F1311" s="948" t="s">
        <v>745</v>
      </c>
      <c r="G1311" s="966" t="s">
        <v>745</v>
      </c>
      <c r="H1311" s="967" t="s">
        <v>745</v>
      </c>
    </row>
    <row r="1312" spans="1:8" hidden="1" x14ac:dyDescent="0.3">
      <c r="A1312" s="851"/>
      <c r="B1312" s="846" t="s">
        <v>1174</v>
      </c>
      <c r="C1312" s="852"/>
      <c r="D1312" s="859" t="s">
        <v>745</v>
      </c>
      <c r="E1312" s="855" t="s">
        <v>745</v>
      </c>
      <c r="F1312" s="856" t="s">
        <v>745</v>
      </c>
      <c r="G1312" s="857" t="s">
        <v>745</v>
      </c>
      <c r="H1312" s="963" t="s">
        <v>745</v>
      </c>
    </row>
    <row r="1313" spans="1:8" hidden="1" x14ac:dyDescent="0.3">
      <c r="A1313" s="851"/>
      <c r="B1313" s="875"/>
      <c r="C1313" s="852" t="s">
        <v>958</v>
      </c>
      <c r="D1313" s="859">
        <v>1</v>
      </c>
      <c r="E1313" s="855" t="s">
        <v>33</v>
      </c>
      <c r="F1313" s="856">
        <v>116.67</v>
      </c>
      <c r="G1313" s="857">
        <f>D1313*F1313</f>
        <v>116.67</v>
      </c>
      <c r="H1313" s="968" t="s">
        <v>934</v>
      </c>
    </row>
    <row r="1314" spans="1:8" hidden="1" x14ac:dyDescent="0.3">
      <c r="A1314" s="851"/>
      <c r="B1314" s="875"/>
      <c r="C1314" s="852" t="s">
        <v>1175</v>
      </c>
      <c r="D1314" s="859">
        <v>0.48</v>
      </c>
      <c r="E1314" s="855" t="s">
        <v>396</v>
      </c>
      <c r="F1314" s="948">
        <v>830</v>
      </c>
      <c r="G1314" s="857">
        <f>D1314*F1314</f>
        <v>398.4</v>
      </c>
      <c r="H1314" s="850"/>
    </row>
    <row r="1315" spans="1:8" hidden="1" x14ac:dyDescent="0.3">
      <c r="A1315" s="851"/>
      <c r="B1315" s="875"/>
      <c r="C1315" s="852" t="s">
        <v>908</v>
      </c>
      <c r="D1315" s="859">
        <v>0.2</v>
      </c>
      <c r="E1315" s="855" t="s">
        <v>399</v>
      </c>
      <c r="F1315" s="965">
        <v>12.92</v>
      </c>
      <c r="G1315" s="857">
        <f>D1315*F1315</f>
        <v>2.5840000000000001</v>
      </c>
      <c r="H1315" s="850"/>
    </row>
    <row r="1316" spans="1:8" hidden="1" x14ac:dyDescent="0.3">
      <c r="A1316" s="861"/>
      <c r="B1316" s="862"/>
      <c r="C1316" s="863" t="s">
        <v>1391</v>
      </c>
      <c r="D1316" s="864">
        <v>1</v>
      </c>
      <c r="E1316" s="865" t="s">
        <v>33</v>
      </c>
      <c r="F1316" s="866" t="s">
        <v>6</v>
      </c>
      <c r="G1316" s="911">
        <f>SUM(G1311:G1315)</f>
        <v>517.65399999999988</v>
      </c>
      <c r="H1316" s="868" t="s">
        <v>752</v>
      </c>
    </row>
    <row r="1317" spans="1:8" hidden="1" x14ac:dyDescent="0.3">
      <c r="A1317" s="869">
        <v>12.17</v>
      </c>
      <c r="B1317" s="935" t="s">
        <v>1181</v>
      </c>
      <c r="C1317" s="853"/>
      <c r="D1317" s="938" t="s">
        <v>745</v>
      </c>
      <c r="E1317" s="939" t="s">
        <v>745</v>
      </c>
      <c r="F1317" s="948" t="s">
        <v>745</v>
      </c>
      <c r="G1317" s="966" t="s">
        <v>745</v>
      </c>
      <c r="H1317" s="967" t="s">
        <v>745</v>
      </c>
    </row>
    <row r="1318" spans="1:8" hidden="1" x14ac:dyDescent="0.3">
      <c r="A1318" s="851"/>
      <c r="B1318" s="846" t="s">
        <v>1171</v>
      </c>
      <c r="C1318" s="852"/>
      <c r="D1318" s="859" t="s">
        <v>745</v>
      </c>
      <c r="E1318" s="855" t="s">
        <v>745</v>
      </c>
      <c r="F1318" s="856" t="s">
        <v>745</v>
      </c>
      <c r="G1318" s="857" t="s">
        <v>745</v>
      </c>
      <c r="H1318" s="963" t="s">
        <v>745</v>
      </c>
    </row>
    <row r="1319" spans="1:8" hidden="1" x14ac:dyDescent="0.3">
      <c r="A1319" s="851"/>
      <c r="B1319" s="875"/>
      <c r="C1319" s="852" t="s">
        <v>963</v>
      </c>
      <c r="D1319" s="859">
        <v>1</v>
      </c>
      <c r="E1319" s="855" t="s">
        <v>33</v>
      </c>
      <c r="F1319" s="856">
        <v>183.75</v>
      </c>
      <c r="G1319" s="857">
        <f>D1319*F1319</f>
        <v>183.75</v>
      </c>
      <c r="H1319" s="968" t="s">
        <v>934</v>
      </c>
    </row>
    <row r="1320" spans="1:8" hidden="1" x14ac:dyDescent="0.3">
      <c r="A1320" s="851"/>
      <c r="B1320" s="875"/>
      <c r="C1320" s="852" t="s">
        <v>1172</v>
      </c>
      <c r="D1320" s="859">
        <v>0.48</v>
      </c>
      <c r="E1320" s="855" t="s">
        <v>396</v>
      </c>
      <c r="F1320" s="948">
        <v>388</v>
      </c>
      <c r="G1320" s="857">
        <f>D1320*F1320</f>
        <v>186.23999999999998</v>
      </c>
      <c r="H1320" s="850"/>
    </row>
    <row r="1321" spans="1:8" hidden="1" x14ac:dyDescent="0.3">
      <c r="A1321" s="851"/>
      <c r="B1321" s="875"/>
      <c r="C1321" s="852" t="s">
        <v>908</v>
      </c>
      <c r="D1321" s="859">
        <v>0.2</v>
      </c>
      <c r="E1321" s="855" t="s">
        <v>399</v>
      </c>
      <c r="F1321" s="965">
        <v>12.92</v>
      </c>
      <c r="G1321" s="857">
        <f>D1321*F1321</f>
        <v>2.5840000000000001</v>
      </c>
      <c r="H1321" s="850"/>
    </row>
    <row r="1322" spans="1:8" hidden="1" x14ac:dyDescent="0.3">
      <c r="A1322" s="861"/>
      <c r="B1322" s="862"/>
      <c r="C1322" s="863" t="s">
        <v>1392</v>
      </c>
      <c r="D1322" s="864">
        <v>1</v>
      </c>
      <c r="E1322" s="865" t="s">
        <v>33</v>
      </c>
      <c r="F1322" s="866" t="s">
        <v>6</v>
      </c>
      <c r="G1322" s="911">
        <f>SUM(G1317:G1321)</f>
        <v>372.57400000000001</v>
      </c>
      <c r="H1322" s="868" t="s">
        <v>752</v>
      </c>
    </row>
    <row r="1323" spans="1:8" hidden="1" x14ac:dyDescent="0.3">
      <c r="A1323" s="958">
        <v>12.18</v>
      </c>
      <c r="B1323" s="935" t="s">
        <v>1182</v>
      </c>
      <c r="C1323" s="853"/>
      <c r="D1323" s="938" t="s">
        <v>745</v>
      </c>
      <c r="E1323" s="939" t="s">
        <v>745</v>
      </c>
      <c r="F1323" s="948" t="s">
        <v>745</v>
      </c>
      <c r="G1323" s="966" t="s">
        <v>745</v>
      </c>
      <c r="H1323" s="967" t="s">
        <v>745</v>
      </c>
    </row>
    <row r="1324" spans="1:8" hidden="1" x14ac:dyDescent="0.3">
      <c r="A1324" s="851"/>
      <c r="B1324" s="846" t="s">
        <v>1174</v>
      </c>
      <c r="C1324" s="852"/>
      <c r="D1324" s="859" t="s">
        <v>745</v>
      </c>
      <c r="E1324" s="855" t="s">
        <v>745</v>
      </c>
      <c r="F1324" s="856" t="s">
        <v>745</v>
      </c>
      <c r="G1324" s="857" t="s">
        <v>745</v>
      </c>
      <c r="H1324" s="963" t="s">
        <v>745</v>
      </c>
    </row>
    <row r="1325" spans="1:8" hidden="1" x14ac:dyDescent="0.3">
      <c r="A1325" s="851"/>
      <c r="B1325" s="875"/>
      <c r="C1325" s="852" t="s">
        <v>963</v>
      </c>
      <c r="D1325" s="859">
        <v>1</v>
      </c>
      <c r="E1325" s="855" t="s">
        <v>33</v>
      </c>
      <c r="F1325" s="856">
        <v>183.75</v>
      </c>
      <c r="G1325" s="857">
        <f>D1325*F1325</f>
        <v>183.75</v>
      </c>
      <c r="H1325" s="968" t="s">
        <v>934</v>
      </c>
    </row>
    <row r="1326" spans="1:8" hidden="1" x14ac:dyDescent="0.3">
      <c r="A1326" s="851"/>
      <c r="B1326" s="875"/>
      <c r="C1326" s="852" t="s">
        <v>1175</v>
      </c>
      <c r="D1326" s="859">
        <v>0.48</v>
      </c>
      <c r="E1326" s="855" t="s">
        <v>396</v>
      </c>
      <c r="F1326" s="948">
        <v>830</v>
      </c>
      <c r="G1326" s="857">
        <f>D1326*F1326</f>
        <v>398.4</v>
      </c>
      <c r="H1326" s="850"/>
    </row>
    <row r="1327" spans="1:8" hidden="1" x14ac:dyDescent="0.3">
      <c r="A1327" s="851"/>
      <c r="B1327" s="875"/>
      <c r="C1327" s="852" t="s">
        <v>908</v>
      </c>
      <c r="D1327" s="859">
        <v>0.2</v>
      </c>
      <c r="E1327" s="855" t="s">
        <v>399</v>
      </c>
      <c r="F1327" s="965">
        <v>12.92</v>
      </c>
      <c r="G1327" s="857">
        <f>D1327*F1327</f>
        <v>2.5840000000000001</v>
      </c>
      <c r="H1327" s="850"/>
    </row>
    <row r="1328" spans="1:8" hidden="1" x14ac:dyDescent="0.3">
      <c r="A1328" s="861"/>
      <c r="B1328" s="862"/>
      <c r="C1328" s="863" t="s">
        <v>1393</v>
      </c>
      <c r="D1328" s="864">
        <v>1</v>
      </c>
      <c r="E1328" s="865" t="s">
        <v>33</v>
      </c>
      <c r="F1328" s="866" t="s">
        <v>6</v>
      </c>
      <c r="G1328" s="911">
        <f>SUM(G1323:G1327)</f>
        <v>584.73399999999992</v>
      </c>
      <c r="H1328" s="868" t="s">
        <v>752</v>
      </c>
    </row>
    <row r="1329" spans="1:8" hidden="1" x14ac:dyDescent="0.3">
      <c r="A1329" s="869">
        <v>12.19</v>
      </c>
      <c r="B1329" s="935" t="s">
        <v>1183</v>
      </c>
      <c r="C1329" s="853"/>
      <c r="D1329" s="938" t="s">
        <v>745</v>
      </c>
      <c r="E1329" s="939" t="s">
        <v>745</v>
      </c>
      <c r="F1329" s="948" t="s">
        <v>745</v>
      </c>
      <c r="G1329" s="966" t="s">
        <v>745</v>
      </c>
      <c r="H1329" s="967" t="s">
        <v>745</v>
      </c>
    </row>
    <row r="1330" spans="1:8" hidden="1" x14ac:dyDescent="0.3">
      <c r="A1330" s="851"/>
      <c r="B1330" s="846" t="s">
        <v>1184</v>
      </c>
      <c r="C1330" s="852"/>
      <c r="D1330" s="859" t="s">
        <v>745</v>
      </c>
      <c r="E1330" s="855" t="s">
        <v>745</v>
      </c>
      <c r="F1330" s="856" t="s">
        <v>745</v>
      </c>
      <c r="G1330" s="857" t="s">
        <v>745</v>
      </c>
      <c r="H1330" s="963" t="s">
        <v>745</v>
      </c>
    </row>
    <row r="1331" spans="1:8" hidden="1" x14ac:dyDescent="0.3">
      <c r="A1331" s="851"/>
      <c r="B1331" s="875"/>
      <c r="C1331" s="852" t="s">
        <v>1185</v>
      </c>
      <c r="D1331" s="859">
        <v>1</v>
      </c>
      <c r="E1331" s="855" t="s">
        <v>33</v>
      </c>
      <c r="F1331" s="856">
        <v>64.25</v>
      </c>
      <c r="G1331" s="857">
        <f>D1331*F1331</f>
        <v>64.25</v>
      </c>
      <c r="H1331" s="968" t="s">
        <v>934</v>
      </c>
    </row>
    <row r="1332" spans="1:8" hidden="1" x14ac:dyDescent="0.3">
      <c r="A1332" s="851"/>
      <c r="B1332" s="875"/>
      <c r="C1332" s="852" t="s">
        <v>1172</v>
      </c>
      <c r="D1332" s="859">
        <v>0.48</v>
      </c>
      <c r="E1332" s="855" t="s">
        <v>396</v>
      </c>
      <c r="F1332" s="948">
        <v>389.85</v>
      </c>
      <c r="G1332" s="857">
        <f>D1332*F1332</f>
        <v>187.12800000000001</v>
      </c>
      <c r="H1332" s="850"/>
    </row>
    <row r="1333" spans="1:8" hidden="1" x14ac:dyDescent="0.3">
      <c r="A1333" s="851"/>
      <c r="B1333" s="875"/>
      <c r="C1333" s="852" t="s">
        <v>908</v>
      </c>
      <c r="D1333" s="859">
        <v>0.2</v>
      </c>
      <c r="E1333" s="855" t="s">
        <v>399</v>
      </c>
      <c r="F1333" s="965">
        <v>49.91</v>
      </c>
      <c r="G1333" s="857">
        <f>D1333*F1333</f>
        <v>9.9819999999999993</v>
      </c>
      <c r="H1333" s="850"/>
    </row>
    <row r="1334" spans="1:8" hidden="1" x14ac:dyDescent="0.3">
      <c r="A1334" s="861"/>
      <c r="B1334" s="862"/>
      <c r="C1334" s="863" t="s">
        <v>1186</v>
      </c>
      <c r="D1334" s="864">
        <v>1</v>
      </c>
      <c r="E1334" s="865" t="s">
        <v>33</v>
      </c>
      <c r="F1334" s="866" t="s">
        <v>6</v>
      </c>
      <c r="G1334" s="911">
        <f>SUM(G1329:G1333)</f>
        <v>261.36</v>
      </c>
      <c r="H1334" s="912" t="s">
        <v>1394</v>
      </c>
    </row>
    <row r="1335" spans="1:8" hidden="1" x14ac:dyDescent="0.3">
      <c r="A1335" s="958">
        <v>12.2</v>
      </c>
      <c r="B1335" s="935" t="s">
        <v>1183</v>
      </c>
      <c r="C1335" s="853"/>
      <c r="D1335" s="938" t="s">
        <v>745</v>
      </c>
      <c r="E1335" s="939" t="s">
        <v>745</v>
      </c>
      <c r="F1335" s="948" t="s">
        <v>745</v>
      </c>
      <c r="G1335" s="966" t="s">
        <v>745</v>
      </c>
      <c r="H1335" s="967" t="s">
        <v>745</v>
      </c>
    </row>
    <row r="1336" spans="1:8" hidden="1" x14ac:dyDescent="0.3">
      <c r="A1336" s="851"/>
      <c r="B1336" s="846" t="s">
        <v>1187</v>
      </c>
      <c r="C1336" s="852"/>
      <c r="D1336" s="859" t="s">
        <v>745</v>
      </c>
      <c r="E1336" s="855" t="s">
        <v>745</v>
      </c>
      <c r="F1336" s="856" t="s">
        <v>745</v>
      </c>
      <c r="G1336" s="857" t="s">
        <v>745</v>
      </c>
      <c r="H1336" s="963" t="s">
        <v>745</v>
      </c>
    </row>
    <row r="1337" spans="1:8" hidden="1" x14ac:dyDescent="0.3">
      <c r="A1337" s="851"/>
      <c r="B1337" s="875"/>
      <c r="C1337" s="852" t="s">
        <v>1185</v>
      </c>
      <c r="D1337" s="859">
        <v>1</v>
      </c>
      <c r="E1337" s="855" t="s">
        <v>33</v>
      </c>
      <c r="F1337" s="856">
        <v>65</v>
      </c>
      <c r="G1337" s="857">
        <f>D1337*F1337</f>
        <v>65</v>
      </c>
      <c r="H1337" s="968" t="s">
        <v>934</v>
      </c>
    </row>
    <row r="1338" spans="1:8" hidden="1" x14ac:dyDescent="0.3">
      <c r="A1338" s="851"/>
      <c r="B1338" s="875"/>
      <c r="C1338" s="852" t="s">
        <v>1175</v>
      </c>
      <c r="D1338" s="859">
        <v>0.48</v>
      </c>
      <c r="E1338" s="855" t="s">
        <v>396</v>
      </c>
      <c r="F1338" s="948">
        <v>830</v>
      </c>
      <c r="G1338" s="857">
        <f>D1338*F1338</f>
        <v>398.4</v>
      </c>
      <c r="H1338" s="850"/>
    </row>
    <row r="1339" spans="1:8" hidden="1" x14ac:dyDescent="0.3">
      <c r="A1339" s="851"/>
      <c r="B1339" s="875"/>
      <c r="C1339" s="852" t="s">
        <v>908</v>
      </c>
      <c r="D1339" s="859">
        <v>0.2</v>
      </c>
      <c r="E1339" s="855" t="s">
        <v>399</v>
      </c>
      <c r="F1339" s="965">
        <v>12.92</v>
      </c>
      <c r="G1339" s="857">
        <f>D1339*F1339</f>
        <v>2.5840000000000001</v>
      </c>
      <c r="H1339" s="850"/>
    </row>
    <row r="1340" spans="1:8" hidden="1" x14ac:dyDescent="0.3">
      <c r="A1340" s="851"/>
      <c r="B1340" s="875"/>
      <c r="C1340" s="852" t="s">
        <v>1186</v>
      </c>
      <c r="D1340" s="854">
        <v>1</v>
      </c>
      <c r="E1340" s="855" t="s">
        <v>33</v>
      </c>
      <c r="F1340" s="876" t="s">
        <v>6</v>
      </c>
      <c r="G1340" s="945">
        <f>SUM(G1335:G1339)</f>
        <v>465.98399999999998</v>
      </c>
      <c r="H1340" s="850" t="s">
        <v>1395</v>
      </c>
    </row>
    <row r="1341" spans="1:8" hidden="1" x14ac:dyDescent="0.3">
      <c r="A1341" s="991"/>
      <c r="B1341" s="937"/>
      <c r="C1341" s="853"/>
      <c r="D1341" s="870"/>
      <c r="E1341" s="870"/>
      <c r="F1341" s="871"/>
      <c r="G1341" s="870"/>
      <c r="H1341" s="992"/>
    </row>
    <row r="1342" spans="1:8" ht="19.5" hidden="1" thickBot="1" x14ac:dyDescent="0.35">
      <c r="A1342" s="990"/>
      <c r="B1342" s="880"/>
      <c r="C1342" s="881"/>
      <c r="D1342" s="883"/>
      <c r="E1342" s="883"/>
      <c r="F1342" s="884"/>
      <c r="G1342" s="883"/>
      <c r="H1342" s="959"/>
    </row>
    <row r="1343" spans="1:8" hidden="1" x14ac:dyDescent="0.3">
      <c r="G1343" s="888" t="str">
        <f>$G$37</f>
        <v xml:space="preserve"> เมษายน 2549</v>
      </c>
      <c r="H1343" s="888"/>
    </row>
    <row r="1344" spans="1:8" ht="19.5" hidden="1" x14ac:dyDescent="0.3">
      <c r="A1344" s="820" t="s">
        <v>1188</v>
      </c>
      <c r="B1344" s="820"/>
      <c r="C1344" s="820"/>
      <c r="D1344" s="820"/>
      <c r="E1344" s="820"/>
      <c r="F1344" s="820"/>
      <c r="G1344" s="820"/>
      <c r="H1344" s="820"/>
    </row>
    <row r="1345" spans="1:8" ht="20.25" hidden="1" thickBot="1" x14ac:dyDescent="0.35">
      <c r="A1345" s="889" t="s">
        <v>758</v>
      </c>
      <c r="B1345" s="889"/>
      <c r="C1345" s="889"/>
      <c r="D1345" s="889"/>
      <c r="E1345" s="889"/>
      <c r="F1345" s="889"/>
      <c r="G1345" s="889"/>
      <c r="H1345" s="889"/>
    </row>
    <row r="1346" spans="1:8" hidden="1" x14ac:dyDescent="0.3">
      <c r="A1346" s="823" t="s">
        <v>424</v>
      </c>
      <c r="B1346" s="824" t="s">
        <v>1</v>
      </c>
      <c r="C1346" s="825"/>
      <c r="D1346" s="826" t="s">
        <v>24</v>
      </c>
      <c r="E1346" s="826" t="s">
        <v>25</v>
      </c>
      <c r="F1346" s="827" t="s">
        <v>390</v>
      </c>
      <c r="G1346" s="828" t="s">
        <v>743</v>
      </c>
      <c r="H1346" s="829" t="s">
        <v>20</v>
      </c>
    </row>
    <row r="1347" spans="1:8" hidden="1" x14ac:dyDescent="0.3">
      <c r="A1347" s="830"/>
      <c r="B1347" s="831"/>
      <c r="C1347" s="832"/>
      <c r="D1347" s="833"/>
      <c r="E1347" s="833"/>
      <c r="F1347" s="834" t="s">
        <v>31</v>
      </c>
      <c r="G1347" s="835" t="s">
        <v>31</v>
      </c>
      <c r="H1347" s="836"/>
    </row>
    <row r="1348" spans="1:8" hidden="1" x14ac:dyDescent="0.3">
      <c r="A1348" s="869">
        <v>12.21</v>
      </c>
      <c r="B1348" s="935" t="s">
        <v>1189</v>
      </c>
      <c r="C1348" s="853"/>
      <c r="D1348" s="938" t="s">
        <v>745</v>
      </c>
      <c r="E1348" s="939" t="s">
        <v>745</v>
      </c>
      <c r="F1348" s="948" t="s">
        <v>745</v>
      </c>
      <c r="G1348" s="966" t="s">
        <v>745</v>
      </c>
      <c r="H1348" s="967" t="s">
        <v>745</v>
      </c>
    </row>
    <row r="1349" spans="1:8" hidden="1" x14ac:dyDescent="0.3">
      <c r="A1349" s="851"/>
      <c r="B1349" s="846" t="s">
        <v>1184</v>
      </c>
      <c r="C1349" s="852"/>
      <c r="D1349" s="859" t="s">
        <v>745</v>
      </c>
      <c r="E1349" s="855" t="s">
        <v>745</v>
      </c>
      <c r="F1349" s="856" t="s">
        <v>745</v>
      </c>
      <c r="G1349" s="857" t="s">
        <v>745</v>
      </c>
      <c r="H1349" s="963" t="s">
        <v>745</v>
      </c>
    </row>
    <row r="1350" spans="1:8" hidden="1" x14ac:dyDescent="0.3">
      <c r="A1350" s="851"/>
      <c r="B1350" s="875"/>
      <c r="C1350" s="852" t="s">
        <v>980</v>
      </c>
      <c r="D1350" s="859">
        <v>1</v>
      </c>
      <c r="E1350" s="855" t="s">
        <v>33</v>
      </c>
      <c r="F1350" s="856">
        <v>94.17</v>
      </c>
      <c r="G1350" s="857">
        <f>D1350*F1350</f>
        <v>94.17</v>
      </c>
      <c r="H1350" s="968" t="s">
        <v>934</v>
      </c>
    </row>
    <row r="1351" spans="1:8" hidden="1" x14ac:dyDescent="0.3">
      <c r="A1351" s="851"/>
      <c r="B1351" s="875"/>
      <c r="C1351" s="852" t="s">
        <v>1172</v>
      </c>
      <c r="D1351" s="859">
        <v>0.48</v>
      </c>
      <c r="E1351" s="855" t="s">
        <v>396</v>
      </c>
      <c r="F1351" s="948">
        <v>388</v>
      </c>
      <c r="G1351" s="857">
        <f>D1351*F1351</f>
        <v>186.23999999999998</v>
      </c>
      <c r="H1351" s="850"/>
    </row>
    <row r="1352" spans="1:8" hidden="1" x14ac:dyDescent="0.3">
      <c r="A1352" s="851"/>
      <c r="B1352" s="875"/>
      <c r="C1352" s="852" t="s">
        <v>908</v>
      </c>
      <c r="D1352" s="859">
        <v>0.2</v>
      </c>
      <c r="E1352" s="855" t="s">
        <v>399</v>
      </c>
      <c r="F1352" s="965">
        <v>12.92</v>
      </c>
      <c r="G1352" s="857">
        <f>D1352*F1352</f>
        <v>2.5840000000000001</v>
      </c>
      <c r="H1352" s="850"/>
    </row>
    <row r="1353" spans="1:8" hidden="1" x14ac:dyDescent="0.3">
      <c r="A1353" s="861"/>
      <c r="B1353" s="862"/>
      <c r="C1353" s="863" t="s">
        <v>1190</v>
      </c>
      <c r="D1353" s="864">
        <v>1</v>
      </c>
      <c r="E1353" s="865" t="s">
        <v>33</v>
      </c>
      <c r="F1353" s="866" t="s">
        <v>6</v>
      </c>
      <c r="G1353" s="911">
        <f>SUM(G1348:G1352)</f>
        <v>282.99399999999997</v>
      </c>
      <c r="H1353" s="912" t="s">
        <v>1394</v>
      </c>
    </row>
    <row r="1354" spans="1:8" hidden="1" x14ac:dyDescent="0.3">
      <c r="A1354" s="958">
        <v>12.22</v>
      </c>
      <c r="B1354" s="935" t="s">
        <v>1189</v>
      </c>
      <c r="C1354" s="853"/>
      <c r="D1354" s="938" t="s">
        <v>745</v>
      </c>
      <c r="E1354" s="939" t="s">
        <v>745</v>
      </c>
      <c r="F1354" s="948" t="s">
        <v>745</v>
      </c>
      <c r="G1354" s="966" t="s">
        <v>745</v>
      </c>
      <c r="H1354" s="967" t="s">
        <v>745</v>
      </c>
    </row>
    <row r="1355" spans="1:8" hidden="1" x14ac:dyDescent="0.3">
      <c r="A1355" s="851"/>
      <c r="B1355" s="846" t="s">
        <v>1187</v>
      </c>
      <c r="C1355" s="852"/>
      <c r="D1355" s="859" t="s">
        <v>745</v>
      </c>
      <c r="E1355" s="855" t="s">
        <v>745</v>
      </c>
      <c r="F1355" s="856" t="s">
        <v>745</v>
      </c>
      <c r="G1355" s="857" t="s">
        <v>745</v>
      </c>
      <c r="H1355" s="963" t="s">
        <v>745</v>
      </c>
    </row>
    <row r="1356" spans="1:8" hidden="1" x14ac:dyDescent="0.3">
      <c r="A1356" s="851"/>
      <c r="B1356" s="875"/>
      <c r="C1356" s="852" t="s">
        <v>980</v>
      </c>
      <c r="D1356" s="859">
        <v>1</v>
      </c>
      <c r="E1356" s="855" t="s">
        <v>33</v>
      </c>
      <c r="F1356" s="856">
        <v>94.17</v>
      </c>
      <c r="G1356" s="857">
        <f>D1356*F1356</f>
        <v>94.17</v>
      </c>
      <c r="H1356" s="968" t="s">
        <v>934</v>
      </c>
    </row>
    <row r="1357" spans="1:8" hidden="1" x14ac:dyDescent="0.3">
      <c r="A1357" s="851"/>
      <c r="B1357" s="875"/>
      <c r="C1357" s="852" t="s">
        <v>1175</v>
      </c>
      <c r="D1357" s="859">
        <v>0.48</v>
      </c>
      <c r="E1357" s="855" t="s">
        <v>396</v>
      </c>
      <c r="F1357" s="948">
        <v>830</v>
      </c>
      <c r="G1357" s="857">
        <f>D1357*F1357</f>
        <v>398.4</v>
      </c>
      <c r="H1357" s="850"/>
    </row>
    <row r="1358" spans="1:8" hidden="1" x14ac:dyDescent="0.3">
      <c r="A1358" s="851"/>
      <c r="B1358" s="875"/>
      <c r="C1358" s="852" t="s">
        <v>908</v>
      </c>
      <c r="D1358" s="859">
        <v>0.2</v>
      </c>
      <c r="E1358" s="855" t="s">
        <v>399</v>
      </c>
      <c r="F1358" s="965">
        <v>12.92</v>
      </c>
      <c r="G1358" s="857">
        <f>D1358*F1358</f>
        <v>2.5840000000000001</v>
      </c>
      <c r="H1358" s="850"/>
    </row>
    <row r="1359" spans="1:8" hidden="1" x14ac:dyDescent="0.3">
      <c r="A1359" s="861"/>
      <c r="B1359" s="862"/>
      <c r="C1359" s="863" t="s">
        <v>1190</v>
      </c>
      <c r="D1359" s="864">
        <v>1</v>
      </c>
      <c r="E1359" s="865" t="s">
        <v>33</v>
      </c>
      <c r="F1359" s="866" t="s">
        <v>6</v>
      </c>
      <c r="G1359" s="911">
        <f>SUM(G1354:G1358)</f>
        <v>495.154</v>
      </c>
      <c r="H1359" s="912" t="s">
        <v>1395</v>
      </c>
    </row>
    <row r="1360" spans="1:8" hidden="1" x14ac:dyDescent="0.3">
      <c r="A1360" s="958">
        <v>12.23</v>
      </c>
      <c r="B1360" s="935" t="s">
        <v>1191</v>
      </c>
      <c r="C1360" s="853"/>
      <c r="D1360" s="938" t="s">
        <v>745</v>
      </c>
      <c r="E1360" s="939" t="s">
        <v>745</v>
      </c>
      <c r="F1360" s="948" t="s">
        <v>745</v>
      </c>
      <c r="G1360" s="966" t="s">
        <v>745</v>
      </c>
      <c r="H1360" s="967" t="s">
        <v>745</v>
      </c>
    </row>
    <row r="1361" spans="1:12" hidden="1" x14ac:dyDescent="0.3">
      <c r="A1361" s="851"/>
      <c r="B1361" s="846" t="s">
        <v>1192</v>
      </c>
      <c r="C1361" s="852"/>
      <c r="D1361" s="859" t="s">
        <v>745</v>
      </c>
      <c r="E1361" s="855" t="s">
        <v>745</v>
      </c>
      <c r="F1361" s="856" t="s">
        <v>745</v>
      </c>
      <c r="G1361" s="857" t="s">
        <v>745</v>
      </c>
      <c r="H1361" s="963" t="s">
        <v>745</v>
      </c>
    </row>
    <row r="1362" spans="1:12" hidden="1" x14ac:dyDescent="0.3">
      <c r="A1362" s="851"/>
      <c r="B1362" s="875"/>
      <c r="C1362" s="852" t="s">
        <v>992</v>
      </c>
      <c r="D1362" s="859">
        <v>1</v>
      </c>
      <c r="E1362" s="855" t="s">
        <v>33</v>
      </c>
      <c r="F1362" s="856">
        <v>80.900000000000006</v>
      </c>
      <c r="G1362" s="857">
        <f>D1362*F1362</f>
        <v>80.900000000000006</v>
      </c>
      <c r="H1362" s="968" t="s">
        <v>934</v>
      </c>
      <c r="J1362" s="821">
        <f>1.2*2.4</f>
        <v>2.88</v>
      </c>
      <c r="K1362" s="821">
        <v>233</v>
      </c>
      <c r="L1362" s="821">
        <f>K1362/J1362</f>
        <v>80.902777777777786</v>
      </c>
    </row>
    <row r="1363" spans="1:12" hidden="1" x14ac:dyDescent="0.3">
      <c r="A1363" s="851"/>
      <c r="B1363" s="875"/>
      <c r="C1363" s="852" t="s">
        <v>1172</v>
      </c>
      <c r="D1363" s="859">
        <v>0.48</v>
      </c>
      <c r="E1363" s="855" t="s">
        <v>396</v>
      </c>
      <c r="F1363" s="948">
        <v>546</v>
      </c>
      <c r="G1363" s="857">
        <f>D1363*F1363</f>
        <v>262.08</v>
      </c>
      <c r="H1363" s="850"/>
    </row>
    <row r="1364" spans="1:12" hidden="1" x14ac:dyDescent="0.3">
      <c r="A1364" s="851"/>
      <c r="B1364" s="875"/>
      <c r="C1364" s="852" t="s">
        <v>908</v>
      </c>
      <c r="D1364" s="859">
        <v>0.2</v>
      </c>
      <c r="E1364" s="855" t="s">
        <v>399</v>
      </c>
      <c r="F1364" s="965">
        <v>18.690000000000001</v>
      </c>
      <c r="G1364" s="857">
        <f>D1364*F1364</f>
        <v>3.7380000000000004</v>
      </c>
      <c r="H1364" s="850"/>
    </row>
    <row r="1365" spans="1:12" hidden="1" x14ac:dyDescent="0.3">
      <c r="A1365" s="923"/>
      <c r="B1365" s="971"/>
      <c r="C1365" s="852" t="s">
        <v>993</v>
      </c>
      <c r="D1365" s="859">
        <v>1</v>
      </c>
      <c r="E1365" s="855" t="s">
        <v>33</v>
      </c>
      <c r="F1365" s="965">
        <v>5</v>
      </c>
      <c r="G1365" s="857">
        <f>D1365*F1365</f>
        <v>5</v>
      </c>
      <c r="H1365" s="977"/>
    </row>
    <row r="1366" spans="1:12" hidden="1" x14ac:dyDescent="0.3">
      <c r="A1366" s="861"/>
      <c r="B1366" s="862"/>
      <c r="C1366" s="863" t="s">
        <v>1193</v>
      </c>
      <c r="D1366" s="864">
        <v>1</v>
      </c>
      <c r="E1366" s="865" t="s">
        <v>33</v>
      </c>
      <c r="F1366" s="866" t="s">
        <v>6</v>
      </c>
      <c r="G1366" s="911">
        <f>SUM(G1360:G1365)</f>
        <v>351.71800000000002</v>
      </c>
      <c r="H1366" s="912" t="s">
        <v>1394</v>
      </c>
    </row>
    <row r="1367" spans="1:12" hidden="1" x14ac:dyDescent="0.3">
      <c r="A1367" s="958">
        <v>12.24</v>
      </c>
      <c r="B1367" s="935" t="s">
        <v>1191</v>
      </c>
      <c r="C1367" s="853"/>
      <c r="D1367" s="938" t="s">
        <v>745</v>
      </c>
      <c r="E1367" s="939" t="s">
        <v>745</v>
      </c>
      <c r="F1367" s="948" t="s">
        <v>745</v>
      </c>
      <c r="G1367" s="966" t="s">
        <v>745</v>
      </c>
      <c r="H1367" s="967" t="s">
        <v>745</v>
      </c>
    </row>
    <row r="1368" spans="1:12" hidden="1" x14ac:dyDescent="0.3">
      <c r="A1368" s="851"/>
      <c r="B1368" s="846" t="s">
        <v>1194</v>
      </c>
      <c r="C1368" s="852"/>
      <c r="D1368" s="859" t="s">
        <v>745</v>
      </c>
      <c r="E1368" s="855" t="s">
        <v>745</v>
      </c>
      <c r="F1368" s="856" t="s">
        <v>745</v>
      </c>
      <c r="G1368" s="857" t="s">
        <v>745</v>
      </c>
      <c r="H1368" s="963" t="s">
        <v>745</v>
      </c>
    </row>
    <row r="1369" spans="1:12" hidden="1" x14ac:dyDescent="0.3">
      <c r="A1369" s="851"/>
      <c r="B1369" s="875"/>
      <c r="C1369" s="852" t="s">
        <v>992</v>
      </c>
      <c r="D1369" s="859">
        <v>1</v>
      </c>
      <c r="E1369" s="855" t="s">
        <v>33</v>
      </c>
      <c r="F1369" s="856">
        <v>79.33</v>
      </c>
      <c r="G1369" s="857">
        <f>D1369*F1369</f>
        <v>79.33</v>
      </c>
      <c r="H1369" s="968" t="s">
        <v>934</v>
      </c>
    </row>
    <row r="1370" spans="1:12" hidden="1" x14ac:dyDescent="0.3">
      <c r="A1370" s="851"/>
      <c r="B1370" s="875"/>
      <c r="C1370" s="852" t="s">
        <v>1175</v>
      </c>
      <c r="D1370" s="859">
        <v>0.48</v>
      </c>
      <c r="E1370" s="855" t="s">
        <v>396</v>
      </c>
      <c r="F1370" s="948">
        <v>830</v>
      </c>
      <c r="G1370" s="857">
        <f>D1370*F1370</f>
        <v>398.4</v>
      </c>
      <c r="H1370" s="850"/>
    </row>
    <row r="1371" spans="1:12" hidden="1" x14ac:dyDescent="0.3">
      <c r="A1371" s="851"/>
      <c r="B1371" s="875"/>
      <c r="C1371" s="852" t="s">
        <v>908</v>
      </c>
      <c r="D1371" s="859">
        <v>0.2</v>
      </c>
      <c r="E1371" s="855" t="s">
        <v>399</v>
      </c>
      <c r="F1371" s="965">
        <v>12.92</v>
      </c>
      <c r="G1371" s="857">
        <f>D1371*F1371</f>
        <v>2.5840000000000001</v>
      </c>
      <c r="H1371" s="850"/>
    </row>
    <row r="1372" spans="1:12" hidden="1" x14ac:dyDescent="0.3">
      <c r="A1372" s="923"/>
      <c r="B1372" s="971"/>
      <c r="C1372" s="852" t="s">
        <v>993</v>
      </c>
      <c r="D1372" s="859">
        <v>1</v>
      </c>
      <c r="E1372" s="855" t="s">
        <v>33</v>
      </c>
      <c r="F1372" s="965">
        <v>5</v>
      </c>
      <c r="G1372" s="857">
        <f>D1372*F1372</f>
        <v>5</v>
      </c>
      <c r="H1372" s="977"/>
    </row>
    <row r="1373" spans="1:12" hidden="1" x14ac:dyDescent="0.3">
      <c r="A1373" s="861"/>
      <c r="B1373" s="862"/>
      <c r="C1373" s="863" t="s">
        <v>1193</v>
      </c>
      <c r="D1373" s="864">
        <v>1</v>
      </c>
      <c r="E1373" s="865" t="s">
        <v>33</v>
      </c>
      <c r="F1373" s="866" t="s">
        <v>6</v>
      </c>
      <c r="G1373" s="911">
        <f>SUM(G1367:G1372)</f>
        <v>485.31399999999996</v>
      </c>
      <c r="H1373" s="912" t="s">
        <v>1395</v>
      </c>
    </row>
    <row r="1374" spans="1:12" hidden="1" x14ac:dyDescent="0.3">
      <c r="A1374" s="958">
        <v>12.25</v>
      </c>
      <c r="B1374" s="935" t="s">
        <v>1195</v>
      </c>
      <c r="C1374" s="853"/>
      <c r="D1374" s="938" t="s">
        <v>745</v>
      </c>
      <c r="E1374" s="939" t="s">
        <v>745</v>
      </c>
      <c r="F1374" s="948" t="s">
        <v>745</v>
      </c>
      <c r="G1374" s="966" t="s">
        <v>745</v>
      </c>
      <c r="H1374" s="967" t="s">
        <v>745</v>
      </c>
    </row>
    <row r="1375" spans="1:12" hidden="1" x14ac:dyDescent="0.3">
      <c r="A1375" s="851"/>
      <c r="B1375" s="846" t="s">
        <v>1192</v>
      </c>
      <c r="C1375" s="852"/>
      <c r="D1375" s="859" t="s">
        <v>745</v>
      </c>
      <c r="E1375" s="855" t="s">
        <v>745</v>
      </c>
      <c r="F1375" s="856" t="s">
        <v>745</v>
      </c>
      <c r="G1375" s="857" t="s">
        <v>745</v>
      </c>
      <c r="H1375" s="963" t="s">
        <v>745</v>
      </c>
    </row>
    <row r="1376" spans="1:12" hidden="1" x14ac:dyDescent="0.3">
      <c r="A1376" s="851"/>
      <c r="B1376" s="875"/>
      <c r="C1376" s="852" t="s">
        <v>997</v>
      </c>
      <c r="D1376" s="859">
        <v>1</v>
      </c>
      <c r="E1376" s="855" t="s">
        <v>33</v>
      </c>
      <c r="F1376" s="856">
        <v>83.33</v>
      </c>
      <c r="G1376" s="857">
        <f>D1376*F1376</f>
        <v>83.33</v>
      </c>
      <c r="H1376" s="968" t="s">
        <v>934</v>
      </c>
    </row>
    <row r="1377" spans="1:8" hidden="1" x14ac:dyDescent="0.3">
      <c r="A1377" s="851"/>
      <c r="B1377" s="875"/>
      <c r="C1377" s="852" t="s">
        <v>1172</v>
      </c>
      <c r="D1377" s="859">
        <v>0.48</v>
      </c>
      <c r="E1377" s="855" t="s">
        <v>396</v>
      </c>
      <c r="F1377" s="948">
        <v>388</v>
      </c>
      <c r="G1377" s="857">
        <f>D1377*F1377</f>
        <v>186.23999999999998</v>
      </c>
      <c r="H1377" s="850"/>
    </row>
    <row r="1378" spans="1:8" hidden="1" x14ac:dyDescent="0.3">
      <c r="A1378" s="851"/>
      <c r="B1378" s="875"/>
      <c r="C1378" s="852" t="s">
        <v>908</v>
      </c>
      <c r="D1378" s="859">
        <v>0.2</v>
      </c>
      <c r="E1378" s="855" t="s">
        <v>399</v>
      </c>
      <c r="F1378" s="965">
        <v>12.92</v>
      </c>
      <c r="G1378" s="857">
        <f>D1378*F1378</f>
        <v>2.5840000000000001</v>
      </c>
      <c r="H1378" s="850"/>
    </row>
    <row r="1379" spans="1:8" hidden="1" x14ac:dyDescent="0.3">
      <c r="A1379" s="923"/>
      <c r="B1379" s="971"/>
      <c r="C1379" s="852" t="s">
        <v>993</v>
      </c>
      <c r="D1379" s="859">
        <v>1</v>
      </c>
      <c r="E1379" s="855" t="s">
        <v>33</v>
      </c>
      <c r="F1379" s="965">
        <v>5</v>
      </c>
      <c r="G1379" s="857">
        <f>D1379*F1379</f>
        <v>5</v>
      </c>
      <c r="H1379" s="977"/>
    </row>
    <row r="1380" spans="1:8" ht="19.5" hidden="1" thickBot="1" x14ac:dyDescent="0.35">
      <c r="A1380" s="879"/>
      <c r="B1380" s="880"/>
      <c r="C1380" s="881" t="s">
        <v>1196</v>
      </c>
      <c r="D1380" s="882">
        <v>1</v>
      </c>
      <c r="E1380" s="915" t="s">
        <v>33</v>
      </c>
      <c r="F1380" s="916" t="s">
        <v>6</v>
      </c>
      <c r="G1380" s="917">
        <f>SUM(G1374:G1379)</f>
        <v>277.154</v>
      </c>
      <c r="H1380" s="885" t="s">
        <v>1394</v>
      </c>
    </row>
    <row r="1381" spans="1:8" hidden="1" x14ac:dyDescent="0.3">
      <c r="D1381" s="886"/>
      <c r="E1381" s="918"/>
      <c r="F1381" s="919"/>
      <c r="G1381" s="888" t="str">
        <f>$G$37</f>
        <v xml:space="preserve"> เมษายน 2549</v>
      </c>
      <c r="H1381" s="888"/>
    </row>
    <row r="1382" spans="1:8" ht="19.5" hidden="1" x14ac:dyDescent="0.3">
      <c r="A1382" s="820" t="s">
        <v>1197</v>
      </c>
      <c r="B1382" s="820"/>
      <c r="C1382" s="820"/>
      <c r="D1382" s="820"/>
      <c r="E1382" s="820"/>
      <c r="F1382" s="820"/>
      <c r="G1382" s="820"/>
      <c r="H1382" s="820"/>
    </row>
    <row r="1383" spans="1:8" ht="20.25" hidden="1" thickBot="1" x14ac:dyDescent="0.35">
      <c r="A1383" s="889" t="s">
        <v>758</v>
      </c>
      <c r="B1383" s="889"/>
      <c r="C1383" s="889"/>
      <c r="D1383" s="889"/>
      <c r="E1383" s="889"/>
      <c r="F1383" s="889"/>
      <c r="G1383" s="889"/>
      <c r="H1383" s="889"/>
    </row>
    <row r="1384" spans="1:8" hidden="1" x14ac:dyDescent="0.3">
      <c r="A1384" s="823" t="s">
        <v>424</v>
      </c>
      <c r="B1384" s="824" t="s">
        <v>1</v>
      </c>
      <c r="C1384" s="825"/>
      <c r="D1384" s="826" t="s">
        <v>24</v>
      </c>
      <c r="E1384" s="826" t="s">
        <v>25</v>
      </c>
      <c r="F1384" s="827" t="s">
        <v>390</v>
      </c>
      <c r="G1384" s="828" t="s">
        <v>743</v>
      </c>
      <c r="H1384" s="829" t="s">
        <v>20</v>
      </c>
    </row>
    <row r="1385" spans="1:8" hidden="1" x14ac:dyDescent="0.3">
      <c r="A1385" s="830"/>
      <c r="B1385" s="831"/>
      <c r="C1385" s="832"/>
      <c r="D1385" s="833"/>
      <c r="E1385" s="833"/>
      <c r="F1385" s="834" t="s">
        <v>31</v>
      </c>
      <c r="G1385" s="835" t="s">
        <v>31</v>
      </c>
      <c r="H1385" s="836"/>
    </row>
    <row r="1386" spans="1:8" hidden="1" x14ac:dyDescent="0.3">
      <c r="A1386" s="958">
        <v>12.26</v>
      </c>
      <c r="B1386" s="935" t="s">
        <v>1195</v>
      </c>
      <c r="C1386" s="853"/>
      <c r="D1386" s="938" t="s">
        <v>745</v>
      </c>
      <c r="E1386" s="939" t="s">
        <v>745</v>
      </c>
      <c r="F1386" s="948" t="s">
        <v>745</v>
      </c>
      <c r="G1386" s="966" t="s">
        <v>745</v>
      </c>
      <c r="H1386" s="967" t="s">
        <v>745</v>
      </c>
    </row>
    <row r="1387" spans="1:8" hidden="1" x14ac:dyDescent="0.3">
      <c r="A1387" s="851"/>
      <c r="B1387" s="846" t="s">
        <v>1194</v>
      </c>
      <c r="C1387" s="852"/>
      <c r="D1387" s="859" t="s">
        <v>745</v>
      </c>
      <c r="E1387" s="855" t="s">
        <v>745</v>
      </c>
      <c r="F1387" s="856" t="s">
        <v>745</v>
      </c>
      <c r="G1387" s="857" t="s">
        <v>745</v>
      </c>
      <c r="H1387" s="963" t="s">
        <v>745</v>
      </c>
    </row>
    <row r="1388" spans="1:8" hidden="1" x14ac:dyDescent="0.3">
      <c r="A1388" s="851"/>
      <c r="B1388" s="875"/>
      <c r="C1388" s="852" t="s">
        <v>1198</v>
      </c>
      <c r="D1388" s="859">
        <v>1</v>
      </c>
      <c r="E1388" s="855" t="s">
        <v>33</v>
      </c>
      <c r="F1388" s="856">
        <v>83.33</v>
      </c>
      <c r="G1388" s="857">
        <f>D1388*F1388</f>
        <v>83.33</v>
      </c>
      <c r="H1388" s="968" t="s">
        <v>934</v>
      </c>
    </row>
    <row r="1389" spans="1:8" hidden="1" x14ac:dyDescent="0.3">
      <c r="A1389" s="851"/>
      <c r="B1389" s="875"/>
      <c r="C1389" s="852" t="s">
        <v>1175</v>
      </c>
      <c r="D1389" s="859">
        <v>0.48</v>
      </c>
      <c r="E1389" s="855" t="s">
        <v>396</v>
      </c>
      <c r="F1389" s="948">
        <v>830</v>
      </c>
      <c r="G1389" s="857">
        <f>D1389*F1389</f>
        <v>398.4</v>
      </c>
      <c r="H1389" s="850"/>
    </row>
    <row r="1390" spans="1:8" hidden="1" x14ac:dyDescent="0.3">
      <c r="A1390" s="851"/>
      <c r="B1390" s="875"/>
      <c r="C1390" s="852" t="s">
        <v>908</v>
      </c>
      <c r="D1390" s="859">
        <v>0.2</v>
      </c>
      <c r="E1390" s="855" t="s">
        <v>399</v>
      </c>
      <c r="F1390" s="965">
        <v>12.92</v>
      </c>
      <c r="G1390" s="857">
        <f>D1390*F1390</f>
        <v>2.5840000000000001</v>
      </c>
      <c r="H1390" s="850"/>
    </row>
    <row r="1391" spans="1:8" hidden="1" x14ac:dyDescent="0.3">
      <c r="A1391" s="923"/>
      <c r="B1391" s="971"/>
      <c r="C1391" s="852" t="s">
        <v>993</v>
      </c>
      <c r="D1391" s="859">
        <v>1</v>
      </c>
      <c r="E1391" s="855" t="s">
        <v>33</v>
      </c>
      <c r="F1391" s="965">
        <v>5</v>
      </c>
      <c r="G1391" s="857">
        <f>D1391*F1391</f>
        <v>5</v>
      </c>
      <c r="H1391" s="977"/>
    </row>
    <row r="1392" spans="1:8" hidden="1" x14ac:dyDescent="0.3">
      <c r="A1392" s="861"/>
      <c r="B1392" s="862"/>
      <c r="C1392" s="863" t="s">
        <v>1196</v>
      </c>
      <c r="D1392" s="864">
        <v>1</v>
      </c>
      <c r="E1392" s="865" t="s">
        <v>33</v>
      </c>
      <c r="F1392" s="866" t="s">
        <v>6</v>
      </c>
      <c r="G1392" s="911">
        <f>SUM(G1386:G1391)</f>
        <v>489.31399999999996</v>
      </c>
      <c r="H1392" s="912" t="s">
        <v>1395</v>
      </c>
    </row>
    <row r="1393" spans="1:8" hidden="1" x14ac:dyDescent="0.3">
      <c r="A1393" s="958">
        <v>12.27</v>
      </c>
      <c r="B1393" s="935" t="s">
        <v>1191</v>
      </c>
      <c r="C1393" s="853"/>
      <c r="D1393" s="938" t="s">
        <v>745</v>
      </c>
      <c r="E1393" s="939" t="s">
        <v>745</v>
      </c>
      <c r="F1393" s="948" t="s">
        <v>745</v>
      </c>
      <c r="G1393" s="966" t="s">
        <v>745</v>
      </c>
      <c r="H1393" s="967" t="s">
        <v>745</v>
      </c>
    </row>
    <row r="1394" spans="1:8" hidden="1" x14ac:dyDescent="0.3">
      <c r="A1394" s="851"/>
      <c r="B1394" s="846" t="s">
        <v>1199</v>
      </c>
      <c r="C1394" s="852"/>
      <c r="D1394" s="859" t="s">
        <v>745</v>
      </c>
      <c r="E1394" s="855" t="s">
        <v>745</v>
      </c>
      <c r="F1394" s="856" t="s">
        <v>745</v>
      </c>
      <c r="G1394" s="857" t="s">
        <v>745</v>
      </c>
      <c r="H1394" s="963" t="s">
        <v>745</v>
      </c>
    </row>
    <row r="1395" spans="1:8" hidden="1" x14ac:dyDescent="0.3">
      <c r="A1395" s="851"/>
      <c r="B1395" s="875"/>
      <c r="C1395" s="852" t="s">
        <v>1200</v>
      </c>
      <c r="D1395" s="859">
        <v>1</v>
      </c>
      <c r="E1395" s="855" t="s">
        <v>33</v>
      </c>
      <c r="F1395" s="856">
        <v>102.33</v>
      </c>
      <c r="G1395" s="857">
        <f>D1395*F1395</f>
        <v>102.33</v>
      </c>
      <c r="H1395" s="968" t="s">
        <v>934</v>
      </c>
    </row>
    <row r="1396" spans="1:8" hidden="1" x14ac:dyDescent="0.3">
      <c r="A1396" s="851"/>
      <c r="B1396" s="875"/>
      <c r="C1396" s="852" t="s">
        <v>1172</v>
      </c>
      <c r="D1396" s="859">
        <v>0.48</v>
      </c>
      <c r="E1396" s="855" t="s">
        <v>396</v>
      </c>
      <c r="F1396" s="948">
        <v>388</v>
      </c>
      <c r="G1396" s="857">
        <f>D1396*F1396</f>
        <v>186.23999999999998</v>
      </c>
      <c r="H1396" s="850"/>
    </row>
    <row r="1397" spans="1:8" hidden="1" x14ac:dyDescent="0.3">
      <c r="A1397" s="851"/>
      <c r="B1397" s="875"/>
      <c r="C1397" s="852" t="s">
        <v>908</v>
      </c>
      <c r="D1397" s="859">
        <v>0.2</v>
      </c>
      <c r="E1397" s="855" t="s">
        <v>399</v>
      </c>
      <c r="F1397" s="965">
        <v>12.92</v>
      </c>
      <c r="G1397" s="857">
        <f>D1397*F1397</f>
        <v>2.5840000000000001</v>
      </c>
      <c r="H1397" s="850"/>
    </row>
    <row r="1398" spans="1:8" hidden="1" x14ac:dyDescent="0.3">
      <c r="A1398" s="923"/>
      <c r="B1398" s="971"/>
      <c r="C1398" s="852" t="s">
        <v>993</v>
      </c>
      <c r="D1398" s="859">
        <v>1</v>
      </c>
      <c r="E1398" s="855" t="s">
        <v>33</v>
      </c>
      <c r="F1398" s="965">
        <v>5</v>
      </c>
      <c r="G1398" s="857">
        <f>D1398*F1398</f>
        <v>5</v>
      </c>
      <c r="H1398" s="977"/>
    </row>
    <row r="1399" spans="1:8" hidden="1" x14ac:dyDescent="0.3">
      <c r="A1399" s="861"/>
      <c r="B1399" s="862"/>
      <c r="C1399" s="863" t="s">
        <v>1396</v>
      </c>
      <c r="D1399" s="864">
        <v>1</v>
      </c>
      <c r="E1399" s="865" t="s">
        <v>33</v>
      </c>
      <c r="F1399" s="866" t="s">
        <v>6</v>
      </c>
      <c r="G1399" s="911">
        <f>SUM(G1393:G1398)</f>
        <v>296.154</v>
      </c>
      <c r="H1399" s="912" t="s">
        <v>1394</v>
      </c>
    </row>
    <row r="1400" spans="1:8" hidden="1" x14ac:dyDescent="0.3">
      <c r="A1400" s="958">
        <v>12.28</v>
      </c>
      <c r="B1400" s="935" t="s">
        <v>1191</v>
      </c>
      <c r="C1400" s="853"/>
      <c r="D1400" s="938" t="s">
        <v>745</v>
      </c>
      <c r="E1400" s="939" t="s">
        <v>745</v>
      </c>
      <c r="F1400" s="948" t="s">
        <v>745</v>
      </c>
      <c r="G1400" s="966" t="s">
        <v>745</v>
      </c>
      <c r="H1400" s="967" t="s">
        <v>745</v>
      </c>
    </row>
    <row r="1401" spans="1:8" hidden="1" x14ac:dyDescent="0.3">
      <c r="A1401" s="851"/>
      <c r="B1401" s="846" t="s">
        <v>1201</v>
      </c>
      <c r="C1401" s="852"/>
      <c r="D1401" s="859" t="s">
        <v>745</v>
      </c>
      <c r="E1401" s="855" t="s">
        <v>745</v>
      </c>
      <c r="F1401" s="856" t="s">
        <v>745</v>
      </c>
      <c r="G1401" s="857" t="s">
        <v>745</v>
      </c>
      <c r="H1401" s="963" t="s">
        <v>745</v>
      </c>
    </row>
    <row r="1402" spans="1:8" hidden="1" x14ac:dyDescent="0.3">
      <c r="A1402" s="851"/>
      <c r="B1402" s="875"/>
      <c r="C1402" s="852" t="s">
        <v>1200</v>
      </c>
      <c r="D1402" s="859">
        <v>1</v>
      </c>
      <c r="E1402" s="855" t="s">
        <v>33</v>
      </c>
      <c r="F1402" s="856">
        <v>102.33</v>
      </c>
      <c r="G1402" s="857">
        <f>D1402*F1402</f>
        <v>102.33</v>
      </c>
      <c r="H1402" s="968" t="s">
        <v>934</v>
      </c>
    </row>
    <row r="1403" spans="1:8" hidden="1" x14ac:dyDescent="0.3">
      <c r="A1403" s="851"/>
      <c r="B1403" s="875"/>
      <c r="C1403" s="852" t="s">
        <v>1175</v>
      </c>
      <c r="D1403" s="859">
        <v>0.48</v>
      </c>
      <c r="E1403" s="855" t="s">
        <v>396</v>
      </c>
      <c r="F1403" s="948">
        <v>830</v>
      </c>
      <c r="G1403" s="857">
        <f>D1403*F1403</f>
        <v>398.4</v>
      </c>
      <c r="H1403" s="850"/>
    </row>
    <row r="1404" spans="1:8" hidden="1" x14ac:dyDescent="0.3">
      <c r="A1404" s="851"/>
      <c r="B1404" s="875"/>
      <c r="C1404" s="852" t="s">
        <v>908</v>
      </c>
      <c r="D1404" s="859">
        <v>0.2</v>
      </c>
      <c r="E1404" s="855" t="s">
        <v>399</v>
      </c>
      <c r="F1404" s="965">
        <v>12.92</v>
      </c>
      <c r="G1404" s="857">
        <f>D1404*F1404</f>
        <v>2.5840000000000001</v>
      </c>
      <c r="H1404" s="850"/>
    </row>
    <row r="1405" spans="1:8" hidden="1" x14ac:dyDescent="0.3">
      <c r="A1405" s="923"/>
      <c r="B1405" s="971"/>
      <c r="C1405" s="852" t="s">
        <v>993</v>
      </c>
      <c r="D1405" s="859">
        <v>1</v>
      </c>
      <c r="E1405" s="855" t="s">
        <v>33</v>
      </c>
      <c r="F1405" s="965">
        <v>5</v>
      </c>
      <c r="G1405" s="857">
        <f>D1405*F1405</f>
        <v>5</v>
      </c>
      <c r="H1405" s="977"/>
    </row>
    <row r="1406" spans="1:8" hidden="1" x14ac:dyDescent="0.3">
      <c r="A1406" s="861"/>
      <c r="B1406" s="862"/>
      <c r="C1406" s="863" t="s">
        <v>1396</v>
      </c>
      <c r="D1406" s="864">
        <v>1</v>
      </c>
      <c r="E1406" s="865" t="s">
        <v>33</v>
      </c>
      <c r="F1406" s="866" t="s">
        <v>6</v>
      </c>
      <c r="G1406" s="911">
        <f>SUM(G1400:G1405)</f>
        <v>508.31399999999996</v>
      </c>
      <c r="H1406" s="912" t="s">
        <v>1395</v>
      </c>
    </row>
    <row r="1407" spans="1:8" hidden="1" x14ac:dyDescent="0.3">
      <c r="A1407" s="958">
        <v>12.29</v>
      </c>
      <c r="B1407" s="935" t="s">
        <v>1195</v>
      </c>
      <c r="C1407" s="853"/>
      <c r="D1407" s="938" t="s">
        <v>745</v>
      </c>
      <c r="E1407" s="939" t="s">
        <v>745</v>
      </c>
      <c r="F1407" s="948" t="s">
        <v>745</v>
      </c>
      <c r="G1407" s="966" t="s">
        <v>745</v>
      </c>
      <c r="H1407" s="967" t="s">
        <v>745</v>
      </c>
    </row>
    <row r="1408" spans="1:8" hidden="1" x14ac:dyDescent="0.3">
      <c r="A1408" s="851"/>
      <c r="B1408" s="846" t="s">
        <v>1199</v>
      </c>
      <c r="C1408" s="852"/>
      <c r="D1408" s="859" t="s">
        <v>745</v>
      </c>
      <c r="E1408" s="855" t="s">
        <v>745</v>
      </c>
      <c r="F1408" s="856" t="s">
        <v>745</v>
      </c>
      <c r="G1408" s="857" t="s">
        <v>745</v>
      </c>
      <c r="H1408" s="963" t="s">
        <v>745</v>
      </c>
    </row>
    <row r="1409" spans="1:8" hidden="1" x14ac:dyDescent="0.3">
      <c r="A1409" s="851"/>
      <c r="B1409" s="875"/>
      <c r="C1409" s="852" t="s">
        <v>1202</v>
      </c>
      <c r="D1409" s="859">
        <v>1</v>
      </c>
      <c r="E1409" s="855" t="s">
        <v>33</v>
      </c>
      <c r="F1409" s="856">
        <v>114.67</v>
      </c>
      <c r="G1409" s="857">
        <f>D1409*F1409</f>
        <v>114.67</v>
      </c>
      <c r="H1409" s="968" t="s">
        <v>934</v>
      </c>
    </row>
    <row r="1410" spans="1:8" hidden="1" x14ac:dyDescent="0.3">
      <c r="A1410" s="851"/>
      <c r="B1410" s="875"/>
      <c r="C1410" s="852" t="s">
        <v>1172</v>
      </c>
      <c r="D1410" s="859">
        <v>0.48</v>
      </c>
      <c r="E1410" s="855" t="s">
        <v>396</v>
      </c>
      <c r="F1410" s="948">
        <v>388</v>
      </c>
      <c r="G1410" s="857">
        <f>D1410*F1410</f>
        <v>186.23999999999998</v>
      </c>
      <c r="H1410" s="850"/>
    </row>
    <row r="1411" spans="1:8" hidden="1" x14ac:dyDescent="0.3">
      <c r="A1411" s="851"/>
      <c r="B1411" s="875"/>
      <c r="C1411" s="852" t="s">
        <v>908</v>
      </c>
      <c r="D1411" s="859">
        <v>0.2</v>
      </c>
      <c r="E1411" s="855" t="s">
        <v>399</v>
      </c>
      <c r="F1411" s="965">
        <v>12.92</v>
      </c>
      <c r="G1411" s="857">
        <f>D1411*F1411</f>
        <v>2.5840000000000001</v>
      </c>
      <c r="H1411" s="850"/>
    </row>
    <row r="1412" spans="1:8" hidden="1" x14ac:dyDescent="0.3">
      <c r="A1412" s="923"/>
      <c r="B1412" s="971"/>
      <c r="C1412" s="852" t="s">
        <v>993</v>
      </c>
      <c r="D1412" s="859">
        <v>1</v>
      </c>
      <c r="E1412" s="855" t="s">
        <v>33</v>
      </c>
      <c r="F1412" s="965">
        <v>5</v>
      </c>
      <c r="G1412" s="857">
        <f>D1412*F1412</f>
        <v>5</v>
      </c>
      <c r="H1412" s="977"/>
    </row>
    <row r="1413" spans="1:8" hidden="1" x14ac:dyDescent="0.3">
      <c r="A1413" s="861"/>
      <c r="B1413" s="862"/>
      <c r="C1413" s="863" t="s">
        <v>1397</v>
      </c>
      <c r="D1413" s="864">
        <v>1</v>
      </c>
      <c r="E1413" s="865" t="s">
        <v>33</v>
      </c>
      <c r="F1413" s="866" t="s">
        <v>6</v>
      </c>
      <c r="G1413" s="911">
        <f>SUM(G1407:G1412)</f>
        <v>308.49399999999997</v>
      </c>
      <c r="H1413" s="912" t="s">
        <v>1394</v>
      </c>
    </row>
    <row r="1414" spans="1:8" hidden="1" x14ac:dyDescent="0.3">
      <c r="A1414" s="958">
        <v>12.3</v>
      </c>
      <c r="B1414" s="935" t="s">
        <v>1195</v>
      </c>
      <c r="C1414" s="853"/>
      <c r="D1414" s="938" t="s">
        <v>745</v>
      </c>
      <c r="E1414" s="939" t="s">
        <v>745</v>
      </c>
      <c r="F1414" s="948" t="s">
        <v>745</v>
      </c>
      <c r="G1414" s="966" t="s">
        <v>745</v>
      </c>
      <c r="H1414" s="967" t="s">
        <v>745</v>
      </c>
    </row>
    <row r="1415" spans="1:8" hidden="1" x14ac:dyDescent="0.3">
      <c r="A1415" s="851"/>
      <c r="B1415" s="846" t="s">
        <v>1201</v>
      </c>
      <c r="C1415" s="852"/>
      <c r="D1415" s="859" t="s">
        <v>745</v>
      </c>
      <c r="E1415" s="855" t="s">
        <v>745</v>
      </c>
      <c r="F1415" s="856" t="s">
        <v>745</v>
      </c>
      <c r="G1415" s="857" t="s">
        <v>745</v>
      </c>
      <c r="H1415" s="963" t="s">
        <v>745</v>
      </c>
    </row>
    <row r="1416" spans="1:8" hidden="1" x14ac:dyDescent="0.3">
      <c r="A1416" s="851"/>
      <c r="B1416" s="875"/>
      <c r="C1416" s="852" t="s">
        <v>1202</v>
      </c>
      <c r="D1416" s="859">
        <v>1</v>
      </c>
      <c r="E1416" s="855" t="s">
        <v>33</v>
      </c>
      <c r="F1416" s="856">
        <v>114.67</v>
      </c>
      <c r="G1416" s="857">
        <f>D1416*F1416</f>
        <v>114.67</v>
      </c>
      <c r="H1416" s="968" t="s">
        <v>934</v>
      </c>
    </row>
    <row r="1417" spans="1:8" hidden="1" x14ac:dyDescent="0.3">
      <c r="A1417" s="851"/>
      <c r="B1417" s="875"/>
      <c r="C1417" s="852" t="s">
        <v>1175</v>
      </c>
      <c r="D1417" s="859">
        <v>0.48</v>
      </c>
      <c r="E1417" s="855" t="s">
        <v>396</v>
      </c>
      <c r="F1417" s="948">
        <v>830</v>
      </c>
      <c r="G1417" s="857">
        <f>D1417*F1417</f>
        <v>398.4</v>
      </c>
      <c r="H1417" s="850"/>
    </row>
    <row r="1418" spans="1:8" hidden="1" x14ac:dyDescent="0.3">
      <c r="A1418" s="851"/>
      <c r="B1418" s="875"/>
      <c r="C1418" s="852" t="s">
        <v>908</v>
      </c>
      <c r="D1418" s="859">
        <v>0.2</v>
      </c>
      <c r="E1418" s="855" t="s">
        <v>399</v>
      </c>
      <c r="F1418" s="965">
        <v>12.92</v>
      </c>
      <c r="G1418" s="857">
        <f>D1418*F1418</f>
        <v>2.5840000000000001</v>
      </c>
      <c r="H1418" s="850"/>
    </row>
    <row r="1419" spans="1:8" hidden="1" x14ac:dyDescent="0.3">
      <c r="A1419" s="923"/>
      <c r="B1419" s="971"/>
      <c r="C1419" s="852" t="s">
        <v>993</v>
      </c>
      <c r="D1419" s="859">
        <v>1</v>
      </c>
      <c r="E1419" s="855" t="s">
        <v>33</v>
      </c>
      <c r="F1419" s="965">
        <v>5</v>
      </c>
      <c r="G1419" s="857">
        <f>D1419*F1419</f>
        <v>5</v>
      </c>
      <c r="H1419" s="977"/>
    </row>
    <row r="1420" spans="1:8" ht="19.5" hidden="1" thickBot="1" x14ac:dyDescent="0.35">
      <c r="A1420" s="879"/>
      <c r="B1420" s="880"/>
      <c r="C1420" s="993" t="s">
        <v>1203</v>
      </c>
      <c r="D1420" s="882">
        <v>1</v>
      </c>
      <c r="E1420" s="915" t="s">
        <v>33</v>
      </c>
      <c r="F1420" s="916" t="s">
        <v>6</v>
      </c>
      <c r="G1420" s="917">
        <f>SUM(G1414:G1419)</f>
        <v>520.65399999999988</v>
      </c>
      <c r="H1420" s="885" t="s">
        <v>1395</v>
      </c>
    </row>
    <row r="1421" spans="1:8" hidden="1" x14ac:dyDescent="0.3">
      <c r="C1421" s="994"/>
      <c r="D1421" s="886"/>
      <c r="E1421" s="918"/>
      <c r="F1421" s="919"/>
      <c r="G1421" s="888" t="str">
        <f>$G$37</f>
        <v xml:space="preserve"> เมษายน 2549</v>
      </c>
      <c r="H1421" s="888"/>
    </row>
    <row r="1422" spans="1:8" ht="19.5" hidden="1" x14ac:dyDescent="0.3">
      <c r="A1422" s="820" t="s">
        <v>1204</v>
      </c>
      <c r="B1422" s="820"/>
      <c r="C1422" s="820"/>
      <c r="D1422" s="820"/>
      <c r="E1422" s="820"/>
      <c r="F1422" s="820"/>
      <c r="G1422" s="820"/>
      <c r="H1422" s="820"/>
    </row>
    <row r="1423" spans="1:8" ht="20.25" hidden="1" thickBot="1" x14ac:dyDescent="0.35">
      <c r="A1423" s="889" t="s">
        <v>758</v>
      </c>
      <c r="B1423" s="889"/>
      <c r="C1423" s="889"/>
      <c r="D1423" s="889"/>
      <c r="E1423" s="889"/>
      <c r="F1423" s="889"/>
      <c r="G1423" s="889"/>
      <c r="H1423" s="889"/>
    </row>
    <row r="1424" spans="1:8" hidden="1" x14ac:dyDescent="0.3">
      <c r="A1424" s="823" t="s">
        <v>424</v>
      </c>
      <c r="B1424" s="824" t="s">
        <v>1</v>
      </c>
      <c r="C1424" s="825"/>
      <c r="D1424" s="826" t="s">
        <v>24</v>
      </c>
      <c r="E1424" s="826" t="s">
        <v>25</v>
      </c>
      <c r="F1424" s="827" t="s">
        <v>390</v>
      </c>
      <c r="G1424" s="828" t="s">
        <v>743</v>
      </c>
      <c r="H1424" s="829" t="s">
        <v>20</v>
      </c>
    </row>
    <row r="1425" spans="1:8" hidden="1" x14ac:dyDescent="0.3">
      <c r="A1425" s="830"/>
      <c r="B1425" s="831"/>
      <c r="C1425" s="832"/>
      <c r="D1425" s="833"/>
      <c r="E1425" s="833"/>
      <c r="F1425" s="834" t="s">
        <v>31</v>
      </c>
      <c r="G1425" s="835" t="s">
        <v>31</v>
      </c>
      <c r="H1425" s="836"/>
    </row>
    <row r="1426" spans="1:8" hidden="1" x14ac:dyDescent="0.3">
      <c r="A1426" s="958">
        <v>12.31</v>
      </c>
      <c r="B1426" s="935" t="s">
        <v>1191</v>
      </c>
      <c r="C1426" s="853"/>
      <c r="D1426" s="938" t="s">
        <v>745</v>
      </c>
      <c r="E1426" s="939" t="s">
        <v>745</v>
      </c>
      <c r="F1426" s="948" t="s">
        <v>745</v>
      </c>
      <c r="G1426" s="966" t="s">
        <v>745</v>
      </c>
      <c r="H1426" s="967" t="s">
        <v>745</v>
      </c>
    </row>
    <row r="1427" spans="1:8" hidden="1" x14ac:dyDescent="0.3">
      <c r="A1427" s="851"/>
      <c r="B1427" s="846" t="s">
        <v>1205</v>
      </c>
      <c r="C1427" s="852"/>
      <c r="D1427" s="859" t="s">
        <v>745</v>
      </c>
      <c r="E1427" s="855" t="s">
        <v>745</v>
      </c>
      <c r="F1427" s="856" t="s">
        <v>745</v>
      </c>
      <c r="G1427" s="857" t="s">
        <v>745</v>
      </c>
      <c r="H1427" s="963" t="s">
        <v>745</v>
      </c>
    </row>
    <row r="1428" spans="1:8" hidden="1" x14ac:dyDescent="0.3">
      <c r="A1428" s="851"/>
      <c r="B1428" s="875"/>
      <c r="C1428" s="852" t="s">
        <v>1206</v>
      </c>
      <c r="D1428" s="859">
        <v>1</v>
      </c>
      <c r="E1428" s="855" t="s">
        <v>33</v>
      </c>
      <c r="F1428" s="856">
        <v>103.42</v>
      </c>
      <c r="G1428" s="857">
        <f>D1428*F1428</f>
        <v>103.42</v>
      </c>
      <c r="H1428" s="968" t="s">
        <v>934</v>
      </c>
    </row>
    <row r="1429" spans="1:8" hidden="1" x14ac:dyDescent="0.3">
      <c r="A1429" s="851"/>
      <c r="B1429" s="875"/>
      <c r="C1429" s="852" t="s">
        <v>1172</v>
      </c>
      <c r="D1429" s="859">
        <v>0.48</v>
      </c>
      <c r="E1429" s="855" t="s">
        <v>396</v>
      </c>
      <c r="F1429" s="948">
        <v>388</v>
      </c>
      <c r="G1429" s="857">
        <f>D1429*F1429</f>
        <v>186.23999999999998</v>
      </c>
      <c r="H1429" s="850"/>
    </row>
    <row r="1430" spans="1:8" hidden="1" x14ac:dyDescent="0.3">
      <c r="A1430" s="851"/>
      <c r="B1430" s="875"/>
      <c r="C1430" s="852" t="s">
        <v>908</v>
      </c>
      <c r="D1430" s="859">
        <v>0.2</v>
      </c>
      <c r="E1430" s="855" t="s">
        <v>399</v>
      </c>
      <c r="F1430" s="965">
        <v>12.92</v>
      </c>
      <c r="G1430" s="857">
        <f>D1430*F1430</f>
        <v>2.5840000000000001</v>
      </c>
      <c r="H1430" s="850"/>
    </row>
    <row r="1431" spans="1:8" hidden="1" x14ac:dyDescent="0.3">
      <c r="A1431" s="923"/>
      <c r="B1431" s="971"/>
      <c r="C1431" s="852" t="s">
        <v>993</v>
      </c>
      <c r="D1431" s="859">
        <v>1</v>
      </c>
      <c r="E1431" s="855" t="s">
        <v>33</v>
      </c>
      <c r="F1431" s="965">
        <v>5</v>
      </c>
      <c r="G1431" s="857">
        <f>D1431*F1431</f>
        <v>5</v>
      </c>
      <c r="H1431" s="977"/>
    </row>
    <row r="1432" spans="1:8" hidden="1" x14ac:dyDescent="0.3">
      <c r="A1432" s="861"/>
      <c r="B1432" s="862"/>
      <c r="C1432" s="863" t="s">
        <v>1398</v>
      </c>
      <c r="D1432" s="864">
        <v>1</v>
      </c>
      <c r="E1432" s="865" t="s">
        <v>33</v>
      </c>
      <c r="F1432" s="866" t="s">
        <v>6</v>
      </c>
      <c r="G1432" s="911">
        <f>SUM(G1426:G1431)</f>
        <v>297.24399999999997</v>
      </c>
      <c r="H1432" s="912" t="s">
        <v>1394</v>
      </c>
    </row>
    <row r="1433" spans="1:8" hidden="1" x14ac:dyDescent="0.3">
      <c r="A1433" s="958">
        <v>12.32</v>
      </c>
      <c r="B1433" s="935" t="s">
        <v>1207</v>
      </c>
      <c r="C1433" s="853"/>
      <c r="D1433" s="938" t="s">
        <v>745</v>
      </c>
      <c r="E1433" s="939" t="s">
        <v>745</v>
      </c>
      <c r="F1433" s="948" t="s">
        <v>745</v>
      </c>
      <c r="G1433" s="966" t="s">
        <v>745</v>
      </c>
      <c r="H1433" s="967" t="s">
        <v>745</v>
      </c>
    </row>
    <row r="1434" spans="1:8" hidden="1" x14ac:dyDescent="0.3">
      <c r="A1434" s="851"/>
      <c r="B1434" s="846" t="s">
        <v>1208</v>
      </c>
      <c r="C1434" s="852"/>
      <c r="D1434" s="859" t="s">
        <v>745</v>
      </c>
      <c r="E1434" s="855" t="s">
        <v>745</v>
      </c>
      <c r="F1434" s="856" t="s">
        <v>745</v>
      </c>
      <c r="G1434" s="857" t="s">
        <v>745</v>
      </c>
      <c r="H1434" s="963" t="s">
        <v>745</v>
      </c>
    </row>
    <row r="1435" spans="1:8" hidden="1" x14ac:dyDescent="0.3">
      <c r="A1435" s="851"/>
      <c r="B1435" s="875"/>
      <c r="C1435" s="852" t="s">
        <v>1206</v>
      </c>
      <c r="D1435" s="859">
        <v>1</v>
      </c>
      <c r="E1435" s="855" t="s">
        <v>33</v>
      </c>
      <c r="F1435" s="856">
        <v>103.42</v>
      </c>
      <c r="G1435" s="857">
        <f>D1435*F1435</f>
        <v>103.42</v>
      </c>
      <c r="H1435" s="968" t="s">
        <v>934</v>
      </c>
    </row>
    <row r="1436" spans="1:8" hidden="1" x14ac:dyDescent="0.3">
      <c r="A1436" s="851"/>
      <c r="B1436" s="875"/>
      <c r="C1436" s="852" t="s">
        <v>1175</v>
      </c>
      <c r="D1436" s="859">
        <v>0.48</v>
      </c>
      <c r="E1436" s="855" t="s">
        <v>396</v>
      </c>
      <c r="F1436" s="948">
        <v>830</v>
      </c>
      <c r="G1436" s="857">
        <f>D1436*F1436</f>
        <v>398.4</v>
      </c>
      <c r="H1436" s="850"/>
    </row>
    <row r="1437" spans="1:8" hidden="1" x14ac:dyDescent="0.3">
      <c r="A1437" s="851"/>
      <c r="B1437" s="875"/>
      <c r="C1437" s="852" t="s">
        <v>908</v>
      </c>
      <c r="D1437" s="859">
        <v>0.2</v>
      </c>
      <c r="E1437" s="855" t="s">
        <v>399</v>
      </c>
      <c r="F1437" s="965">
        <v>12.92</v>
      </c>
      <c r="G1437" s="857">
        <f>D1437*F1437</f>
        <v>2.5840000000000001</v>
      </c>
      <c r="H1437" s="850"/>
    </row>
    <row r="1438" spans="1:8" hidden="1" x14ac:dyDescent="0.3">
      <c r="A1438" s="923"/>
      <c r="B1438" s="971"/>
      <c r="C1438" s="852" t="s">
        <v>993</v>
      </c>
      <c r="D1438" s="859">
        <v>1</v>
      </c>
      <c r="E1438" s="855" t="s">
        <v>33</v>
      </c>
      <c r="F1438" s="965">
        <v>5</v>
      </c>
      <c r="G1438" s="857">
        <f>D1438*F1438</f>
        <v>5</v>
      </c>
      <c r="H1438" s="977"/>
    </row>
    <row r="1439" spans="1:8" hidden="1" x14ac:dyDescent="0.3">
      <c r="A1439" s="861"/>
      <c r="B1439" s="862"/>
      <c r="C1439" s="863" t="s">
        <v>1398</v>
      </c>
      <c r="D1439" s="864">
        <v>1</v>
      </c>
      <c r="E1439" s="865" t="s">
        <v>33</v>
      </c>
      <c r="F1439" s="866" t="s">
        <v>6</v>
      </c>
      <c r="G1439" s="911">
        <f>SUM(G1433:G1438)</f>
        <v>509.404</v>
      </c>
      <c r="H1439" s="912" t="s">
        <v>1395</v>
      </c>
    </row>
    <row r="1440" spans="1:8" hidden="1" x14ac:dyDescent="0.3">
      <c r="A1440" s="958">
        <v>12.33</v>
      </c>
      <c r="B1440" s="935" t="s">
        <v>1195</v>
      </c>
      <c r="C1440" s="853"/>
      <c r="D1440" s="938" t="s">
        <v>745</v>
      </c>
      <c r="E1440" s="939" t="s">
        <v>745</v>
      </c>
      <c r="F1440" s="948" t="s">
        <v>745</v>
      </c>
      <c r="G1440" s="966" t="s">
        <v>745</v>
      </c>
      <c r="H1440" s="967" t="s">
        <v>745</v>
      </c>
    </row>
    <row r="1441" spans="1:8" hidden="1" x14ac:dyDescent="0.3">
      <c r="A1441" s="851"/>
      <c r="B1441" s="846" t="s">
        <v>1205</v>
      </c>
      <c r="C1441" s="852"/>
      <c r="D1441" s="859" t="s">
        <v>745</v>
      </c>
      <c r="E1441" s="855" t="s">
        <v>745</v>
      </c>
      <c r="F1441" s="856" t="s">
        <v>745</v>
      </c>
      <c r="G1441" s="857" t="s">
        <v>745</v>
      </c>
      <c r="H1441" s="963" t="s">
        <v>745</v>
      </c>
    </row>
    <row r="1442" spans="1:8" hidden="1" x14ac:dyDescent="0.3">
      <c r="A1442" s="851"/>
      <c r="B1442" s="875"/>
      <c r="C1442" s="852" t="s">
        <v>1209</v>
      </c>
      <c r="D1442" s="859">
        <v>1</v>
      </c>
      <c r="E1442" s="855" t="s">
        <v>33</v>
      </c>
      <c r="F1442" s="856">
        <v>116.17</v>
      </c>
      <c r="G1442" s="857">
        <f>D1442*F1442</f>
        <v>116.17</v>
      </c>
      <c r="H1442" s="968" t="s">
        <v>934</v>
      </c>
    </row>
    <row r="1443" spans="1:8" hidden="1" x14ac:dyDescent="0.3">
      <c r="A1443" s="851"/>
      <c r="B1443" s="875"/>
      <c r="C1443" s="852" t="s">
        <v>1172</v>
      </c>
      <c r="D1443" s="859">
        <v>0.48</v>
      </c>
      <c r="E1443" s="855" t="s">
        <v>396</v>
      </c>
      <c r="F1443" s="948">
        <v>388</v>
      </c>
      <c r="G1443" s="857">
        <f>D1443*F1443</f>
        <v>186.23999999999998</v>
      </c>
      <c r="H1443" s="850"/>
    </row>
    <row r="1444" spans="1:8" hidden="1" x14ac:dyDescent="0.3">
      <c r="A1444" s="851"/>
      <c r="B1444" s="875"/>
      <c r="C1444" s="852" t="s">
        <v>908</v>
      </c>
      <c r="D1444" s="859">
        <v>0.2</v>
      </c>
      <c r="E1444" s="855" t="s">
        <v>399</v>
      </c>
      <c r="F1444" s="965">
        <v>12.92</v>
      </c>
      <c r="G1444" s="857">
        <f>D1444*F1444</f>
        <v>2.5840000000000001</v>
      </c>
      <c r="H1444" s="850"/>
    </row>
    <row r="1445" spans="1:8" hidden="1" x14ac:dyDescent="0.3">
      <c r="A1445" s="923"/>
      <c r="B1445" s="971"/>
      <c r="C1445" s="852" t="s">
        <v>993</v>
      </c>
      <c r="D1445" s="859">
        <v>1</v>
      </c>
      <c r="E1445" s="855" t="s">
        <v>33</v>
      </c>
      <c r="F1445" s="965">
        <v>5</v>
      </c>
      <c r="G1445" s="857">
        <f>D1445*F1445</f>
        <v>5</v>
      </c>
      <c r="H1445" s="977"/>
    </row>
    <row r="1446" spans="1:8" hidden="1" x14ac:dyDescent="0.3">
      <c r="A1446" s="861"/>
      <c r="B1446" s="862"/>
      <c r="C1446" s="863" t="s">
        <v>1399</v>
      </c>
      <c r="D1446" s="864">
        <v>1</v>
      </c>
      <c r="E1446" s="865" t="s">
        <v>33</v>
      </c>
      <c r="F1446" s="866" t="s">
        <v>6</v>
      </c>
      <c r="G1446" s="911">
        <f>SUM(G1440:G1445)</f>
        <v>309.99399999999997</v>
      </c>
      <c r="H1446" s="912" t="s">
        <v>1394</v>
      </c>
    </row>
    <row r="1447" spans="1:8" hidden="1" x14ac:dyDescent="0.3">
      <c r="A1447" s="958">
        <v>12.34</v>
      </c>
      <c r="B1447" s="935" t="s">
        <v>1195</v>
      </c>
      <c r="C1447" s="853"/>
      <c r="D1447" s="938" t="s">
        <v>745</v>
      </c>
      <c r="E1447" s="939" t="s">
        <v>745</v>
      </c>
      <c r="F1447" s="948" t="s">
        <v>745</v>
      </c>
      <c r="G1447" s="966" t="s">
        <v>745</v>
      </c>
      <c r="H1447" s="967" t="s">
        <v>745</v>
      </c>
    </row>
    <row r="1448" spans="1:8" hidden="1" x14ac:dyDescent="0.3">
      <c r="A1448" s="851"/>
      <c r="B1448" s="846" t="s">
        <v>1208</v>
      </c>
      <c r="C1448" s="852"/>
      <c r="D1448" s="859" t="s">
        <v>745</v>
      </c>
      <c r="E1448" s="855" t="s">
        <v>745</v>
      </c>
      <c r="F1448" s="856" t="s">
        <v>745</v>
      </c>
      <c r="G1448" s="857" t="s">
        <v>745</v>
      </c>
      <c r="H1448" s="963" t="s">
        <v>745</v>
      </c>
    </row>
    <row r="1449" spans="1:8" hidden="1" x14ac:dyDescent="0.3">
      <c r="A1449" s="851"/>
      <c r="B1449" s="875"/>
      <c r="C1449" s="852" t="s">
        <v>1209</v>
      </c>
      <c r="D1449" s="859">
        <v>1</v>
      </c>
      <c r="E1449" s="855" t="s">
        <v>33</v>
      </c>
      <c r="F1449" s="856">
        <v>116.17</v>
      </c>
      <c r="G1449" s="857">
        <f>D1449*F1449</f>
        <v>116.17</v>
      </c>
      <c r="H1449" s="968" t="s">
        <v>934</v>
      </c>
    </row>
    <row r="1450" spans="1:8" hidden="1" x14ac:dyDescent="0.3">
      <c r="A1450" s="851"/>
      <c r="B1450" s="875"/>
      <c r="C1450" s="852" t="s">
        <v>1175</v>
      </c>
      <c r="D1450" s="859">
        <v>0.48</v>
      </c>
      <c r="E1450" s="855" t="s">
        <v>396</v>
      </c>
      <c r="F1450" s="948">
        <v>830</v>
      </c>
      <c r="G1450" s="857">
        <f>D1450*F1450</f>
        <v>398.4</v>
      </c>
      <c r="H1450" s="850"/>
    </row>
    <row r="1451" spans="1:8" hidden="1" x14ac:dyDescent="0.3">
      <c r="A1451" s="851"/>
      <c r="B1451" s="875"/>
      <c r="C1451" s="852" t="s">
        <v>908</v>
      </c>
      <c r="D1451" s="859">
        <v>0.2</v>
      </c>
      <c r="E1451" s="855" t="s">
        <v>399</v>
      </c>
      <c r="F1451" s="965">
        <v>12.92</v>
      </c>
      <c r="G1451" s="857">
        <f>D1451*F1451</f>
        <v>2.5840000000000001</v>
      </c>
      <c r="H1451" s="850"/>
    </row>
    <row r="1452" spans="1:8" hidden="1" x14ac:dyDescent="0.3">
      <c r="A1452" s="923"/>
      <c r="B1452" s="971"/>
      <c r="C1452" s="852" t="s">
        <v>993</v>
      </c>
      <c r="D1452" s="859">
        <v>1</v>
      </c>
      <c r="E1452" s="855" t="s">
        <v>33</v>
      </c>
      <c r="F1452" s="965">
        <v>5</v>
      </c>
      <c r="G1452" s="857">
        <f>D1452*F1452</f>
        <v>5</v>
      </c>
      <c r="H1452" s="977"/>
    </row>
    <row r="1453" spans="1:8" hidden="1" x14ac:dyDescent="0.3">
      <c r="A1453" s="851"/>
      <c r="B1453" s="875"/>
      <c r="C1453" s="852" t="s">
        <v>1399</v>
      </c>
      <c r="D1453" s="854">
        <v>1</v>
      </c>
      <c r="E1453" s="855" t="s">
        <v>33</v>
      </c>
      <c r="F1453" s="876" t="s">
        <v>6</v>
      </c>
      <c r="G1453" s="945">
        <f>SUM(G1447:G1452)</f>
        <v>522.15399999999988</v>
      </c>
      <c r="H1453" s="850" t="s">
        <v>1395</v>
      </c>
    </row>
    <row r="1454" spans="1:8" hidden="1" x14ac:dyDescent="0.3">
      <c r="A1454" s="851"/>
      <c r="B1454" s="970"/>
      <c r="C1454" s="852"/>
      <c r="D1454" s="854"/>
      <c r="E1454" s="855"/>
      <c r="F1454" s="876"/>
      <c r="G1454" s="945"/>
      <c r="H1454" s="850"/>
    </row>
    <row r="1455" spans="1:8" hidden="1" x14ac:dyDescent="0.3">
      <c r="A1455" s="851"/>
      <c r="B1455" s="970"/>
      <c r="C1455" s="852"/>
      <c r="D1455" s="854"/>
      <c r="E1455" s="855"/>
      <c r="F1455" s="876"/>
      <c r="G1455" s="945"/>
      <c r="H1455" s="850"/>
    </row>
    <row r="1456" spans="1:8" hidden="1" x14ac:dyDescent="0.3">
      <c r="A1456" s="851"/>
      <c r="B1456" s="970"/>
      <c r="C1456" s="852"/>
      <c r="D1456" s="854"/>
      <c r="E1456" s="855"/>
      <c r="F1456" s="876"/>
      <c r="G1456" s="945"/>
      <c r="H1456" s="850"/>
    </row>
    <row r="1457" spans="1:8" ht="19.5" hidden="1" thickBot="1" x14ac:dyDescent="0.35">
      <c r="A1457" s="879"/>
      <c r="B1457" s="946"/>
      <c r="C1457" s="881"/>
      <c r="D1457" s="882"/>
      <c r="E1457" s="915"/>
      <c r="F1457" s="916"/>
      <c r="G1457" s="917"/>
      <c r="H1457" s="885"/>
    </row>
    <row r="1458" spans="1:8" hidden="1" x14ac:dyDescent="0.3">
      <c r="D1458" s="886"/>
      <c r="E1458" s="918"/>
      <c r="F1458" s="919"/>
      <c r="G1458" s="888" t="str">
        <f>$G$37</f>
        <v xml:space="preserve"> เมษายน 2549</v>
      </c>
      <c r="H1458" s="888"/>
    </row>
    <row r="1459" spans="1:8" ht="19.5" hidden="1" x14ac:dyDescent="0.3">
      <c r="A1459" s="820" t="s">
        <v>1210</v>
      </c>
      <c r="B1459" s="820"/>
      <c r="C1459" s="820"/>
      <c r="D1459" s="820"/>
      <c r="E1459" s="820"/>
      <c r="F1459" s="820"/>
      <c r="G1459" s="820"/>
      <c r="H1459" s="820"/>
    </row>
    <row r="1460" spans="1:8" ht="20.25" hidden="1" thickBot="1" x14ac:dyDescent="0.35">
      <c r="A1460" s="889" t="s">
        <v>758</v>
      </c>
      <c r="B1460" s="889"/>
      <c r="C1460" s="889"/>
      <c r="D1460" s="889"/>
      <c r="E1460" s="889"/>
      <c r="F1460" s="889"/>
      <c r="G1460" s="889"/>
      <c r="H1460" s="889"/>
    </row>
    <row r="1461" spans="1:8" hidden="1" x14ac:dyDescent="0.3">
      <c r="A1461" s="823" t="s">
        <v>424</v>
      </c>
      <c r="B1461" s="824" t="s">
        <v>1</v>
      </c>
      <c r="C1461" s="825"/>
      <c r="D1461" s="826" t="s">
        <v>24</v>
      </c>
      <c r="E1461" s="826" t="s">
        <v>25</v>
      </c>
      <c r="F1461" s="827" t="s">
        <v>390</v>
      </c>
      <c r="G1461" s="828" t="s">
        <v>743</v>
      </c>
      <c r="H1461" s="829" t="s">
        <v>20</v>
      </c>
    </row>
    <row r="1462" spans="1:8" hidden="1" x14ac:dyDescent="0.3">
      <c r="A1462" s="830"/>
      <c r="B1462" s="831"/>
      <c r="C1462" s="832"/>
      <c r="D1462" s="833"/>
      <c r="E1462" s="833"/>
      <c r="F1462" s="834" t="s">
        <v>31</v>
      </c>
      <c r="G1462" s="835" t="s">
        <v>31</v>
      </c>
      <c r="H1462" s="836"/>
    </row>
    <row r="1463" spans="1:8" hidden="1" x14ac:dyDescent="0.3">
      <c r="A1463" s="958">
        <v>12.35</v>
      </c>
      <c r="B1463" s="935" t="s">
        <v>1211</v>
      </c>
      <c r="C1463" s="853"/>
      <c r="D1463" s="938" t="s">
        <v>745</v>
      </c>
      <c r="E1463" s="939" t="s">
        <v>745</v>
      </c>
      <c r="F1463" s="948" t="s">
        <v>745</v>
      </c>
      <c r="G1463" s="966" t="s">
        <v>745</v>
      </c>
      <c r="H1463" s="967" t="s">
        <v>745</v>
      </c>
    </row>
    <row r="1464" spans="1:8" hidden="1" x14ac:dyDescent="0.3">
      <c r="A1464" s="851"/>
      <c r="B1464" s="846" t="s">
        <v>1212</v>
      </c>
      <c r="C1464" s="852"/>
      <c r="D1464" s="859" t="s">
        <v>745</v>
      </c>
      <c r="E1464" s="855" t="s">
        <v>745</v>
      </c>
      <c r="F1464" s="856" t="s">
        <v>745</v>
      </c>
      <c r="G1464" s="857" t="s">
        <v>745</v>
      </c>
      <c r="H1464" s="963" t="s">
        <v>745</v>
      </c>
    </row>
    <row r="1465" spans="1:8" hidden="1" x14ac:dyDescent="0.3">
      <c r="A1465" s="851"/>
      <c r="B1465" s="875"/>
      <c r="C1465" s="852" t="s">
        <v>992</v>
      </c>
      <c r="D1465" s="859">
        <v>1</v>
      </c>
      <c r="E1465" s="855" t="s">
        <v>33</v>
      </c>
      <c r="F1465" s="856">
        <v>106.11</v>
      </c>
      <c r="G1465" s="857">
        <f>D1465*F1465</f>
        <v>106.11</v>
      </c>
      <c r="H1465" s="968" t="s">
        <v>934</v>
      </c>
    </row>
    <row r="1466" spans="1:8" hidden="1" x14ac:dyDescent="0.3">
      <c r="A1466" s="851"/>
      <c r="B1466" s="875"/>
      <c r="C1466" s="852" t="s">
        <v>1004</v>
      </c>
      <c r="D1466" s="859">
        <v>1</v>
      </c>
      <c r="E1466" s="855" t="s">
        <v>33</v>
      </c>
      <c r="F1466" s="948">
        <v>40</v>
      </c>
      <c r="G1466" s="857">
        <f>D1466*F1466</f>
        <v>40</v>
      </c>
      <c r="H1466" s="850"/>
    </row>
    <row r="1467" spans="1:8" hidden="1" x14ac:dyDescent="0.3">
      <c r="A1467" s="851"/>
      <c r="B1467" s="875"/>
      <c r="C1467" s="852" t="s">
        <v>1005</v>
      </c>
      <c r="D1467" s="859">
        <v>0.11</v>
      </c>
      <c r="E1467" s="855" t="s">
        <v>399</v>
      </c>
      <c r="F1467" s="965">
        <v>30</v>
      </c>
      <c r="G1467" s="857">
        <f>D1467*F1467</f>
        <v>3.3</v>
      </c>
      <c r="H1467" s="850"/>
    </row>
    <row r="1468" spans="1:8" hidden="1" x14ac:dyDescent="0.3">
      <c r="A1468" s="923"/>
      <c r="B1468" s="971"/>
      <c r="C1468" s="852" t="s">
        <v>993</v>
      </c>
      <c r="D1468" s="859">
        <v>2</v>
      </c>
      <c r="E1468" s="855" t="s">
        <v>33</v>
      </c>
      <c r="F1468" s="965">
        <v>5</v>
      </c>
      <c r="G1468" s="857">
        <f>D1468*F1468</f>
        <v>10</v>
      </c>
      <c r="H1468" s="977"/>
    </row>
    <row r="1469" spans="1:8" hidden="1" x14ac:dyDescent="0.3">
      <c r="A1469" s="923"/>
      <c r="B1469" s="971"/>
      <c r="C1469" s="852" t="s">
        <v>1213</v>
      </c>
      <c r="D1469" s="859">
        <v>1</v>
      </c>
      <c r="E1469" s="855" t="s">
        <v>33</v>
      </c>
      <c r="F1469" s="965">
        <v>70</v>
      </c>
      <c r="G1469" s="857">
        <f>D1469*F1469</f>
        <v>70</v>
      </c>
      <c r="H1469" s="977"/>
    </row>
    <row r="1470" spans="1:8" hidden="1" x14ac:dyDescent="0.3">
      <c r="A1470" s="861"/>
      <c r="B1470" s="862"/>
      <c r="C1470" s="863" t="s">
        <v>1214</v>
      </c>
      <c r="D1470" s="864">
        <v>1</v>
      </c>
      <c r="E1470" s="865" t="s">
        <v>33</v>
      </c>
      <c r="F1470" s="866" t="s">
        <v>6</v>
      </c>
      <c r="G1470" s="911">
        <f>SUM(G1463:G1469)</f>
        <v>229.41000000000003</v>
      </c>
      <c r="H1470" s="912" t="s">
        <v>1008</v>
      </c>
    </row>
    <row r="1471" spans="1:8" hidden="1" x14ac:dyDescent="0.3">
      <c r="A1471" s="958">
        <v>12.36</v>
      </c>
      <c r="B1471" s="935" t="s">
        <v>1195</v>
      </c>
      <c r="C1471" s="853"/>
      <c r="D1471" s="938" t="s">
        <v>745</v>
      </c>
      <c r="E1471" s="939" t="s">
        <v>745</v>
      </c>
      <c r="F1471" s="948" t="s">
        <v>745</v>
      </c>
      <c r="G1471" s="966" t="s">
        <v>745</v>
      </c>
      <c r="H1471" s="967" t="s">
        <v>745</v>
      </c>
    </row>
    <row r="1472" spans="1:8" hidden="1" x14ac:dyDescent="0.3">
      <c r="A1472" s="851"/>
      <c r="B1472" s="846" t="s">
        <v>1212</v>
      </c>
      <c r="C1472" s="852"/>
      <c r="D1472" s="859" t="s">
        <v>745</v>
      </c>
      <c r="E1472" s="855" t="s">
        <v>745</v>
      </c>
      <c r="F1472" s="856" t="s">
        <v>745</v>
      </c>
      <c r="G1472" s="857" t="s">
        <v>745</v>
      </c>
      <c r="H1472" s="963" t="s">
        <v>745</v>
      </c>
    </row>
    <row r="1473" spans="1:8" hidden="1" x14ac:dyDescent="0.3">
      <c r="A1473" s="851"/>
      <c r="B1473" s="875"/>
      <c r="C1473" s="852" t="s">
        <v>997</v>
      </c>
      <c r="D1473" s="859">
        <v>1</v>
      </c>
      <c r="E1473" s="855" t="s">
        <v>33</v>
      </c>
      <c r="F1473" s="856">
        <v>83.33</v>
      </c>
      <c r="G1473" s="857">
        <f>D1473*F1473</f>
        <v>83.33</v>
      </c>
      <c r="H1473" s="968" t="s">
        <v>934</v>
      </c>
    </row>
    <row r="1474" spans="1:8" hidden="1" x14ac:dyDescent="0.3">
      <c r="A1474" s="851"/>
      <c r="B1474" s="875"/>
      <c r="C1474" s="852" t="s">
        <v>1004</v>
      </c>
      <c r="D1474" s="859">
        <v>1</v>
      </c>
      <c r="E1474" s="855" t="s">
        <v>33</v>
      </c>
      <c r="F1474" s="948">
        <v>170</v>
      </c>
      <c r="G1474" s="857">
        <f>D1474*F1474</f>
        <v>170</v>
      </c>
      <c r="H1474" s="850"/>
    </row>
    <row r="1475" spans="1:8" hidden="1" x14ac:dyDescent="0.3">
      <c r="A1475" s="851"/>
      <c r="B1475" s="875"/>
      <c r="C1475" s="852" t="s">
        <v>1005</v>
      </c>
      <c r="D1475" s="859">
        <v>0.11</v>
      </c>
      <c r="E1475" s="855" t="s">
        <v>399</v>
      </c>
      <c r="F1475" s="965">
        <v>25</v>
      </c>
      <c r="G1475" s="857">
        <f>D1475*F1475</f>
        <v>2.75</v>
      </c>
      <c r="H1475" s="850"/>
    </row>
    <row r="1476" spans="1:8" hidden="1" x14ac:dyDescent="0.3">
      <c r="A1476" s="923"/>
      <c r="B1476" s="971"/>
      <c r="C1476" s="852" t="s">
        <v>993</v>
      </c>
      <c r="D1476" s="859">
        <v>2</v>
      </c>
      <c r="E1476" s="855" t="s">
        <v>33</v>
      </c>
      <c r="F1476" s="965">
        <v>5</v>
      </c>
      <c r="G1476" s="857">
        <f>D1476*F1476</f>
        <v>10</v>
      </c>
      <c r="H1476" s="977"/>
    </row>
    <row r="1477" spans="1:8" hidden="1" x14ac:dyDescent="0.3">
      <c r="A1477" s="923"/>
      <c r="B1477" s="971"/>
      <c r="C1477" s="852" t="s">
        <v>1213</v>
      </c>
      <c r="D1477" s="859">
        <v>1</v>
      </c>
      <c r="E1477" s="855" t="s">
        <v>33</v>
      </c>
      <c r="F1477" s="965">
        <v>100</v>
      </c>
      <c r="G1477" s="857">
        <f>D1477*F1477</f>
        <v>100</v>
      </c>
      <c r="H1477" s="977"/>
    </row>
    <row r="1478" spans="1:8" hidden="1" x14ac:dyDescent="0.3">
      <c r="A1478" s="861"/>
      <c r="B1478" s="862"/>
      <c r="C1478" s="863" t="s">
        <v>1215</v>
      </c>
      <c r="D1478" s="864">
        <v>1</v>
      </c>
      <c r="E1478" s="865" t="s">
        <v>33</v>
      </c>
      <c r="F1478" s="866" t="s">
        <v>6</v>
      </c>
      <c r="G1478" s="911">
        <f>SUM(G1471:G1477)</f>
        <v>366.08</v>
      </c>
      <c r="H1478" s="912" t="s">
        <v>1008</v>
      </c>
    </row>
    <row r="1479" spans="1:8" hidden="1" x14ac:dyDescent="0.3">
      <c r="A1479" s="958">
        <v>12.37</v>
      </c>
      <c r="B1479" s="935" t="s">
        <v>1211</v>
      </c>
      <c r="C1479" s="853"/>
      <c r="D1479" s="938" t="s">
        <v>745</v>
      </c>
      <c r="E1479" s="939" t="s">
        <v>745</v>
      </c>
      <c r="F1479" s="948" t="s">
        <v>745</v>
      </c>
      <c r="G1479" s="966" t="s">
        <v>745</v>
      </c>
      <c r="H1479" s="967" t="s">
        <v>745</v>
      </c>
    </row>
    <row r="1480" spans="1:8" hidden="1" x14ac:dyDescent="0.3">
      <c r="A1480" s="851"/>
      <c r="B1480" s="846" t="s">
        <v>1216</v>
      </c>
      <c r="C1480" s="852"/>
      <c r="D1480" s="859" t="s">
        <v>745</v>
      </c>
      <c r="E1480" s="855" t="s">
        <v>745</v>
      </c>
      <c r="F1480" s="856" t="s">
        <v>745</v>
      </c>
      <c r="G1480" s="857" t="s">
        <v>745</v>
      </c>
      <c r="H1480" s="963" t="s">
        <v>745</v>
      </c>
    </row>
    <row r="1481" spans="1:8" hidden="1" x14ac:dyDescent="0.3">
      <c r="A1481" s="851"/>
      <c r="B1481" s="875"/>
      <c r="C1481" s="852" t="s">
        <v>992</v>
      </c>
      <c r="D1481" s="859">
        <v>1</v>
      </c>
      <c r="E1481" s="855" t="s">
        <v>33</v>
      </c>
      <c r="F1481" s="856">
        <v>102.33</v>
      </c>
      <c r="G1481" s="857">
        <f>D1481*F1481</f>
        <v>102.33</v>
      </c>
      <c r="H1481" s="968" t="s">
        <v>934</v>
      </c>
    </row>
    <row r="1482" spans="1:8" hidden="1" x14ac:dyDescent="0.3">
      <c r="A1482" s="851"/>
      <c r="B1482" s="875"/>
      <c r="C1482" s="852" t="s">
        <v>1004</v>
      </c>
      <c r="D1482" s="859">
        <v>1</v>
      </c>
      <c r="E1482" s="855" t="s">
        <v>33</v>
      </c>
      <c r="F1482" s="948">
        <v>170</v>
      </c>
      <c r="G1482" s="857">
        <f>D1482*F1482</f>
        <v>170</v>
      </c>
      <c r="H1482" s="850"/>
    </row>
    <row r="1483" spans="1:8" hidden="1" x14ac:dyDescent="0.3">
      <c r="A1483" s="851"/>
      <c r="B1483" s="875"/>
      <c r="C1483" s="852" t="s">
        <v>1005</v>
      </c>
      <c r="D1483" s="859">
        <v>0.11</v>
      </c>
      <c r="E1483" s="855" t="s">
        <v>399</v>
      </c>
      <c r="F1483" s="965">
        <v>25</v>
      </c>
      <c r="G1483" s="857">
        <f>D1483*F1483</f>
        <v>2.75</v>
      </c>
      <c r="H1483" s="850"/>
    </row>
    <row r="1484" spans="1:8" hidden="1" x14ac:dyDescent="0.3">
      <c r="A1484" s="923"/>
      <c r="B1484" s="971"/>
      <c r="C1484" s="852" t="s">
        <v>993</v>
      </c>
      <c r="D1484" s="859">
        <v>2</v>
      </c>
      <c r="E1484" s="855" t="s">
        <v>33</v>
      </c>
      <c r="F1484" s="965">
        <v>5</v>
      </c>
      <c r="G1484" s="857">
        <f>D1484*F1484</f>
        <v>10</v>
      </c>
      <c r="H1484" s="977"/>
    </row>
    <row r="1485" spans="1:8" hidden="1" x14ac:dyDescent="0.3">
      <c r="A1485" s="923"/>
      <c r="B1485" s="971"/>
      <c r="C1485" s="852" t="s">
        <v>1213</v>
      </c>
      <c r="D1485" s="859">
        <v>1</v>
      </c>
      <c r="E1485" s="855" t="s">
        <v>33</v>
      </c>
      <c r="F1485" s="965">
        <v>100</v>
      </c>
      <c r="G1485" s="857">
        <f>D1485*F1485</f>
        <v>100</v>
      </c>
      <c r="H1485" s="977"/>
    </row>
    <row r="1486" spans="1:8" hidden="1" x14ac:dyDescent="0.3">
      <c r="A1486" s="861"/>
      <c r="B1486" s="862"/>
      <c r="C1486" s="863" t="s">
        <v>1214</v>
      </c>
      <c r="D1486" s="864">
        <v>1</v>
      </c>
      <c r="E1486" s="865" t="s">
        <v>33</v>
      </c>
      <c r="F1486" s="866" t="s">
        <v>6</v>
      </c>
      <c r="G1486" s="911">
        <f>SUM(G1479:G1485)</f>
        <v>385.08</v>
      </c>
      <c r="H1486" s="912" t="s">
        <v>1008</v>
      </c>
    </row>
    <row r="1487" spans="1:8" hidden="1" x14ac:dyDescent="0.3">
      <c r="A1487" s="958">
        <v>12.38</v>
      </c>
      <c r="B1487" s="935" t="s">
        <v>1195</v>
      </c>
      <c r="C1487" s="853"/>
      <c r="D1487" s="938" t="s">
        <v>745</v>
      </c>
      <c r="E1487" s="939" t="s">
        <v>745</v>
      </c>
      <c r="F1487" s="948" t="s">
        <v>745</v>
      </c>
      <c r="G1487" s="966" t="s">
        <v>745</v>
      </c>
      <c r="H1487" s="967" t="s">
        <v>745</v>
      </c>
    </row>
    <row r="1488" spans="1:8" hidden="1" x14ac:dyDescent="0.3">
      <c r="A1488" s="851"/>
      <c r="B1488" s="846" t="s">
        <v>1216</v>
      </c>
      <c r="C1488" s="852"/>
      <c r="D1488" s="859" t="s">
        <v>745</v>
      </c>
      <c r="E1488" s="855" t="s">
        <v>745</v>
      </c>
      <c r="F1488" s="856" t="s">
        <v>745</v>
      </c>
      <c r="G1488" s="857" t="s">
        <v>745</v>
      </c>
      <c r="H1488" s="963" t="s">
        <v>745</v>
      </c>
    </row>
    <row r="1489" spans="1:8" hidden="1" x14ac:dyDescent="0.3">
      <c r="A1489" s="851"/>
      <c r="B1489" s="875"/>
      <c r="C1489" s="852" t="s">
        <v>997</v>
      </c>
      <c r="D1489" s="859">
        <v>1</v>
      </c>
      <c r="E1489" s="855" t="s">
        <v>33</v>
      </c>
      <c r="F1489" s="856">
        <v>114.67</v>
      </c>
      <c r="G1489" s="857">
        <f>D1489*F1489</f>
        <v>114.67</v>
      </c>
      <c r="H1489" s="968" t="s">
        <v>934</v>
      </c>
    </row>
    <row r="1490" spans="1:8" hidden="1" x14ac:dyDescent="0.3">
      <c r="A1490" s="851"/>
      <c r="B1490" s="875"/>
      <c r="C1490" s="852" t="s">
        <v>1004</v>
      </c>
      <c r="D1490" s="859">
        <v>1</v>
      </c>
      <c r="E1490" s="855" t="s">
        <v>33</v>
      </c>
      <c r="F1490" s="948">
        <v>170</v>
      </c>
      <c r="G1490" s="857">
        <f>D1490*F1490</f>
        <v>170</v>
      </c>
      <c r="H1490" s="850"/>
    </row>
    <row r="1491" spans="1:8" hidden="1" x14ac:dyDescent="0.3">
      <c r="A1491" s="851"/>
      <c r="B1491" s="875"/>
      <c r="C1491" s="852" t="s">
        <v>1005</v>
      </c>
      <c r="D1491" s="859">
        <v>0.11</v>
      </c>
      <c r="E1491" s="855" t="s">
        <v>399</v>
      </c>
      <c r="F1491" s="965">
        <v>25</v>
      </c>
      <c r="G1491" s="857">
        <f>D1491*F1491</f>
        <v>2.75</v>
      </c>
      <c r="H1491" s="850"/>
    </row>
    <row r="1492" spans="1:8" hidden="1" x14ac:dyDescent="0.3">
      <c r="A1492" s="923"/>
      <c r="B1492" s="971"/>
      <c r="C1492" s="852" t="s">
        <v>993</v>
      </c>
      <c r="D1492" s="859">
        <v>2</v>
      </c>
      <c r="E1492" s="855" t="s">
        <v>33</v>
      </c>
      <c r="F1492" s="965">
        <v>5</v>
      </c>
      <c r="G1492" s="857">
        <f>D1492*F1492</f>
        <v>10</v>
      </c>
      <c r="H1492" s="977"/>
    </row>
    <row r="1493" spans="1:8" hidden="1" x14ac:dyDescent="0.3">
      <c r="A1493" s="923"/>
      <c r="B1493" s="971"/>
      <c r="C1493" s="852" t="s">
        <v>1213</v>
      </c>
      <c r="D1493" s="859">
        <v>1</v>
      </c>
      <c r="E1493" s="855" t="s">
        <v>33</v>
      </c>
      <c r="F1493" s="965">
        <v>100</v>
      </c>
      <c r="G1493" s="857">
        <f>D1493*F1493</f>
        <v>100</v>
      </c>
      <c r="H1493" s="977"/>
    </row>
    <row r="1494" spans="1:8" ht="19.5" hidden="1" thickBot="1" x14ac:dyDescent="0.35">
      <c r="A1494" s="879"/>
      <c r="B1494" s="880"/>
      <c r="C1494" s="881" t="s">
        <v>1215</v>
      </c>
      <c r="D1494" s="882">
        <v>1</v>
      </c>
      <c r="E1494" s="915" t="s">
        <v>33</v>
      </c>
      <c r="F1494" s="916" t="s">
        <v>6</v>
      </c>
      <c r="G1494" s="917">
        <f>SUM(G1487:G1493)</f>
        <v>397.42</v>
      </c>
      <c r="H1494" s="885" t="s">
        <v>1008</v>
      </c>
    </row>
    <row r="1495" spans="1:8" hidden="1" x14ac:dyDescent="0.3">
      <c r="A1495" s="995"/>
      <c r="B1495" s="995"/>
      <c r="C1495" s="995" t="s">
        <v>745</v>
      </c>
      <c r="D1495" s="996" t="s">
        <v>745</v>
      </c>
      <c r="E1495" s="997" t="s">
        <v>745</v>
      </c>
      <c r="F1495" s="998" t="s">
        <v>745</v>
      </c>
      <c r="G1495" s="888" t="str">
        <f>$G$37</f>
        <v xml:space="preserve"> เมษายน 2549</v>
      </c>
      <c r="H1495" s="888"/>
    </row>
    <row r="1496" spans="1:8" ht="19.5" hidden="1" x14ac:dyDescent="0.3">
      <c r="A1496" s="820" t="s">
        <v>1217</v>
      </c>
      <c r="B1496" s="820"/>
      <c r="C1496" s="820"/>
      <c r="D1496" s="820"/>
      <c r="E1496" s="820"/>
      <c r="F1496" s="820"/>
      <c r="G1496" s="820"/>
      <c r="H1496" s="820"/>
    </row>
    <row r="1497" spans="1:8" ht="20.25" hidden="1" thickBot="1" x14ac:dyDescent="0.35">
      <c r="A1497" s="889" t="s">
        <v>758</v>
      </c>
      <c r="B1497" s="889"/>
      <c r="C1497" s="889"/>
      <c r="D1497" s="889"/>
      <c r="E1497" s="889"/>
      <c r="F1497" s="889"/>
      <c r="G1497" s="889"/>
      <c r="H1497" s="889"/>
    </row>
    <row r="1498" spans="1:8" hidden="1" x14ac:dyDescent="0.3">
      <c r="A1498" s="823" t="s">
        <v>424</v>
      </c>
      <c r="B1498" s="824" t="s">
        <v>1</v>
      </c>
      <c r="C1498" s="825"/>
      <c r="D1498" s="826" t="s">
        <v>24</v>
      </c>
      <c r="E1498" s="826" t="s">
        <v>25</v>
      </c>
      <c r="F1498" s="827" t="s">
        <v>390</v>
      </c>
      <c r="G1498" s="828" t="s">
        <v>743</v>
      </c>
      <c r="H1498" s="829" t="s">
        <v>20</v>
      </c>
    </row>
    <row r="1499" spans="1:8" hidden="1" x14ac:dyDescent="0.3">
      <c r="A1499" s="830"/>
      <c r="B1499" s="831"/>
      <c r="C1499" s="832"/>
      <c r="D1499" s="833"/>
      <c r="E1499" s="833"/>
      <c r="F1499" s="834" t="s">
        <v>31</v>
      </c>
      <c r="G1499" s="835" t="s">
        <v>31</v>
      </c>
      <c r="H1499" s="836"/>
    </row>
    <row r="1500" spans="1:8" hidden="1" x14ac:dyDescent="0.3">
      <c r="A1500" s="958">
        <v>12.39</v>
      </c>
      <c r="B1500" s="935" t="s">
        <v>1218</v>
      </c>
      <c r="C1500" s="853"/>
      <c r="D1500" s="938" t="s">
        <v>745</v>
      </c>
      <c r="E1500" s="939" t="s">
        <v>745</v>
      </c>
      <c r="F1500" s="948" t="s">
        <v>745</v>
      </c>
      <c r="G1500" s="966" t="s">
        <v>745</v>
      </c>
      <c r="H1500" s="967" t="s">
        <v>745</v>
      </c>
    </row>
    <row r="1501" spans="1:8" hidden="1" x14ac:dyDescent="0.3">
      <c r="A1501" s="851"/>
      <c r="B1501" s="846" t="s">
        <v>1219</v>
      </c>
      <c r="C1501" s="852"/>
      <c r="D1501" s="859" t="s">
        <v>745</v>
      </c>
      <c r="E1501" s="855" t="s">
        <v>745</v>
      </c>
      <c r="F1501" s="856" t="s">
        <v>745</v>
      </c>
      <c r="G1501" s="857" t="s">
        <v>745</v>
      </c>
      <c r="H1501" s="963" t="s">
        <v>745</v>
      </c>
    </row>
    <row r="1502" spans="1:8" hidden="1" x14ac:dyDescent="0.3">
      <c r="A1502" s="851"/>
      <c r="B1502" s="875"/>
      <c r="C1502" s="852" t="s">
        <v>1220</v>
      </c>
      <c r="D1502" s="859">
        <v>1</v>
      </c>
      <c r="E1502" s="855" t="s">
        <v>33</v>
      </c>
      <c r="F1502" s="856">
        <v>144</v>
      </c>
      <c r="G1502" s="857">
        <f>D1502*F1502</f>
        <v>144</v>
      </c>
      <c r="H1502" s="968" t="s">
        <v>934</v>
      </c>
    </row>
    <row r="1503" spans="1:8" hidden="1" x14ac:dyDescent="0.3">
      <c r="A1503" s="851"/>
      <c r="B1503" s="875"/>
      <c r="C1503" s="852" t="s">
        <v>1004</v>
      </c>
      <c r="D1503" s="859">
        <v>1</v>
      </c>
      <c r="E1503" s="855" t="s">
        <v>33</v>
      </c>
      <c r="F1503" s="948">
        <v>170</v>
      </c>
      <c r="G1503" s="857">
        <f>D1503*F1503</f>
        <v>170</v>
      </c>
      <c r="H1503" s="850"/>
    </row>
    <row r="1504" spans="1:8" hidden="1" x14ac:dyDescent="0.3">
      <c r="A1504" s="851"/>
      <c r="B1504" s="875"/>
      <c r="C1504" s="852" t="s">
        <v>1005</v>
      </c>
      <c r="D1504" s="859">
        <v>0.11</v>
      </c>
      <c r="E1504" s="855" t="s">
        <v>399</v>
      </c>
      <c r="F1504" s="965">
        <v>25</v>
      </c>
      <c r="G1504" s="857">
        <f>D1504*F1504</f>
        <v>2.75</v>
      </c>
      <c r="H1504" s="850"/>
    </row>
    <row r="1505" spans="1:8" hidden="1" x14ac:dyDescent="0.3">
      <c r="A1505" s="923"/>
      <c r="B1505" s="971"/>
      <c r="C1505" s="852" t="s">
        <v>993</v>
      </c>
      <c r="D1505" s="859">
        <v>2</v>
      </c>
      <c r="E1505" s="855" t="s">
        <v>33</v>
      </c>
      <c r="F1505" s="965">
        <v>5</v>
      </c>
      <c r="G1505" s="857">
        <f>D1505*F1505</f>
        <v>10</v>
      </c>
      <c r="H1505" s="977"/>
    </row>
    <row r="1506" spans="1:8" hidden="1" x14ac:dyDescent="0.3">
      <c r="A1506" s="923"/>
      <c r="B1506" s="971"/>
      <c r="C1506" s="852" t="s">
        <v>1213</v>
      </c>
      <c r="D1506" s="859">
        <v>1</v>
      </c>
      <c r="E1506" s="855" t="s">
        <v>33</v>
      </c>
      <c r="F1506" s="965">
        <v>100</v>
      </c>
      <c r="G1506" s="857">
        <f>D1506*F1506</f>
        <v>100</v>
      </c>
      <c r="H1506" s="977"/>
    </row>
    <row r="1507" spans="1:8" hidden="1" x14ac:dyDescent="0.3">
      <c r="A1507" s="861"/>
      <c r="B1507" s="862"/>
      <c r="C1507" s="863" t="s">
        <v>1214</v>
      </c>
      <c r="D1507" s="864">
        <v>1</v>
      </c>
      <c r="E1507" s="865" t="s">
        <v>33</v>
      </c>
      <c r="F1507" s="866" t="s">
        <v>6</v>
      </c>
      <c r="G1507" s="911">
        <f>SUM(G1500:G1506)</f>
        <v>426.75</v>
      </c>
      <c r="H1507" s="912" t="s">
        <v>1008</v>
      </c>
    </row>
    <row r="1508" spans="1:8" hidden="1" x14ac:dyDescent="0.3">
      <c r="A1508" s="958">
        <v>12.4</v>
      </c>
      <c r="B1508" s="935" t="s">
        <v>1221</v>
      </c>
      <c r="C1508" s="853"/>
      <c r="D1508" s="938" t="s">
        <v>745</v>
      </c>
      <c r="E1508" s="939" t="s">
        <v>745</v>
      </c>
      <c r="F1508" s="948" t="s">
        <v>745</v>
      </c>
      <c r="G1508" s="966" t="s">
        <v>745</v>
      </c>
      <c r="H1508" s="967" t="s">
        <v>745</v>
      </c>
    </row>
    <row r="1509" spans="1:8" hidden="1" x14ac:dyDescent="0.3">
      <c r="A1509" s="851"/>
      <c r="B1509" s="846" t="s">
        <v>1222</v>
      </c>
      <c r="C1509" s="852"/>
      <c r="D1509" s="859" t="s">
        <v>745</v>
      </c>
      <c r="E1509" s="855" t="s">
        <v>745</v>
      </c>
      <c r="F1509" s="856" t="s">
        <v>745</v>
      </c>
      <c r="G1509" s="857" t="s">
        <v>745</v>
      </c>
      <c r="H1509" s="963" t="s">
        <v>745</v>
      </c>
    </row>
    <row r="1510" spans="1:8" hidden="1" x14ac:dyDescent="0.3">
      <c r="A1510" s="851"/>
      <c r="B1510" s="875"/>
      <c r="C1510" s="852" t="s">
        <v>1223</v>
      </c>
      <c r="D1510" s="859">
        <v>1</v>
      </c>
      <c r="E1510" s="855" t="s">
        <v>33</v>
      </c>
      <c r="F1510" s="856">
        <v>144</v>
      </c>
      <c r="G1510" s="857">
        <f>D1510*F1510</f>
        <v>144</v>
      </c>
      <c r="H1510" s="968" t="s">
        <v>934</v>
      </c>
    </row>
    <row r="1511" spans="1:8" hidden="1" x14ac:dyDescent="0.3">
      <c r="A1511" s="851"/>
      <c r="B1511" s="875"/>
      <c r="C1511" s="852" t="s">
        <v>1004</v>
      </c>
      <c r="D1511" s="859">
        <v>1</v>
      </c>
      <c r="E1511" s="855" t="s">
        <v>33</v>
      </c>
      <c r="F1511" s="948">
        <v>170</v>
      </c>
      <c r="G1511" s="857">
        <f>D1511*F1511</f>
        <v>170</v>
      </c>
      <c r="H1511" s="850"/>
    </row>
    <row r="1512" spans="1:8" hidden="1" x14ac:dyDescent="0.3">
      <c r="A1512" s="851"/>
      <c r="B1512" s="875"/>
      <c r="C1512" s="852" t="s">
        <v>1005</v>
      </c>
      <c r="D1512" s="859">
        <v>0.11</v>
      </c>
      <c r="E1512" s="855" t="s">
        <v>399</v>
      </c>
      <c r="F1512" s="965">
        <v>25</v>
      </c>
      <c r="G1512" s="857">
        <f>D1512*F1512</f>
        <v>2.75</v>
      </c>
      <c r="H1512" s="850"/>
    </row>
    <row r="1513" spans="1:8" hidden="1" x14ac:dyDescent="0.3">
      <c r="A1513" s="923"/>
      <c r="B1513" s="971"/>
      <c r="C1513" s="852" t="s">
        <v>993</v>
      </c>
      <c r="D1513" s="859">
        <v>2</v>
      </c>
      <c r="E1513" s="855" t="s">
        <v>33</v>
      </c>
      <c r="F1513" s="965">
        <v>5</v>
      </c>
      <c r="G1513" s="857">
        <f>D1513*F1513</f>
        <v>10</v>
      </c>
      <c r="H1513" s="977"/>
    </row>
    <row r="1514" spans="1:8" hidden="1" x14ac:dyDescent="0.3">
      <c r="A1514" s="923"/>
      <c r="B1514" s="971"/>
      <c r="C1514" s="852" t="s">
        <v>1213</v>
      </c>
      <c r="D1514" s="859">
        <v>1</v>
      </c>
      <c r="E1514" s="855" t="s">
        <v>33</v>
      </c>
      <c r="F1514" s="965">
        <v>100</v>
      </c>
      <c r="G1514" s="857">
        <f>D1514*F1514</f>
        <v>100</v>
      </c>
      <c r="H1514" s="977"/>
    </row>
    <row r="1515" spans="1:8" hidden="1" x14ac:dyDescent="0.3">
      <c r="A1515" s="861"/>
      <c r="B1515" s="862"/>
      <c r="C1515" s="863" t="s">
        <v>1214</v>
      </c>
      <c r="D1515" s="864">
        <v>1</v>
      </c>
      <c r="E1515" s="865" t="s">
        <v>33</v>
      </c>
      <c r="F1515" s="866" t="s">
        <v>6</v>
      </c>
      <c r="G1515" s="911">
        <f>SUM(G1508:G1514)</f>
        <v>426.75</v>
      </c>
      <c r="H1515" s="912" t="s">
        <v>1008</v>
      </c>
    </row>
    <row r="1516" spans="1:8" hidden="1" x14ac:dyDescent="0.3">
      <c r="A1516" s="958">
        <v>12.41</v>
      </c>
      <c r="B1516" s="935" t="s">
        <v>1224</v>
      </c>
      <c r="C1516" s="853"/>
      <c r="D1516" s="938" t="s">
        <v>745</v>
      </c>
      <c r="E1516" s="939" t="s">
        <v>745</v>
      </c>
      <c r="F1516" s="948" t="s">
        <v>745</v>
      </c>
      <c r="G1516" s="966" t="s">
        <v>745</v>
      </c>
      <c r="H1516" s="967" t="s">
        <v>745</v>
      </c>
    </row>
    <row r="1517" spans="1:8" hidden="1" x14ac:dyDescent="0.3">
      <c r="A1517" s="851"/>
      <c r="B1517" s="846" t="s">
        <v>1225</v>
      </c>
      <c r="C1517" s="852"/>
      <c r="D1517" s="859" t="s">
        <v>745</v>
      </c>
      <c r="E1517" s="855" t="s">
        <v>745</v>
      </c>
      <c r="F1517" s="856" t="s">
        <v>745</v>
      </c>
      <c r="G1517" s="857" t="s">
        <v>745</v>
      </c>
      <c r="H1517" s="963" t="s">
        <v>745</v>
      </c>
    </row>
    <row r="1518" spans="1:8" hidden="1" x14ac:dyDescent="0.3">
      <c r="A1518" s="851"/>
      <c r="B1518" s="875"/>
      <c r="C1518" s="852" t="s">
        <v>1220</v>
      </c>
      <c r="D1518" s="859">
        <v>1</v>
      </c>
      <c r="E1518" s="855" t="s">
        <v>33</v>
      </c>
      <c r="F1518" s="856">
        <v>72.92</v>
      </c>
      <c r="G1518" s="857">
        <f>D1518*F1518</f>
        <v>72.92</v>
      </c>
      <c r="H1518" s="968" t="s">
        <v>934</v>
      </c>
    </row>
    <row r="1519" spans="1:8" hidden="1" x14ac:dyDescent="0.3">
      <c r="A1519" s="851"/>
      <c r="B1519" s="875"/>
      <c r="C1519" s="852" t="s">
        <v>1004</v>
      </c>
      <c r="D1519" s="859">
        <v>1</v>
      </c>
      <c r="E1519" s="855" t="s">
        <v>33</v>
      </c>
      <c r="F1519" s="948">
        <v>170</v>
      </c>
      <c r="G1519" s="857">
        <f>D1519*F1519</f>
        <v>170</v>
      </c>
      <c r="H1519" s="850"/>
    </row>
    <row r="1520" spans="1:8" hidden="1" x14ac:dyDescent="0.3">
      <c r="A1520" s="851"/>
      <c r="B1520" s="875"/>
      <c r="C1520" s="852" t="s">
        <v>1005</v>
      </c>
      <c r="D1520" s="859">
        <v>0.11</v>
      </c>
      <c r="E1520" s="855" t="s">
        <v>399</v>
      </c>
      <c r="F1520" s="965">
        <v>25</v>
      </c>
      <c r="G1520" s="857">
        <f>D1520*F1520</f>
        <v>2.75</v>
      </c>
      <c r="H1520" s="850"/>
    </row>
    <row r="1521" spans="1:8" hidden="1" x14ac:dyDescent="0.3">
      <c r="A1521" s="923"/>
      <c r="B1521" s="971"/>
      <c r="C1521" s="852" t="s">
        <v>993</v>
      </c>
      <c r="D1521" s="859">
        <v>2</v>
      </c>
      <c r="E1521" s="855" t="s">
        <v>33</v>
      </c>
      <c r="F1521" s="965">
        <v>5</v>
      </c>
      <c r="G1521" s="857">
        <f>D1521*F1521</f>
        <v>10</v>
      </c>
      <c r="H1521" s="977"/>
    </row>
    <row r="1522" spans="1:8" hidden="1" x14ac:dyDescent="0.3">
      <c r="A1522" s="923"/>
      <c r="B1522" s="971"/>
      <c r="C1522" s="852" t="s">
        <v>1213</v>
      </c>
      <c r="D1522" s="859">
        <v>1</v>
      </c>
      <c r="E1522" s="855" t="s">
        <v>33</v>
      </c>
      <c r="F1522" s="965">
        <v>100</v>
      </c>
      <c r="G1522" s="857">
        <f>D1522*F1522</f>
        <v>100</v>
      </c>
      <c r="H1522" s="977"/>
    </row>
    <row r="1523" spans="1:8" hidden="1" x14ac:dyDescent="0.3">
      <c r="A1523" s="861"/>
      <c r="B1523" s="862"/>
      <c r="C1523" s="863" t="s">
        <v>1214</v>
      </c>
      <c r="D1523" s="864">
        <v>1</v>
      </c>
      <c r="E1523" s="865" t="s">
        <v>33</v>
      </c>
      <c r="F1523" s="866" t="s">
        <v>6</v>
      </c>
      <c r="G1523" s="911">
        <f>SUM(G1516:G1522)</f>
        <v>355.67</v>
      </c>
      <c r="H1523" s="912" t="s">
        <v>1008</v>
      </c>
    </row>
    <row r="1524" spans="1:8" hidden="1" x14ac:dyDescent="0.3">
      <c r="A1524" s="958">
        <v>12.42</v>
      </c>
      <c r="B1524" s="935" t="s">
        <v>1226</v>
      </c>
      <c r="C1524" s="853"/>
      <c r="D1524" s="938" t="s">
        <v>745</v>
      </c>
      <c r="E1524" s="939" t="s">
        <v>745</v>
      </c>
      <c r="F1524" s="948" t="s">
        <v>745</v>
      </c>
      <c r="G1524" s="966" t="s">
        <v>745</v>
      </c>
      <c r="H1524" s="967" t="s">
        <v>745</v>
      </c>
    </row>
    <row r="1525" spans="1:8" hidden="1" x14ac:dyDescent="0.3">
      <c r="A1525" s="851"/>
      <c r="B1525" s="846" t="s">
        <v>1225</v>
      </c>
      <c r="C1525" s="852"/>
      <c r="D1525" s="859" t="s">
        <v>745</v>
      </c>
      <c r="E1525" s="855" t="s">
        <v>745</v>
      </c>
      <c r="F1525" s="856" t="s">
        <v>745</v>
      </c>
      <c r="G1525" s="857" t="s">
        <v>745</v>
      </c>
      <c r="H1525" s="963" t="s">
        <v>745</v>
      </c>
    </row>
    <row r="1526" spans="1:8" hidden="1" x14ac:dyDescent="0.3">
      <c r="A1526" s="851"/>
      <c r="B1526" s="875"/>
      <c r="C1526" s="852" t="s">
        <v>1220</v>
      </c>
      <c r="D1526" s="859">
        <v>1</v>
      </c>
      <c r="E1526" s="855" t="s">
        <v>33</v>
      </c>
      <c r="F1526" s="856">
        <v>78.33</v>
      </c>
      <c r="G1526" s="857">
        <f>D1526*F1526</f>
        <v>78.33</v>
      </c>
      <c r="H1526" s="968" t="s">
        <v>934</v>
      </c>
    </row>
    <row r="1527" spans="1:8" hidden="1" x14ac:dyDescent="0.3">
      <c r="A1527" s="851"/>
      <c r="B1527" s="875"/>
      <c r="C1527" s="852" t="s">
        <v>1004</v>
      </c>
      <c r="D1527" s="859">
        <v>1</v>
      </c>
      <c r="E1527" s="855" t="s">
        <v>33</v>
      </c>
      <c r="F1527" s="948">
        <v>170</v>
      </c>
      <c r="G1527" s="857">
        <f>D1527*F1527</f>
        <v>170</v>
      </c>
      <c r="H1527" s="850"/>
    </row>
    <row r="1528" spans="1:8" hidden="1" x14ac:dyDescent="0.3">
      <c r="A1528" s="851"/>
      <c r="B1528" s="875"/>
      <c r="C1528" s="852" t="s">
        <v>1005</v>
      </c>
      <c r="D1528" s="859">
        <v>0.11</v>
      </c>
      <c r="E1528" s="855" t="s">
        <v>399</v>
      </c>
      <c r="F1528" s="965">
        <v>25</v>
      </c>
      <c r="G1528" s="857">
        <f>D1528*F1528</f>
        <v>2.75</v>
      </c>
      <c r="H1528" s="850"/>
    </row>
    <row r="1529" spans="1:8" hidden="1" x14ac:dyDescent="0.3">
      <c r="A1529" s="923"/>
      <c r="B1529" s="971"/>
      <c r="C1529" s="852" t="s">
        <v>993</v>
      </c>
      <c r="D1529" s="859">
        <v>2</v>
      </c>
      <c r="E1529" s="855" t="s">
        <v>33</v>
      </c>
      <c r="F1529" s="965">
        <v>5</v>
      </c>
      <c r="G1529" s="857">
        <f>D1529*F1529</f>
        <v>10</v>
      </c>
      <c r="H1529" s="977"/>
    </row>
    <row r="1530" spans="1:8" hidden="1" x14ac:dyDescent="0.3">
      <c r="A1530" s="923"/>
      <c r="B1530" s="971"/>
      <c r="C1530" s="852" t="s">
        <v>1213</v>
      </c>
      <c r="D1530" s="859">
        <v>1</v>
      </c>
      <c r="E1530" s="855" t="s">
        <v>33</v>
      </c>
      <c r="F1530" s="965">
        <v>100</v>
      </c>
      <c r="G1530" s="857">
        <f>D1530*F1530</f>
        <v>100</v>
      </c>
      <c r="H1530" s="977"/>
    </row>
    <row r="1531" spans="1:8" ht="19.5" hidden="1" thickBot="1" x14ac:dyDescent="0.35">
      <c r="A1531" s="879"/>
      <c r="B1531" s="880"/>
      <c r="C1531" s="881" t="s">
        <v>1214</v>
      </c>
      <c r="D1531" s="882">
        <v>1</v>
      </c>
      <c r="E1531" s="915" t="s">
        <v>33</v>
      </c>
      <c r="F1531" s="916" t="s">
        <v>6</v>
      </c>
      <c r="G1531" s="917">
        <f>SUM(G1524:G1530)</f>
        <v>361.08</v>
      </c>
      <c r="H1531" s="850" t="s">
        <v>1008</v>
      </c>
    </row>
    <row r="1532" spans="1:8" hidden="1" x14ac:dyDescent="0.3">
      <c r="D1532" s="886"/>
      <c r="E1532" s="918"/>
      <c r="F1532" s="919"/>
      <c r="G1532" s="999" t="str">
        <f>$G$37</f>
        <v xml:space="preserve"> เมษายน 2549</v>
      </c>
      <c r="H1532" s="888"/>
    </row>
    <row r="1533" spans="1:8" ht="19.5" hidden="1" x14ac:dyDescent="0.3">
      <c r="A1533" s="820" t="s">
        <v>1227</v>
      </c>
      <c r="B1533" s="820"/>
      <c r="C1533" s="820"/>
      <c r="D1533" s="820"/>
      <c r="E1533" s="820"/>
      <c r="F1533" s="820"/>
      <c r="G1533" s="820"/>
      <c r="H1533" s="820"/>
    </row>
    <row r="1534" spans="1:8" ht="24" thickBot="1" x14ac:dyDescent="0.4">
      <c r="A1534" s="1009" t="s">
        <v>758</v>
      </c>
      <c r="B1534" s="1009"/>
      <c r="C1534" s="1009"/>
      <c r="D1534" s="1009"/>
      <c r="E1534" s="1009"/>
      <c r="F1534" s="1009"/>
      <c r="G1534" s="1009"/>
      <c r="H1534" s="1009"/>
    </row>
    <row r="1535" spans="1:8" x14ac:dyDescent="0.3">
      <c r="A1535" s="823" t="s">
        <v>424</v>
      </c>
      <c r="B1535" s="824" t="s">
        <v>1</v>
      </c>
      <c r="C1535" s="825"/>
      <c r="D1535" s="826" t="s">
        <v>24</v>
      </c>
      <c r="E1535" s="826" t="s">
        <v>25</v>
      </c>
      <c r="F1535" s="827" t="s">
        <v>390</v>
      </c>
      <c r="G1535" s="828" t="s">
        <v>743</v>
      </c>
      <c r="H1535" s="829" t="s">
        <v>20</v>
      </c>
    </row>
    <row r="1536" spans="1:8" x14ac:dyDescent="0.3">
      <c r="A1536" s="830"/>
      <c r="B1536" s="831"/>
      <c r="C1536" s="832"/>
      <c r="D1536" s="833"/>
      <c r="E1536" s="833"/>
      <c r="F1536" s="834" t="s">
        <v>31</v>
      </c>
      <c r="G1536" s="835" t="s">
        <v>31</v>
      </c>
      <c r="H1536" s="836"/>
    </row>
    <row r="1537" spans="1:8" ht="19.5" x14ac:dyDescent="0.3">
      <c r="A1537" s="986">
        <v>13</v>
      </c>
      <c r="B1537" s="838" t="s">
        <v>1228</v>
      </c>
      <c r="C1537" s="987"/>
      <c r="D1537" s="847"/>
      <c r="E1537" s="847"/>
      <c r="F1537" s="848"/>
      <c r="G1537" s="849" t="s">
        <v>745</v>
      </c>
      <c r="H1537" s="850"/>
    </row>
    <row r="1538" spans="1:8" x14ac:dyDescent="0.3">
      <c r="A1538" s="869">
        <v>13.1</v>
      </c>
      <c r="B1538" s="846" t="s">
        <v>1229</v>
      </c>
      <c r="C1538" s="852"/>
      <c r="D1538" s="859" t="s">
        <v>745</v>
      </c>
      <c r="E1538" s="855" t="s">
        <v>745</v>
      </c>
      <c r="F1538" s="856" t="s">
        <v>745</v>
      </c>
      <c r="G1538" s="857" t="s">
        <v>745</v>
      </c>
      <c r="H1538" s="963" t="s">
        <v>745</v>
      </c>
    </row>
    <row r="1539" spans="1:8" x14ac:dyDescent="0.3">
      <c r="A1539" s="851"/>
      <c r="B1539" s="875"/>
      <c r="C1539" s="852" t="s">
        <v>1230</v>
      </c>
      <c r="D1539" s="859">
        <v>0.2</v>
      </c>
      <c r="E1539" s="855" t="s">
        <v>399</v>
      </c>
      <c r="F1539" s="856">
        <v>0</v>
      </c>
      <c r="G1539" s="857">
        <f>D1539*F1539</f>
        <v>0</v>
      </c>
      <c r="H1539" s="963" t="s">
        <v>745</v>
      </c>
    </row>
    <row r="1540" spans="1:8" x14ac:dyDescent="0.3">
      <c r="A1540" s="851"/>
      <c r="B1540" s="875"/>
      <c r="C1540" s="852" t="s">
        <v>1231</v>
      </c>
      <c r="D1540" s="859">
        <f>1/28</f>
        <v>3.5714285714285712E-2</v>
      </c>
      <c r="E1540" s="855" t="s">
        <v>1232</v>
      </c>
      <c r="F1540" s="948">
        <v>496.26</v>
      </c>
      <c r="G1540" s="857">
        <f>D1540*F1540</f>
        <v>17.723571428571429</v>
      </c>
      <c r="H1540" s="850"/>
    </row>
    <row r="1541" spans="1:8" x14ac:dyDescent="0.3">
      <c r="A1541" s="851"/>
      <c r="B1541" s="875"/>
      <c r="C1541" s="852" t="s">
        <v>1233</v>
      </c>
      <c r="D1541" s="859">
        <f>1/20</f>
        <v>0.05</v>
      </c>
      <c r="E1541" s="855" t="s">
        <v>1232</v>
      </c>
      <c r="F1541" s="948">
        <f>570.09</f>
        <v>570.09</v>
      </c>
      <c r="G1541" s="857">
        <f>D1541*F1541</f>
        <v>28.504500000000004</v>
      </c>
      <c r="H1541" s="850"/>
    </row>
    <row r="1542" spans="1:8" x14ac:dyDescent="0.3">
      <c r="A1542" s="851"/>
      <c r="B1542" s="875"/>
      <c r="C1542" s="852" t="s">
        <v>1234</v>
      </c>
      <c r="D1542" s="859">
        <v>1</v>
      </c>
      <c r="E1542" s="855" t="s">
        <v>540</v>
      </c>
      <c r="F1542" s="860"/>
      <c r="G1542" s="857">
        <f>D1542*F1542</f>
        <v>0</v>
      </c>
      <c r="H1542" s="850"/>
    </row>
    <row r="1543" spans="1:8" x14ac:dyDescent="0.3">
      <c r="A1543" s="861"/>
      <c r="B1543" s="862"/>
      <c r="C1543" s="863" t="s">
        <v>1235</v>
      </c>
      <c r="D1543" s="864">
        <v>1</v>
      </c>
      <c r="E1543" s="865" t="s">
        <v>33</v>
      </c>
      <c r="F1543" s="866" t="s">
        <v>6</v>
      </c>
      <c r="G1543" s="911">
        <f>FLOOR(SUM(G1539:G1542),2)</f>
        <v>46</v>
      </c>
      <c r="H1543" s="868" t="s">
        <v>752</v>
      </c>
    </row>
    <row r="1544" spans="1:8" hidden="1" x14ac:dyDescent="0.3">
      <c r="A1544" s="869">
        <v>13.2</v>
      </c>
      <c r="B1544" s="846" t="s">
        <v>1236</v>
      </c>
      <c r="C1544" s="852"/>
      <c r="D1544" s="859" t="s">
        <v>745</v>
      </c>
      <c r="E1544" s="855" t="s">
        <v>745</v>
      </c>
      <c r="F1544" s="856" t="s">
        <v>745</v>
      </c>
      <c r="G1544" s="857" t="s">
        <v>745</v>
      </c>
      <c r="H1544" s="963" t="s">
        <v>745</v>
      </c>
    </row>
    <row r="1545" spans="1:8" hidden="1" x14ac:dyDescent="0.3">
      <c r="A1545" s="851"/>
      <c r="B1545" s="875"/>
      <c r="C1545" s="852" t="s">
        <v>1230</v>
      </c>
      <c r="D1545" s="859">
        <v>0.2</v>
      </c>
      <c r="E1545" s="855" t="s">
        <v>399</v>
      </c>
      <c r="F1545" s="856">
        <v>10</v>
      </c>
      <c r="G1545" s="857">
        <f>D1545*F1545</f>
        <v>2</v>
      </c>
      <c r="H1545" s="963" t="s">
        <v>745</v>
      </c>
    </row>
    <row r="1546" spans="1:8" hidden="1" x14ac:dyDescent="0.3">
      <c r="A1546" s="851"/>
      <c r="B1546" s="875"/>
      <c r="C1546" s="852" t="s">
        <v>1237</v>
      </c>
      <c r="D1546" s="859">
        <f>1/28</f>
        <v>3.5714285714285712E-2</v>
      </c>
      <c r="E1546" s="855" t="s">
        <v>1232</v>
      </c>
      <c r="F1546" s="948">
        <v>494.7</v>
      </c>
      <c r="G1546" s="857">
        <f>D1546*F1546</f>
        <v>17.667857142857141</v>
      </c>
      <c r="H1546" s="850"/>
    </row>
    <row r="1547" spans="1:8" hidden="1" x14ac:dyDescent="0.3">
      <c r="A1547" s="851"/>
      <c r="B1547" s="875"/>
      <c r="C1547" s="852" t="s">
        <v>1238</v>
      </c>
      <c r="D1547" s="859">
        <f>1/20</f>
        <v>0.05</v>
      </c>
      <c r="E1547" s="855" t="s">
        <v>1232</v>
      </c>
      <c r="F1547" s="965">
        <v>378.51</v>
      </c>
      <c r="G1547" s="857">
        <f>D1547*F1547</f>
        <v>18.9255</v>
      </c>
      <c r="H1547" s="850"/>
    </row>
    <row r="1548" spans="1:8" hidden="1" x14ac:dyDescent="0.3">
      <c r="A1548" s="851"/>
      <c r="B1548" s="875"/>
      <c r="C1548" s="852" t="s">
        <v>1234</v>
      </c>
      <c r="D1548" s="859">
        <v>1</v>
      </c>
      <c r="E1548" s="855" t="s">
        <v>540</v>
      </c>
      <c r="F1548" s="860"/>
      <c r="G1548" s="857">
        <f>D1548*F1548</f>
        <v>0</v>
      </c>
      <c r="H1548" s="850"/>
    </row>
    <row r="1549" spans="1:8" hidden="1" x14ac:dyDescent="0.3">
      <c r="A1549" s="861"/>
      <c r="B1549" s="862"/>
      <c r="C1549" s="863" t="s">
        <v>1239</v>
      </c>
      <c r="D1549" s="864">
        <v>1</v>
      </c>
      <c r="E1549" s="865" t="s">
        <v>33</v>
      </c>
      <c r="F1549" s="866" t="s">
        <v>6</v>
      </c>
      <c r="G1549" s="911">
        <f>SUM(G1545:G1548)+0.93</f>
        <v>39.523357142857144</v>
      </c>
      <c r="H1549" s="868" t="s">
        <v>752</v>
      </c>
    </row>
    <row r="1550" spans="1:8" hidden="1" x14ac:dyDescent="0.3">
      <c r="A1550" s="869">
        <v>13.3</v>
      </c>
      <c r="B1550" s="846" t="s">
        <v>1240</v>
      </c>
      <c r="C1550" s="852"/>
      <c r="D1550" s="859" t="s">
        <v>745</v>
      </c>
      <c r="E1550" s="855" t="s">
        <v>745</v>
      </c>
      <c r="F1550" s="856" t="s">
        <v>745</v>
      </c>
      <c r="G1550" s="857" t="s">
        <v>745</v>
      </c>
      <c r="H1550" s="963" t="s">
        <v>745</v>
      </c>
    </row>
    <row r="1551" spans="1:8" hidden="1" x14ac:dyDescent="0.3">
      <c r="A1551" s="851"/>
      <c r="B1551" s="875"/>
      <c r="C1551" s="852" t="s">
        <v>1230</v>
      </c>
      <c r="D1551" s="859">
        <v>0.2</v>
      </c>
      <c r="E1551" s="855" t="s">
        <v>399</v>
      </c>
      <c r="F1551" s="856">
        <v>0</v>
      </c>
      <c r="G1551" s="857">
        <f>D1551*F1551</f>
        <v>0</v>
      </c>
      <c r="H1551" s="963" t="s">
        <v>745</v>
      </c>
    </row>
    <row r="1552" spans="1:8" hidden="1" x14ac:dyDescent="0.3">
      <c r="A1552" s="851"/>
      <c r="B1552" s="875"/>
      <c r="C1552" s="852" t="s">
        <v>1241</v>
      </c>
      <c r="D1552" s="859">
        <f>1/28</f>
        <v>3.5714285714285712E-2</v>
      </c>
      <c r="E1552" s="855" t="s">
        <v>1232</v>
      </c>
      <c r="F1552" s="948">
        <v>613</v>
      </c>
      <c r="G1552" s="857">
        <f>D1552*F1552</f>
        <v>21.892857142857142</v>
      </c>
      <c r="H1552" s="850"/>
    </row>
    <row r="1553" spans="1:8" hidden="1" x14ac:dyDescent="0.3">
      <c r="A1553" s="851"/>
      <c r="B1553" s="875"/>
      <c r="C1553" s="852" t="s">
        <v>1242</v>
      </c>
      <c r="D1553" s="859">
        <f>1/20</f>
        <v>0.05</v>
      </c>
      <c r="E1553" s="855" t="s">
        <v>1232</v>
      </c>
      <c r="F1553" s="965">
        <v>613</v>
      </c>
      <c r="G1553" s="857">
        <f>D1553*F1553</f>
        <v>30.650000000000002</v>
      </c>
      <c r="H1553" s="850"/>
    </row>
    <row r="1554" spans="1:8" hidden="1" x14ac:dyDescent="0.3">
      <c r="A1554" s="851"/>
      <c r="B1554" s="875"/>
      <c r="C1554" s="852" t="s">
        <v>1243</v>
      </c>
      <c r="D1554" s="859">
        <v>0.01</v>
      </c>
      <c r="E1554" s="855" t="s">
        <v>1232</v>
      </c>
      <c r="F1554" s="965">
        <v>317</v>
      </c>
      <c r="G1554" s="857">
        <f>D1554*F1554</f>
        <v>3.17</v>
      </c>
      <c r="H1554" s="850"/>
    </row>
    <row r="1555" spans="1:8" hidden="1" x14ac:dyDescent="0.3">
      <c r="A1555" s="861"/>
      <c r="B1555" s="862"/>
      <c r="C1555" s="863" t="s">
        <v>1244</v>
      </c>
      <c r="D1555" s="864">
        <v>1</v>
      </c>
      <c r="E1555" s="865" t="s">
        <v>33</v>
      </c>
      <c r="F1555" s="866" t="s">
        <v>6</v>
      </c>
      <c r="G1555" s="911">
        <f>SUM(G1551:G1554)</f>
        <v>55.712857142857146</v>
      </c>
      <c r="H1555" s="868" t="s">
        <v>752</v>
      </c>
    </row>
    <row r="1556" spans="1:8" hidden="1" x14ac:dyDescent="0.3">
      <c r="A1556" s="869">
        <v>13.4</v>
      </c>
      <c r="B1556" s="846" t="s">
        <v>1245</v>
      </c>
      <c r="C1556" s="852"/>
      <c r="D1556" s="859" t="s">
        <v>745</v>
      </c>
      <c r="E1556" s="855" t="s">
        <v>745</v>
      </c>
      <c r="F1556" s="856" t="s">
        <v>745</v>
      </c>
      <c r="G1556" s="857" t="s">
        <v>745</v>
      </c>
      <c r="H1556" s="963" t="s">
        <v>745</v>
      </c>
    </row>
    <row r="1557" spans="1:8" hidden="1" x14ac:dyDescent="0.3">
      <c r="A1557" s="851"/>
      <c r="B1557" s="875"/>
      <c r="C1557" s="852" t="s">
        <v>1246</v>
      </c>
      <c r="D1557" s="859">
        <v>0.2</v>
      </c>
      <c r="E1557" s="855" t="s">
        <v>399</v>
      </c>
      <c r="F1557" s="856">
        <v>20</v>
      </c>
      <c r="G1557" s="857">
        <f>D1557*F1557</f>
        <v>4</v>
      </c>
      <c r="H1557" s="963" t="s">
        <v>745</v>
      </c>
    </row>
    <row r="1558" spans="1:8" hidden="1" x14ac:dyDescent="0.3">
      <c r="A1558" s="851"/>
      <c r="B1558" s="875"/>
      <c r="C1558" s="852" t="s">
        <v>1247</v>
      </c>
      <c r="D1558" s="859">
        <f>1/28</f>
        <v>3.5714285714285712E-2</v>
      </c>
      <c r="E1558" s="855" t="s">
        <v>1232</v>
      </c>
      <c r="F1558" s="948">
        <v>416.5</v>
      </c>
      <c r="G1558" s="857">
        <f>D1558*F1558</f>
        <v>14.875</v>
      </c>
      <c r="H1558" s="850"/>
    </row>
    <row r="1559" spans="1:8" hidden="1" x14ac:dyDescent="0.3">
      <c r="A1559" s="851"/>
      <c r="B1559" s="875"/>
      <c r="C1559" s="852" t="s">
        <v>1248</v>
      </c>
      <c r="D1559" s="859">
        <f>1/18</f>
        <v>5.5555555555555552E-2</v>
      </c>
      <c r="E1559" s="855" t="s">
        <v>1232</v>
      </c>
      <c r="F1559" s="965">
        <v>483</v>
      </c>
      <c r="G1559" s="857">
        <f>D1559*F1559</f>
        <v>26.833333333333332</v>
      </c>
      <c r="H1559" s="850"/>
    </row>
    <row r="1560" spans="1:8" hidden="1" x14ac:dyDescent="0.3">
      <c r="A1560" s="851"/>
      <c r="B1560" s="875"/>
      <c r="C1560" s="852" t="s">
        <v>1249</v>
      </c>
      <c r="D1560" s="859">
        <v>0.01</v>
      </c>
      <c r="E1560" s="855" t="s">
        <v>1232</v>
      </c>
      <c r="F1560" s="965">
        <v>435</v>
      </c>
      <c r="G1560" s="857">
        <f>D1560*F1560</f>
        <v>4.3500000000000005</v>
      </c>
      <c r="H1560" s="850"/>
    </row>
    <row r="1561" spans="1:8" hidden="1" x14ac:dyDescent="0.3">
      <c r="A1561" s="861"/>
      <c r="B1561" s="862"/>
      <c r="C1561" s="863" t="s">
        <v>1250</v>
      </c>
      <c r="D1561" s="864">
        <v>1</v>
      </c>
      <c r="E1561" s="865" t="s">
        <v>33</v>
      </c>
      <c r="F1561" s="866" t="s">
        <v>6</v>
      </c>
      <c r="G1561" s="911">
        <f>SUM(G1557:G1560)</f>
        <v>50.05833333333333</v>
      </c>
      <c r="H1561" s="868" t="s">
        <v>752</v>
      </c>
    </row>
    <row r="1562" spans="1:8" hidden="1" x14ac:dyDescent="0.3">
      <c r="A1562" s="869">
        <v>13.5</v>
      </c>
      <c r="B1562" s="846" t="s">
        <v>1251</v>
      </c>
      <c r="C1562" s="852"/>
      <c r="D1562" s="859" t="s">
        <v>745</v>
      </c>
      <c r="E1562" s="855" t="s">
        <v>745</v>
      </c>
      <c r="F1562" s="856" t="s">
        <v>745</v>
      </c>
      <c r="G1562" s="857" t="s">
        <v>745</v>
      </c>
      <c r="H1562" s="963" t="s">
        <v>745</v>
      </c>
    </row>
    <row r="1563" spans="1:8" hidden="1" x14ac:dyDescent="0.3">
      <c r="A1563" s="851"/>
      <c r="B1563" s="875"/>
      <c r="C1563" s="852" t="s">
        <v>1246</v>
      </c>
      <c r="D1563" s="859">
        <v>0.2</v>
      </c>
      <c r="E1563" s="855" t="s">
        <v>399</v>
      </c>
      <c r="F1563" s="856"/>
      <c r="G1563" s="857">
        <f>D1563*F1563</f>
        <v>0</v>
      </c>
      <c r="H1563" s="963" t="s">
        <v>745</v>
      </c>
    </row>
    <row r="1564" spans="1:8" hidden="1" x14ac:dyDescent="0.3">
      <c r="A1564" s="851"/>
      <c r="B1564" s="875"/>
      <c r="C1564" s="852" t="s">
        <v>1247</v>
      </c>
      <c r="D1564" s="859">
        <f>1/28</f>
        <v>3.5714285714285712E-2</v>
      </c>
      <c r="E1564" s="855" t="s">
        <v>1232</v>
      </c>
      <c r="F1564" s="948"/>
      <c r="G1564" s="857">
        <f>D1564*F1564</f>
        <v>0</v>
      </c>
      <c r="H1564" s="850"/>
    </row>
    <row r="1565" spans="1:8" hidden="1" x14ac:dyDescent="0.3">
      <c r="A1565" s="851"/>
      <c r="B1565" s="875"/>
      <c r="C1565" s="852" t="s">
        <v>1248</v>
      </c>
      <c r="D1565" s="859">
        <f>1/18</f>
        <v>5.5555555555555552E-2</v>
      </c>
      <c r="E1565" s="855" t="s">
        <v>1232</v>
      </c>
      <c r="F1565" s="965">
        <v>672.9</v>
      </c>
      <c r="G1565" s="857">
        <f>D1565*F1565</f>
        <v>37.383333333333333</v>
      </c>
      <c r="H1565" s="850"/>
    </row>
    <row r="1566" spans="1:8" hidden="1" x14ac:dyDescent="0.3">
      <c r="A1566" s="851"/>
      <c r="B1566" s="875"/>
      <c r="C1566" s="852" t="s">
        <v>1249</v>
      </c>
      <c r="D1566" s="859">
        <v>0.01</v>
      </c>
      <c r="E1566" s="855" t="s">
        <v>1232</v>
      </c>
      <c r="F1566" s="965">
        <v>317.76</v>
      </c>
      <c r="G1566" s="857">
        <f>D1566*F1566</f>
        <v>3.1776</v>
      </c>
      <c r="H1566" s="850"/>
    </row>
    <row r="1567" spans="1:8" hidden="1" x14ac:dyDescent="0.3">
      <c r="A1567" s="851"/>
      <c r="B1567" s="875"/>
      <c r="C1567" s="852" t="s">
        <v>1252</v>
      </c>
      <c r="D1567" s="854">
        <v>1</v>
      </c>
      <c r="E1567" s="855" t="s">
        <v>33</v>
      </c>
      <c r="F1567" s="876" t="s">
        <v>6</v>
      </c>
      <c r="G1567" s="1000">
        <f>SUM(G1563:G1566)</f>
        <v>40.560933333333331</v>
      </c>
      <c r="H1567" s="878" t="s">
        <v>752</v>
      </c>
    </row>
    <row r="1568" spans="1:8" ht="19.5" hidden="1" thickBot="1" x14ac:dyDescent="0.35">
      <c r="A1568" s="1001"/>
      <c r="B1568" s="1002"/>
      <c r="C1568" s="1003" t="s">
        <v>745</v>
      </c>
      <c r="D1568" s="1004" t="s">
        <v>745</v>
      </c>
      <c r="E1568" s="1005" t="s">
        <v>745</v>
      </c>
      <c r="F1568" s="1006" t="s">
        <v>745</v>
      </c>
      <c r="G1568" s="1007" t="s">
        <v>745</v>
      </c>
      <c r="H1568" s="1008" t="s">
        <v>745</v>
      </c>
    </row>
    <row r="1569" spans="6:8" hidden="1" x14ac:dyDescent="0.3">
      <c r="F1569" s="821"/>
      <c r="G1569" s="888" t="str">
        <f>$G$37</f>
        <v xml:space="preserve"> เมษายน 2549</v>
      </c>
      <c r="H1569" s="888"/>
    </row>
  </sheetData>
  <mergeCells count="336">
    <mergeCell ref="G1569:H1569"/>
    <mergeCell ref="G1532:H1532"/>
    <mergeCell ref="A1533:H1533"/>
    <mergeCell ref="A1534:H1534"/>
    <mergeCell ref="A1535:A1536"/>
    <mergeCell ref="B1535:C1536"/>
    <mergeCell ref="D1535:D1536"/>
    <mergeCell ref="E1535:E1536"/>
    <mergeCell ref="H1535:H1536"/>
    <mergeCell ref="G1495:H1495"/>
    <mergeCell ref="A1496:H1496"/>
    <mergeCell ref="A1497:H1497"/>
    <mergeCell ref="A1498:A1499"/>
    <mergeCell ref="B1498:C1499"/>
    <mergeCell ref="D1498:D1499"/>
    <mergeCell ref="E1498:E1499"/>
    <mergeCell ref="H1498:H1499"/>
    <mergeCell ref="G1458:H1458"/>
    <mergeCell ref="A1459:H1459"/>
    <mergeCell ref="A1460:H1460"/>
    <mergeCell ref="A1461:A1462"/>
    <mergeCell ref="B1461:C1462"/>
    <mergeCell ref="D1461:D1462"/>
    <mergeCell ref="E1461:E1462"/>
    <mergeCell ref="H1461:H1462"/>
    <mergeCell ref="G1421:H1421"/>
    <mergeCell ref="A1422:H1422"/>
    <mergeCell ref="A1423:H1423"/>
    <mergeCell ref="A1424:A1425"/>
    <mergeCell ref="B1424:C1425"/>
    <mergeCell ref="D1424:D1425"/>
    <mergeCell ref="E1424:E1425"/>
    <mergeCell ref="H1424:H1425"/>
    <mergeCell ref="G1381:H1381"/>
    <mergeCell ref="A1382:H1382"/>
    <mergeCell ref="A1383:H1383"/>
    <mergeCell ref="A1384:A1385"/>
    <mergeCell ref="B1384:C1385"/>
    <mergeCell ref="D1384:D1385"/>
    <mergeCell ref="E1384:E1385"/>
    <mergeCell ref="H1384:H1385"/>
    <mergeCell ref="G1343:H1343"/>
    <mergeCell ref="A1344:H1344"/>
    <mergeCell ref="A1345:H1345"/>
    <mergeCell ref="A1346:A1347"/>
    <mergeCell ref="B1346:C1347"/>
    <mergeCell ref="D1346:D1347"/>
    <mergeCell ref="E1346:E1347"/>
    <mergeCell ref="H1346:H1347"/>
    <mergeCell ref="G1306:H1306"/>
    <mergeCell ref="A1307:H1307"/>
    <mergeCell ref="A1308:H1308"/>
    <mergeCell ref="A1309:A1310"/>
    <mergeCell ref="B1309:C1310"/>
    <mergeCell ref="D1309:D1310"/>
    <mergeCell ref="E1309:E1310"/>
    <mergeCell ref="H1309:H1310"/>
    <mergeCell ref="G1269:H1269"/>
    <mergeCell ref="A1270:H1270"/>
    <mergeCell ref="A1271:H1271"/>
    <mergeCell ref="A1272:A1273"/>
    <mergeCell ref="B1272:C1273"/>
    <mergeCell ref="D1272:D1273"/>
    <mergeCell ref="E1272:E1273"/>
    <mergeCell ref="H1272:H1273"/>
    <mergeCell ref="G1232:H1232"/>
    <mergeCell ref="A1233:H1233"/>
    <mergeCell ref="A1234:H1234"/>
    <mergeCell ref="A1235:A1236"/>
    <mergeCell ref="B1235:C1236"/>
    <mergeCell ref="D1235:D1236"/>
    <mergeCell ref="E1235:E1236"/>
    <mergeCell ref="H1235:H1236"/>
    <mergeCell ref="G1195:H1195"/>
    <mergeCell ref="A1196:H1196"/>
    <mergeCell ref="A1197:H1197"/>
    <mergeCell ref="A1198:A1199"/>
    <mergeCell ref="B1198:C1199"/>
    <mergeCell ref="D1198:D1199"/>
    <mergeCell ref="E1198:E1199"/>
    <mergeCell ref="H1198:H1199"/>
    <mergeCell ref="G1158:H1158"/>
    <mergeCell ref="A1159:H1159"/>
    <mergeCell ref="A1160:H1160"/>
    <mergeCell ref="A1161:A1162"/>
    <mergeCell ref="B1161:C1162"/>
    <mergeCell ref="D1161:D1162"/>
    <mergeCell ref="E1161:E1162"/>
    <mergeCell ref="H1161:H1162"/>
    <mergeCell ref="G1121:H1121"/>
    <mergeCell ref="A1122:H1122"/>
    <mergeCell ref="A1123:H1123"/>
    <mergeCell ref="A1124:A1125"/>
    <mergeCell ref="B1124:C1125"/>
    <mergeCell ref="D1124:D1125"/>
    <mergeCell ref="E1124:E1125"/>
    <mergeCell ref="H1124:H1125"/>
    <mergeCell ref="G1084:H1084"/>
    <mergeCell ref="A1085:H1085"/>
    <mergeCell ref="A1086:H1086"/>
    <mergeCell ref="A1087:A1088"/>
    <mergeCell ref="B1087:C1088"/>
    <mergeCell ref="D1087:D1088"/>
    <mergeCell ref="E1087:E1088"/>
    <mergeCell ref="H1087:H1088"/>
    <mergeCell ref="G1047:H1047"/>
    <mergeCell ref="A1048:H1048"/>
    <mergeCell ref="A1049:H1049"/>
    <mergeCell ref="A1050:A1051"/>
    <mergeCell ref="B1050:C1051"/>
    <mergeCell ref="D1050:D1051"/>
    <mergeCell ref="E1050:E1051"/>
    <mergeCell ref="H1050:H1051"/>
    <mergeCell ref="G1010:H1010"/>
    <mergeCell ref="A1011:H1011"/>
    <mergeCell ref="A1012:H1012"/>
    <mergeCell ref="A1013:A1014"/>
    <mergeCell ref="B1013:C1014"/>
    <mergeCell ref="D1013:D1014"/>
    <mergeCell ref="E1013:E1014"/>
    <mergeCell ref="H1013:H1014"/>
    <mergeCell ref="G972:H972"/>
    <mergeCell ref="A973:H973"/>
    <mergeCell ref="A974:H974"/>
    <mergeCell ref="A975:A976"/>
    <mergeCell ref="B975:C976"/>
    <mergeCell ref="D975:D976"/>
    <mergeCell ref="E975:E976"/>
    <mergeCell ref="H975:H976"/>
    <mergeCell ref="G935:H935"/>
    <mergeCell ref="A936:H936"/>
    <mergeCell ref="A937:H937"/>
    <mergeCell ref="A938:A939"/>
    <mergeCell ref="B938:C939"/>
    <mergeCell ref="D938:D939"/>
    <mergeCell ref="E938:E939"/>
    <mergeCell ref="H938:H939"/>
    <mergeCell ref="G898:H898"/>
    <mergeCell ref="A899:H899"/>
    <mergeCell ref="A900:H900"/>
    <mergeCell ref="A901:A902"/>
    <mergeCell ref="B901:C902"/>
    <mergeCell ref="D901:D902"/>
    <mergeCell ref="E901:E902"/>
    <mergeCell ref="H901:H902"/>
    <mergeCell ref="G861:H861"/>
    <mergeCell ref="A862:H862"/>
    <mergeCell ref="A863:H863"/>
    <mergeCell ref="A864:A865"/>
    <mergeCell ref="B864:C865"/>
    <mergeCell ref="D864:D865"/>
    <mergeCell ref="E864:E865"/>
    <mergeCell ref="H864:H865"/>
    <mergeCell ref="G821:H821"/>
    <mergeCell ref="A822:H822"/>
    <mergeCell ref="A823:H823"/>
    <mergeCell ref="A824:A825"/>
    <mergeCell ref="B824:C825"/>
    <mergeCell ref="D824:D825"/>
    <mergeCell ref="E824:E825"/>
    <mergeCell ref="H824:H825"/>
    <mergeCell ref="G783:H783"/>
    <mergeCell ref="A784:H784"/>
    <mergeCell ref="A785:H785"/>
    <mergeCell ref="A786:A787"/>
    <mergeCell ref="B786:C787"/>
    <mergeCell ref="D786:D787"/>
    <mergeCell ref="E786:E787"/>
    <mergeCell ref="H786:H787"/>
    <mergeCell ref="G746:H746"/>
    <mergeCell ref="A747:H747"/>
    <mergeCell ref="A748:H748"/>
    <mergeCell ref="A749:A750"/>
    <mergeCell ref="B749:C750"/>
    <mergeCell ref="D749:D750"/>
    <mergeCell ref="E749:E750"/>
    <mergeCell ref="H749:H750"/>
    <mergeCell ref="G706:H706"/>
    <mergeCell ref="A707:H707"/>
    <mergeCell ref="A708:H708"/>
    <mergeCell ref="A709:A710"/>
    <mergeCell ref="B709:C710"/>
    <mergeCell ref="D709:D710"/>
    <mergeCell ref="E709:E710"/>
    <mergeCell ref="H709:H710"/>
    <mergeCell ref="G669:H669"/>
    <mergeCell ref="A670:H670"/>
    <mergeCell ref="A671:H671"/>
    <mergeCell ref="A672:A673"/>
    <mergeCell ref="B672:C673"/>
    <mergeCell ref="D672:D673"/>
    <mergeCell ref="E672:E673"/>
    <mergeCell ref="H672:H673"/>
    <mergeCell ref="G632:H632"/>
    <mergeCell ref="A633:H633"/>
    <mergeCell ref="A634:H634"/>
    <mergeCell ref="A635:A636"/>
    <mergeCell ref="B635:C636"/>
    <mergeCell ref="D635:D636"/>
    <mergeCell ref="E635:E636"/>
    <mergeCell ref="H635:H636"/>
    <mergeCell ref="G595:H595"/>
    <mergeCell ref="A596:H596"/>
    <mergeCell ref="A597:H597"/>
    <mergeCell ref="A598:A599"/>
    <mergeCell ref="B598:C599"/>
    <mergeCell ref="D598:D599"/>
    <mergeCell ref="E598:E599"/>
    <mergeCell ref="H598:H599"/>
    <mergeCell ref="G558:H558"/>
    <mergeCell ref="A559:H559"/>
    <mergeCell ref="A560:H560"/>
    <mergeCell ref="A561:A562"/>
    <mergeCell ref="B561:C562"/>
    <mergeCell ref="D561:D562"/>
    <mergeCell ref="E561:E562"/>
    <mergeCell ref="H561:H562"/>
    <mergeCell ref="G521:H521"/>
    <mergeCell ref="A522:H522"/>
    <mergeCell ref="A523:H523"/>
    <mergeCell ref="A524:A525"/>
    <mergeCell ref="B524:C525"/>
    <mergeCell ref="D524:D525"/>
    <mergeCell ref="E524:E525"/>
    <mergeCell ref="H524:H525"/>
    <mergeCell ref="G484:H484"/>
    <mergeCell ref="A485:H485"/>
    <mergeCell ref="A486:H486"/>
    <mergeCell ref="A487:A488"/>
    <mergeCell ref="B487:C488"/>
    <mergeCell ref="D487:D488"/>
    <mergeCell ref="E487:E488"/>
    <mergeCell ref="H487:H488"/>
    <mergeCell ref="G447:H447"/>
    <mergeCell ref="A448:H448"/>
    <mergeCell ref="A449:H449"/>
    <mergeCell ref="A450:A451"/>
    <mergeCell ref="B450:C451"/>
    <mergeCell ref="D450:D451"/>
    <mergeCell ref="E450:E451"/>
    <mergeCell ref="H450:H451"/>
    <mergeCell ref="G410:H410"/>
    <mergeCell ref="A411:H411"/>
    <mergeCell ref="A412:H412"/>
    <mergeCell ref="A413:A414"/>
    <mergeCell ref="B413:C414"/>
    <mergeCell ref="D413:D414"/>
    <mergeCell ref="E413:E414"/>
    <mergeCell ref="H413:H414"/>
    <mergeCell ref="G371:H371"/>
    <mergeCell ref="A372:H372"/>
    <mergeCell ref="A373:H373"/>
    <mergeCell ref="A374:A375"/>
    <mergeCell ref="B374:C375"/>
    <mergeCell ref="D374:D375"/>
    <mergeCell ref="E374:E375"/>
    <mergeCell ref="H374:H375"/>
    <mergeCell ref="G334:H334"/>
    <mergeCell ref="A335:H335"/>
    <mergeCell ref="A336:H336"/>
    <mergeCell ref="A337:A338"/>
    <mergeCell ref="B337:C338"/>
    <mergeCell ref="D337:D338"/>
    <mergeCell ref="E337:E338"/>
    <mergeCell ref="H337:H338"/>
    <mergeCell ref="G297:H297"/>
    <mergeCell ref="A298:H298"/>
    <mergeCell ref="A299:H299"/>
    <mergeCell ref="A300:A301"/>
    <mergeCell ref="B300:C301"/>
    <mergeCell ref="D300:D301"/>
    <mergeCell ref="E300:E301"/>
    <mergeCell ref="H300:H301"/>
    <mergeCell ref="G260:H260"/>
    <mergeCell ref="A261:H261"/>
    <mergeCell ref="A262:H262"/>
    <mergeCell ref="A263:A264"/>
    <mergeCell ref="B263:C264"/>
    <mergeCell ref="D263:D264"/>
    <mergeCell ref="E263:E264"/>
    <mergeCell ref="H263:H264"/>
    <mergeCell ref="G223:H223"/>
    <mergeCell ref="A224:H224"/>
    <mergeCell ref="A225:H225"/>
    <mergeCell ref="A226:A227"/>
    <mergeCell ref="B226:C227"/>
    <mergeCell ref="D226:D227"/>
    <mergeCell ref="E226:E227"/>
    <mergeCell ref="H226:H227"/>
    <mergeCell ref="G186:H186"/>
    <mergeCell ref="A187:H187"/>
    <mergeCell ref="A188:H188"/>
    <mergeCell ref="A189:A190"/>
    <mergeCell ref="B189:C190"/>
    <mergeCell ref="D189:D190"/>
    <mergeCell ref="E189:E190"/>
    <mergeCell ref="H189:H190"/>
    <mergeCell ref="G149:H149"/>
    <mergeCell ref="A150:H150"/>
    <mergeCell ref="A151:H151"/>
    <mergeCell ref="A152:A153"/>
    <mergeCell ref="B152:C153"/>
    <mergeCell ref="D152:D153"/>
    <mergeCell ref="E152:E153"/>
    <mergeCell ref="H152:H153"/>
    <mergeCell ref="G112:H112"/>
    <mergeCell ref="A113:H113"/>
    <mergeCell ref="A114:H114"/>
    <mergeCell ref="A115:A116"/>
    <mergeCell ref="B115:C116"/>
    <mergeCell ref="D115:D116"/>
    <mergeCell ref="E115:E116"/>
    <mergeCell ref="H115:H116"/>
    <mergeCell ref="A76:H76"/>
    <mergeCell ref="A77:A78"/>
    <mergeCell ref="B77:C78"/>
    <mergeCell ref="D77:D78"/>
    <mergeCell ref="E77:E78"/>
    <mergeCell ref="H77:H78"/>
    <mergeCell ref="G37:H37"/>
    <mergeCell ref="A38:H38"/>
    <mergeCell ref="A39:H39"/>
    <mergeCell ref="A40:A41"/>
    <mergeCell ref="B40:C41"/>
    <mergeCell ref="D40:D41"/>
    <mergeCell ref="E40:E41"/>
    <mergeCell ref="H40:H41"/>
    <mergeCell ref="A1:H1"/>
    <mergeCell ref="A2:H2"/>
    <mergeCell ref="A3:A4"/>
    <mergeCell ref="B3:C4"/>
    <mergeCell ref="D3:D4"/>
    <mergeCell ref="E3:E4"/>
    <mergeCell ref="H3:H4"/>
    <mergeCell ref="G74:H74"/>
    <mergeCell ref="A75:H75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K27"/>
  <sheetViews>
    <sheetView view="pageBreakPreview" topLeftCell="A4" zoomScale="60" zoomScaleNormal="100" workbookViewId="0">
      <selection activeCell="N11" sqref="N11"/>
    </sheetView>
  </sheetViews>
  <sheetFormatPr defaultRowHeight="15.75" x14ac:dyDescent="0.25"/>
  <cols>
    <col min="1" max="1" width="5" style="428" customWidth="1"/>
    <col min="2" max="2" width="21.28515625" style="428" customWidth="1"/>
    <col min="3" max="3" width="9" style="428" customWidth="1"/>
    <col min="4" max="4" width="7" style="428" customWidth="1"/>
    <col min="5" max="5" width="10.140625" style="428" customWidth="1"/>
    <col min="6" max="6" width="10.7109375" style="428" customWidth="1"/>
    <col min="7" max="7" width="11.42578125" style="428" customWidth="1"/>
    <col min="8" max="8" width="9.140625" style="428" customWidth="1"/>
    <col min="9" max="9" width="9.5703125" style="428" customWidth="1"/>
    <col min="10" max="10" width="7.140625" style="428" customWidth="1"/>
    <col min="11" max="11" width="15.85546875" style="428" bestFit="1" customWidth="1"/>
    <col min="12" max="12" width="12.28515625" style="428" customWidth="1"/>
    <col min="13" max="13" width="9.140625" style="428"/>
    <col min="14" max="14" width="11.85546875" style="428" customWidth="1"/>
    <col min="15" max="255" width="9.140625" style="428"/>
    <col min="256" max="256" width="5" style="428" customWidth="1"/>
    <col min="257" max="257" width="21.28515625" style="428" customWidth="1"/>
    <col min="258" max="258" width="9" style="428" customWidth="1"/>
    <col min="259" max="259" width="4.85546875" style="428" customWidth="1"/>
    <col min="260" max="260" width="10.140625" style="428" customWidth="1"/>
    <col min="261" max="261" width="10.7109375" style="428" customWidth="1"/>
    <col min="262" max="262" width="8.42578125" style="428" customWidth="1"/>
    <col min="263" max="263" width="9.140625" style="428" customWidth="1"/>
    <col min="264" max="264" width="9.5703125" style="428" customWidth="1"/>
    <col min="265" max="265" width="7.140625" style="428" customWidth="1"/>
    <col min="266" max="266" width="12.85546875" style="428" customWidth="1"/>
    <col min="267" max="267" width="15.85546875" style="428" bestFit="1" customWidth="1"/>
    <col min="268" max="268" width="12.28515625" style="428" customWidth="1"/>
    <col min="269" max="269" width="9.140625" style="428"/>
    <col min="270" max="270" width="11.85546875" style="428" customWidth="1"/>
    <col min="271" max="511" width="9.140625" style="428"/>
    <col min="512" max="512" width="5" style="428" customWidth="1"/>
    <col min="513" max="513" width="21.28515625" style="428" customWidth="1"/>
    <col min="514" max="514" width="9" style="428" customWidth="1"/>
    <col min="515" max="515" width="4.85546875" style="428" customWidth="1"/>
    <col min="516" max="516" width="10.140625" style="428" customWidth="1"/>
    <col min="517" max="517" width="10.7109375" style="428" customWidth="1"/>
    <col min="518" max="518" width="8.42578125" style="428" customWidth="1"/>
    <col min="519" max="519" width="9.140625" style="428" customWidth="1"/>
    <col min="520" max="520" width="9.5703125" style="428" customWidth="1"/>
    <col min="521" max="521" width="7.140625" style="428" customWidth="1"/>
    <col min="522" max="522" width="12.85546875" style="428" customWidth="1"/>
    <col min="523" max="523" width="15.85546875" style="428" bestFit="1" customWidth="1"/>
    <col min="524" max="524" width="12.28515625" style="428" customWidth="1"/>
    <col min="525" max="525" width="9.140625" style="428"/>
    <col min="526" max="526" width="11.85546875" style="428" customWidth="1"/>
    <col min="527" max="767" width="9.140625" style="428"/>
    <col min="768" max="768" width="5" style="428" customWidth="1"/>
    <col min="769" max="769" width="21.28515625" style="428" customWidth="1"/>
    <col min="770" max="770" width="9" style="428" customWidth="1"/>
    <col min="771" max="771" width="4.85546875" style="428" customWidth="1"/>
    <col min="772" max="772" width="10.140625" style="428" customWidth="1"/>
    <col min="773" max="773" width="10.7109375" style="428" customWidth="1"/>
    <col min="774" max="774" width="8.42578125" style="428" customWidth="1"/>
    <col min="775" max="775" width="9.140625" style="428" customWidth="1"/>
    <col min="776" max="776" width="9.5703125" style="428" customWidth="1"/>
    <col min="777" max="777" width="7.140625" style="428" customWidth="1"/>
    <col min="778" max="778" width="12.85546875" style="428" customWidth="1"/>
    <col min="779" max="779" width="15.85546875" style="428" bestFit="1" customWidth="1"/>
    <col min="780" max="780" width="12.28515625" style="428" customWidth="1"/>
    <col min="781" max="781" width="9.140625" style="428"/>
    <col min="782" max="782" width="11.85546875" style="428" customWidth="1"/>
    <col min="783" max="1023" width="9.140625" style="428"/>
    <col min="1024" max="1024" width="5" style="428" customWidth="1"/>
    <col min="1025" max="1025" width="21.28515625" style="428" customWidth="1"/>
    <col min="1026" max="1026" width="9" style="428" customWidth="1"/>
    <col min="1027" max="1027" width="4.85546875" style="428" customWidth="1"/>
    <col min="1028" max="1028" width="10.140625" style="428" customWidth="1"/>
    <col min="1029" max="1029" width="10.7109375" style="428" customWidth="1"/>
    <col min="1030" max="1030" width="8.42578125" style="428" customWidth="1"/>
    <col min="1031" max="1031" width="9.140625" style="428" customWidth="1"/>
    <col min="1032" max="1032" width="9.5703125" style="428" customWidth="1"/>
    <col min="1033" max="1033" width="7.140625" style="428" customWidth="1"/>
    <col min="1034" max="1034" width="12.85546875" style="428" customWidth="1"/>
    <col min="1035" max="1035" width="15.85546875" style="428" bestFit="1" customWidth="1"/>
    <col min="1036" max="1036" width="12.28515625" style="428" customWidth="1"/>
    <col min="1037" max="1037" width="9.140625" style="428"/>
    <col min="1038" max="1038" width="11.85546875" style="428" customWidth="1"/>
    <col min="1039" max="1279" width="9.140625" style="428"/>
    <col min="1280" max="1280" width="5" style="428" customWidth="1"/>
    <col min="1281" max="1281" width="21.28515625" style="428" customWidth="1"/>
    <col min="1282" max="1282" width="9" style="428" customWidth="1"/>
    <col min="1283" max="1283" width="4.85546875" style="428" customWidth="1"/>
    <col min="1284" max="1284" width="10.140625" style="428" customWidth="1"/>
    <col min="1285" max="1285" width="10.7109375" style="428" customWidth="1"/>
    <col min="1286" max="1286" width="8.42578125" style="428" customWidth="1"/>
    <col min="1287" max="1287" width="9.140625" style="428" customWidth="1"/>
    <col min="1288" max="1288" width="9.5703125" style="428" customWidth="1"/>
    <col min="1289" max="1289" width="7.140625" style="428" customWidth="1"/>
    <col min="1290" max="1290" width="12.85546875" style="428" customWidth="1"/>
    <col min="1291" max="1291" width="15.85546875" style="428" bestFit="1" customWidth="1"/>
    <col min="1292" max="1292" width="12.28515625" style="428" customWidth="1"/>
    <col min="1293" max="1293" width="9.140625" style="428"/>
    <col min="1294" max="1294" width="11.85546875" style="428" customWidth="1"/>
    <col min="1295" max="1535" width="9.140625" style="428"/>
    <col min="1536" max="1536" width="5" style="428" customWidth="1"/>
    <col min="1537" max="1537" width="21.28515625" style="428" customWidth="1"/>
    <col min="1538" max="1538" width="9" style="428" customWidth="1"/>
    <col min="1539" max="1539" width="4.85546875" style="428" customWidth="1"/>
    <col min="1540" max="1540" width="10.140625" style="428" customWidth="1"/>
    <col min="1541" max="1541" width="10.7109375" style="428" customWidth="1"/>
    <col min="1542" max="1542" width="8.42578125" style="428" customWidth="1"/>
    <col min="1543" max="1543" width="9.140625" style="428" customWidth="1"/>
    <col min="1544" max="1544" width="9.5703125" style="428" customWidth="1"/>
    <col min="1545" max="1545" width="7.140625" style="428" customWidth="1"/>
    <col min="1546" max="1546" width="12.85546875" style="428" customWidth="1"/>
    <col min="1547" max="1547" width="15.85546875" style="428" bestFit="1" customWidth="1"/>
    <col min="1548" max="1548" width="12.28515625" style="428" customWidth="1"/>
    <col min="1549" max="1549" width="9.140625" style="428"/>
    <col min="1550" max="1550" width="11.85546875" style="428" customWidth="1"/>
    <col min="1551" max="1791" width="9.140625" style="428"/>
    <col min="1792" max="1792" width="5" style="428" customWidth="1"/>
    <col min="1793" max="1793" width="21.28515625" style="428" customWidth="1"/>
    <col min="1794" max="1794" width="9" style="428" customWidth="1"/>
    <col min="1795" max="1795" width="4.85546875" style="428" customWidth="1"/>
    <col min="1796" max="1796" width="10.140625" style="428" customWidth="1"/>
    <col min="1797" max="1797" width="10.7109375" style="428" customWidth="1"/>
    <col min="1798" max="1798" width="8.42578125" style="428" customWidth="1"/>
    <col min="1799" max="1799" width="9.140625" style="428" customWidth="1"/>
    <col min="1800" max="1800" width="9.5703125" style="428" customWidth="1"/>
    <col min="1801" max="1801" width="7.140625" style="428" customWidth="1"/>
    <col min="1802" max="1802" width="12.85546875" style="428" customWidth="1"/>
    <col min="1803" max="1803" width="15.85546875" style="428" bestFit="1" customWidth="1"/>
    <col min="1804" max="1804" width="12.28515625" style="428" customWidth="1"/>
    <col min="1805" max="1805" width="9.140625" style="428"/>
    <col min="1806" max="1806" width="11.85546875" style="428" customWidth="1"/>
    <col min="1807" max="2047" width="9.140625" style="428"/>
    <col min="2048" max="2048" width="5" style="428" customWidth="1"/>
    <col min="2049" max="2049" width="21.28515625" style="428" customWidth="1"/>
    <col min="2050" max="2050" width="9" style="428" customWidth="1"/>
    <col min="2051" max="2051" width="4.85546875" style="428" customWidth="1"/>
    <col min="2052" max="2052" width="10.140625" style="428" customWidth="1"/>
    <col min="2053" max="2053" width="10.7109375" style="428" customWidth="1"/>
    <col min="2054" max="2054" width="8.42578125" style="428" customWidth="1"/>
    <col min="2055" max="2055" width="9.140625" style="428" customWidth="1"/>
    <col min="2056" max="2056" width="9.5703125" style="428" customWidth="1"/>
    <col min="2057" max="2057" width="7.140625" style="428" customWidth="1"/>
    <col min="2058" max="2058" width="12.85546875" style="428" customWidth="1"/>
    <col min="2059" max="2059" width="15.85546875" style="428" bestFit="1" customWidth="1"/>
    <col min="2060" max="2060" width="12.28515625" style="428" customWidth="1"/>
    <col min="2061" max="2061" width="9.140625" style="428"/>
    <col min="2062" max="2062" width="11.85546875" style="428" customWidth="1"/>
    <col min="2063" max="2303" width="9.140625" style="428"/>
    <col min="2304" max="2304" width="5" style="428" customWidth="1"/>
    <col min="2305" max="2305" width="21.28515625" style="428" customWidth="1"/>
    <col min="2306" max="2306" width="9" style="428" customWidth="1"/>
    <col min="2307" max="2307" width="4.85546875" style="428" customWidth="1"/>
    <col min="2308" max="2308" width="10.140625" style="428" customWidth="1"/>
    <col min="2309" max="2309" width="10.7109375" style="428" customWidth="1"/>
    <col min="2310" max="2310" width="8.42578125" style="428" customWidth="1"/>
    <col min="2311" max="2311" width="9.140625" style="428" customWidth="1"/>
    <col min="2312" max="2312" width="9.5703125" style="428" customWidth="1"/>
    <col min="2313" max="2313" width="7.140625" style="428" customWidth="1"/>
    <col min="2314" max="2314" width="12.85546875" style="428" customWidth="1"/>
    <col min="2315" max="2315" width="15.85546875" style="428" bestFit="1" customWidth="1"/>
    <col min="2316" max="2316" width="12.28515625" style="428" customWidth="1"/>
    <col min="2317" max="2317" width="9.140625" style="428"/>
    <col min="2318" max="2318" width="11.85546875" style="428" customWidth="1"/>
    <col min="2319" max="2559" width="9.140625" style="428"/>
    <col min="2560" max="2560" width="5" style="428" customWidth="1"/>
    <col min="2561" max="2561" width="21.28515625" style="428" customWidth="1"/>
    <col min="2562" max="2562" width="9" style="428" customWidth="1"/>
    <col min="2563" max="2563" width="4.85546875" style="428" customWidth="1"/>
    <col min="2564" max="2564" width="10.140625" style="428" customWidth="1"/>
    <col min="2565" max="2565" width="10.7109375" style="428" customWidth="1"/>
    <col min="2566" max="2566" width="8.42578125" style="428" customWidth="1"/>
    <col min="2567" max="2567" width="9.140625" style="428" customWidth="1"/>
    <col min="2568" max="2568" width="9.5703125" style="428" customWidth="1"/>
    <col min="2569" max="2569" width="7.140625" style="428" customWidth="1"/>
    <col min="2570" max="2570" width="12.85546875" style="428" customWidth="1"/>
    <col min="2571" max="2571" width="15.85546875" style="428" bestFit="1" customWidth="1"/>
    <col min="2572" max="2572" width="12.28515625" style="428" customWidth="1"/>
    <col min="2573" max="2573" width="9.140625" style="428"/>
    <col min="2574" max="2574" width="11.85546875" style="428" customWidth="1"/>
    <col min="2575" max="2815" width="9.140625" style="428"/>
    <col min="2816" max="2816" width="5" style="428" customWidth="1"/>
    <col min="2817" max="2817" width="21.28515625" style="428" customWidth="1"/>
    <col min="2818" max="2818" width="9" style="428" customWidth="1"/>
    <col min="2819" max="2819" width="4.85546875" style="428" customWidth="1"/>
    <col min="2820" max="2820" width="10.140625" style="428" customWidth="1"/>
    <col min="2821" max="2821" width="10.7109375" style="428" customWidth="1"/>
    <col min="2822" max="2822" width="8.42578125" style="428" customWidth="1"/>
    <col min="2823" max="2823" width="9.140625" style="428" customWidth="1"/>
    <col min="2824" max="2824" width="9.5703125" style="428" customWidth="1"/>
    <col min="2825" max="2825" width="7.140625" style="428" customWidth="1"/>
    <col min="2826" max="2826" width="12.85546875" style="428" customWidth="1"/>
    <col min="2827" max="2827" width="15.85546875" style="428" bestFit="1" customWidth="1"/>
    <col min="2828" max="2828" width="12.28515625" style="428" customWidth="1"/>
    <col min="2829" max="2829" width="9.140625" style="428"/>
    <col min="2830" max="2830" width="11.85546875" style="428" customWidth="1"/>
    <col min="2831" max="3071" width="9.140625" style="428"/>
    <col min="3072" max="3072" width="5" style="428" customWidth="1"/>
    <col min="3073" max="3073" width="21.28515625" style="428" customWidth="1"/>
    <col min="3074" max="3074" width="9" style="428" customWidth="1"/>
    <col min="3075" max="3075" width="4.85546875" style="428" customWidth="1"/>
    <col min="3076" max="3076" width="10.140625" style="428" customWidth="1"/>
    <col min="3077" max="3077" width="10.7109375" style="428" customWidth="1"/>
    <col min="3078" max="3078" width="8.42578125" style="428" customWidth="1"/>
    <col min="3079" max="3079" width="9.140625" style="428" customWidth="1"/>
    <col min="3080" max="3080" width="9.5703125" style="428" customWidth="1"/>
    <col min="3081" max="3081" width="7.140625" style="428" customWidth="1"/>
    <col min="3082" max="3082" width="12.85546875" style="428" customWidth="1"/>
    <col min="3083" max="3083" width="15.85546875" style="428" bestFit="1" customWidth="1"/>
    <col min="3084" max="3084" width="12.28515625" style="428" customWidth="1"/>
    <col min="3085" max="3085" width="9.140625" style="428"/>
    <col min="3086" max="3086" width="11.85546875" style="428" customWidth="1"/>
    <col min="3087" max="3327" width="9.140625" style="428"/>
    <col min="3328" max="3328" width="5" style="428" customWidth="1"/>
    <col min="3329" max="3329" width="21.28515625" style="428" customWidth="1"/>
    <col min="3330" max="3330" width="9" style="428" customWidth="1"/>
    <col min="3331" max="3331" width="4.85546875" style="428" customWidth="1"/>
    <col min="3332" max="3332" width="10.140625" style="428" customWidth="1"/>
    <col min="3333" max="3333" width="10.7109375" style="428" customWidth="1"/>
    <col min="3334" max="3334" width="8.42578125" style="428" customWidth="1"/>
    <col min="3335" max="3335" width="9.140625" style="428" customWidth="1"/>
    <col min="3336" max="3336" width="9.5703125" style="428" customWidth="1"/>
    <col min="3337" max="3337" width="7.140625" style="428" customWidth="1"/>
    <col min="3338" max="3338" width="12.85546875" style="428" customWidth="1"/>
    <col min="3339" max="3339" width="15.85546875" style="428" bestFit="1" customWidth="1"/>
    <col min="3340" max="3340" width="12.28515625" style="428" customWidth="1"/>
    <col min="3341" max="3341" width="9.140625" style="428"/>
    <col min="3342" max="3342" width="11.85546875" style="428" customWidth="1"/>
    <col min="3343" max="3583" width="9.140625" style="428"/>
    <col min="3584" max="3584" width="5" style="428" customWidth="1"/>
    <col min="3585" max="3585" width="21.28515625" style="428" customWidth="1"/>
    <col min="3586" max="3586" width="9" style="428" customWidth="1"/>
    <col min="3587" max="3587" width="4.85546875" style="428" customWidth="1"/>
    <col min="3588" max="3588" width="10.140625" style="428" customWidth="1"/>
    <col min="3589" max="3589" width="10.7109375" style="428" customWidth="1"/>
    <col min="3590" max="3590" width="8.42578125" style="428" customWidth="1"/>
    <col min="3591" max="3591" width="9.140625" style="428" customWidth="1"/>
    <col min="3592" max="3592" width="9.5703125" style="428" customWidth="1"/>
    <col min="3593" max="3593" width="7.140625" style="428" customWidth="1"/>
    <col min="3594" max="3594" width="12.85546875" style="428" customWidth="1"/>
    <col min="3595" max="3595" width="15.85546875" style="428" bestFit="1" customWidth="1"/>
    <col min="3596" max="3596" width="12.28515625" style="428" customWidth="1"/>
    <col min="3597" max="3597" width="9.140625" style="428"/>
    <col min="3598" max="3598" width="11.85546875" style="428" customWidth="1"/>
    <col min="3599" max="3839" width="9.140625" style="428"/>
    <col min="3840" max="3840" width="5" style="428" customWidth="1"/>
    <col min="3841" max="3841" width="21.28515625" style="428" customWidth="1"/>
    <col min="3842" max="3842" width="9" style="428" customWidth="1"/>
    <col min="3843" max="3843" width="4.85546875" style="428" customWidth="1"/>
    <col min="3844" max="3844" width="10.140625" style="428" customWidth="1"/>
    <col min="3845" max="3845" width="10.7109375" style="428" customWidth="1"/>
    <col min="3846" max="3846" width="8.42578125" style="428" customWidth="1"/>
    <col min="3847" max="3847" width="9.140625" style="428" customWidth="1"/>
    <col min="3848" max="3848" width="9.5703125" style="428" customWidth="1"/>
    <col min="3849" max="3849" width="7.140625" style="428" customWidth="1"/>
    <col min="3850" max="3850" width="12.85546875" style="428" customWidth="1"/>
    <col min="3851" max="3851" width="15.85546875" style="428" bestFit="1" customWidth="1"/>
    <col min="3852" max="3852" width="12.28515625" style="428" customWidth="1"/>
    <col min="3853" max="3853" width="9.140625" style="428"/>
    <col min="3854" max="3854" width="11.85546875" style="428" customWidth="1"/>
    <col min="3855" max="4095" width="9.140625" style="428"/>
    <col min="4096" max="4096" width="5" style="428" customWidth="1"/>
    <col min="4097" max="4097" width="21.28515625" style="428" customWidth="1"/>
    <col min="4098" max="4098" width="9" style="428" customWidth="1"/>
    <col min="4099" max="4099" width="4.85546875" style="428" customWidth="1"/>
    <col min="4100" max="4100" width="10.140625" style="428" customWidth="1"/>
    <col min="4101" max="4101" width="10.7109375" style="428" customWidth="1"/>
    <col min="4102" max="4102" width="8.42578125" style="428" customWidth="1"/>
    <col min="4103" max="4103" width="9.140625" style="428" customWidth="1"/>
    <col min="4104" max="4104" width="9.5703125" style="428" customWidth="1"/>
    <col min="4105" max="4105" width="7.140625" style="428" customWidth="1"/>
    <col min="4106" max="4106" width="12.85546875" style="428" customWidth="1"/>
    <col min="4107" max="4107" width="15.85546875" style="428" bestFit="1" customWidth="1"/>
    <col min="4108" max="4108" width="12.28515625" style="428" customWidth="1"/>
    <col min="4109" max="4109" width="9.140625" style="428"/>
    <col min="4110" max="4110" width="11.85546875" style="428" customWidth="1"/>
    <col min="4111" max="4351" width="9.140625" style="428"/>
    <col min="4352" max="4352" width="5" style="428" customWidth="1"/>
    <col min="4353" max="4353" width="21.28515625" style="428" customWidth="1"/>
    <col min="4354" max="4354" width="9" style="428" customWidth="1"/>
    <col min="4355" max="4355" width="4.85546875" style="428" customWidth="1"/>
    <col min="4356" max="4356" width="10.140625" style="428" customWidth="1"/>
    <col min="4357" max="4357" width="10.7109375" style="428" customWidth="1"/>
    <col min="4358" max="4358" width="8.42578125" style="428" customWidth="1"/>
    <col min="4359" max="4359" width="9.140625" style="428" customWidth="1"/>
    <col min="4360" max="4360" width="9.5703125" style="428" customWidth="1"/>
    <col min="4361" max="4361" width="7.140625" style="428" customWidth="1"/>
    <col min="4362" max="4362" width="12.85546875" style="428" customWidth="1"/>
    <col min="4363" max="4363" width="15.85546875" style="428" bestFit="1" customWidth="1"/>
    <col min="4364" max="4364" width="12.28515625" style="428" customWidth="1"/>
    <col min="4365" max="4365" width="9.140625" style="428"/>
    <col min="4366" max="4366" width="11.85546875" style="428" customWidth="1"/>
    <col min="4367" max="4607" width="9.140625" style="428"/>
    <col min="4608" max="4608" width="5" style="428" customWidth="1"/>
    <col min="4609" max="4609" width="21.28515625" style="428" customWidth="1"/>
    <col min="4610" max="4610" width="9" style="428" customWidth="1"/>
    <col min="4611" max="4611" width="4.85546875" style="428" customWidth="1"/>
    <col min="4612" max="4612" width="10.140625" style="428" customWidth="1"/>
    <col min="4613" max="4613" width="10.7109375" style="428" customWidth="1"/>
    <col min="4614" max="4614" width="8.42578125" style="428" customWidth="1"/>
    <col min="4615" max="4615" width="9.140625" style="428" customWidth="1"/>
    <col min="4616" max="4616" width="9.5703125" style="428" customWidth="1"/>
    <col min="4617" max="4617" width="7.140625" style="428" customWidth="1"/>
    <col min="4618" max="4618" width="12.85546875" style="428" customWidth="1"/>
    <col min="4619" max="4619" width="15.85546875" style="428" bestFit="1" customWidth="1"/>
    <col min="4620" max="4620" width="12.28515625" style="428" customWidth="1"/>
    <col min="4621" max="4621" width="9.140625" style="428"/>
    <col min="4622" max="4622" width="11.85546875" style="428" customWidth="1"/>
    <col min="4623" max="4863" width="9.140625" style="428"/>
    <col min="4864" max="4864" width="5" style="428" customWidth="1"/>
    <col min="4865" max="4865" width="21.28515625" style="428" customWidth="1"/>
    <col min="4866" max="4866" width="9" style="428" customWidth="1"/>
    <col min="4867" max="4867" width="4.85546875" style="428" customWidth="1"/>
    <col min="4868" max="4868" width="10.140625" style="428" customWidth="1"/>
    <col min="4869" max="4869" width="10.7109375" style="428" customWidth="1"/>
    <col min="4870" max="4870" width="8.42578125" style="428" customWidth="1"/>
    <col min="4871" max="4871" width="9.140625" style="428" customWidth="1"/>
    <col min="4872" max="4872" width="9.5703125" style="428" customWidth="1"/>
    <col min="4873" max="4873" width="7.140625" style="428" customWidth="1"/>
    <col min="4874" max="4874" width="12.85546875" style="428" customWidth="1"/>
    <col min="4875" max="4875" width="15.85546875" style="428" bestFit="1" customWidth="1"/>
    <col min="4876" max="4876" width="12.28515625" style="428" customWidth="1"/>
    <col min="4877" max="4877" width="9.140625" style="428"/>
    <col min="4878" max="4878" width="11.85546875" style="428" customWidth="1"/>
    <col min="4879" max="5119" width="9.140625" style="428"/>
    <col min="5120" max="5120" width="5" style="428" customWidth="1"/>
    <col min="5121" max="5121" width="21.28515625" style="428" customWidth="1"/>
    <col min="5122" max="5122" width="9" style="428" customWidth="1"/>
    <col min="5123" max="5123" width="4.85546875" style="428" customWidth="1"/>
    <col min="5124" max="5124" width="10.140625" style="428" customWidth="1"/>
    <col min="5125" max="5125" width="10.7109375" style="428" customWidth="1"/>
    <col min="5126" max="5126" width="8.42578125" style="428" customWidth="1"/>
    <col min="5127" max="5127" width="9.140625" style="428" customWidth="1"/>
    <col min="5128" max="5128" width="9.5703125" style="428" customWidth="1"/>
    <col min="5129" max="5129" width="7.140625" style="428" customWidth="1"/>
    <col min="5130" max="5130" width="12.85546875" style="428" customWidth="1"/>
    <col min="5131" max="5131" width="15.85546875" style="428" bestFit="1" customWidth="1"/>
    <col min="5132" max="5132" width="12.28515625" style="428" customWidth="1"/>
    <col min="5133" max="5133" width="9.140625" style="428"/>
    <col min="5134" max="5134" width="11.85546875" style="428" customWidth="1"/>
    <col min="5135" max="5375" width="9.140625" style="428"/>
    <col min="5376" max="5376" width="5" style="428" customWidth="1"/>
    <col min="5377" max="5377" width="21.28515625" style="428" customWidth="1"/>
    <col min="5378" max="5378" width="9" style="428" customWidth="1"/>
    <col min="5379" max="5379" width="4.85546875" style="428" customWidth="1"/>
    <col min="5380" max="5380" width="10.140625" style="428" customWidth="1"/>
    <col min="5381" max="5381" width="10.7109375" style="428" customWidth="1"/>
    <col min="5382" max="5382" width="8.42578125" style="428" customWidth="1"/>
    <col min="5383" max="5383" width="9.140625" style="428" customWidth="1"/>
    <col min="5384" max="5384" width="9.5703125" style="428" customWidth="1"/>
    <col min="5385" max="5385" width="7.140625" style="428" customWidth="1"/>
    <col min="5386" max="5386" width="12.85546875" style="428" customWidth="1"/>
    <col min="5387" max="5387" width="15.85546875" style="428" bestFit="1" customWidth="1"/>
    <col min="5388" max="5388" width="12.28515625" style="428" customWidth="1"/>
    <col min="5389" max="5389" width="9.140625" style="428"/>
    <col min="5390" max="5390" width="11.85546875" style="428" customWidth="1"/>
    <col min="5391" max="5631" width="9.140625" style="428"/>
    <col min="5632" max="5632" width="5" style="428" customWidth="1"/>
    <col min="5633" max="5633" width="21.28515625" style="428" customWidth="1"/>
    <col min="5634" max="5634" width="9" style="428" customWidth="1"/>
    <col min="5635" max="5635" width="4.85546875" style="428" customWidth="1"/>
    <col min="5636" max="5636" width="10.140625" style="428" customWidth="1"/>
    <col min="5637" max="5637" width="10.7109375" style="428" customWidth="1"/>
    <col min="5638" max="5638" width="8.42578125" style="428" customWidth="1"/>
    <col min="5639" max="5639" width="9.140625" style="428" customWidth="1"/>
    <col min="5640" max="5640" width="9.5703125" style="428" customWidth="1"/>
    <col min="5641" max="5641" width="7.140625" style="428" customWidth="1"/>
    <col min="5642" max="5642" width="12.85546875" style="428" customWidth="1"/>
    <col min="5643" max="5643" width="15.85546875" style="428" bestFit="1" customWidth="1"/>
    <col min="5644" max="5644" width="12.28515625" style="428" customWidth="1"/>
    <col min="5645" max="5645" width="9.140625" style="428"/>
    <col min="5646" max="5646" width="11.85546875" style="428" customWidth="1"/>
    <col min="5647" max="5887" width="9.140625" style="428"/>
    <col min="5888" max="5888" width="5" style="428" customWidth="1"/>
    <col min="5889" max="5889" width="21.28515625" style="428" customWidth="1"/>
    <col min="5890" max="5890" width="9" style="428" customWidth="1"/>
    <col min="5891" max="5891" width="4.85546875" style="428" customWidth="1"/>
    <col min="5892" max="5892" width="10.140625" style="428" customWidth="1"/>
    <col min="5893" max="5893" width="10.7109375" style="428" customWidth="1"/>
    <col min="5894" max="5894" width="8.42578125" style="428" customWidth="1"/>
    <col min="5895" max="5895" width="9.140625" style="428" customWidth="1"/>
    <col min="5896" max="5896" width="9.5703125" style="428" customWidth="1"/>
    <col min="5897" max="5897" width="7.140625" style="428" customWidth="1"/>
    <col min="5898" max="5898" width="12.85546875" style="428" customWidth="1"/>
    <col min="5899" max="5899" width="15.85546875" style="428" bestFit="1" customWidth="1"/>
    <col min="5900" max="5900" width="12.28515625" style="428" customWidth="1"/>
    <col min="5901" max="5901" width="9.140625" style="428"/>
    <col min="5902" max="5902" width="11.85546875" style="428" customWidth="1"/>
    <col min="5903" max="6143" width="9.140625" style="428"/>
    <col min="6144" max="6144" width="5" style="428" customWidth="1"/>
    <col min="6145" max="6145" width="21.28515625" style="428" customWidth="1"/>
    <col min="6146" max="6146" width="9" style="428" customWidth="1"/>
    <col min="6147" max="6147" width="4.85546875" style="428" customWidth="1"/>
    <col min="6148" max="6148" width="10.140625" style="428" customWidth="1"/>
    <col min="6149" max="6149" width="10.7109375" style="428" customWidth="1"/>
    <col min="6150" max="6150" width="8.42578125" style="428" customWidth="1"/>
    <col min="6151" max="6151" width="9.140625" style="428" customWidth="1"/>
    <col min="6152" max="6152" width="9.5703125" style="428" customWidth="1"/>
    <col min="6153" max="6153" width="7.140625" style="428" customWidth="1"/>
    <col min="6154" max="6154" width="12.85546875" style="428" customWidth="1"/>
    <col min="6155" max="6155" width="15.85546875" style="428" bestFit="1" customWidth="1"/>
    <col min="6156" max="6156" width="12.28515625" style="428" customWidth="1"/>
    <col min="6157" max="6157" width="9.140625" style="428"/>
    <col min="6158" max="6158" width="11.85546875" style="428" customWidth="1"/>
    <col min="6159" max="6399" width="9.140625" style="428"/>
    <col min="6400" max="6400" width="5" style="428" customWidth="1"/>
    <col min="6401" max="6401" width="21.28515625" style="428" customWidth="1"/>
    <col min="6402" max="6402" width="9" style="428" customWidth="1"/>
    <col min="6403" max="6403" width="4.85546875" style="428" customWidth="1"/>
    <col min="6404" max="6404" width="10.140625" style="428" customWidth="1"/>
    <col min="6405" max="6405" width="10.7109375" style="428" customWidth="1"/>
    <col min="6406" max="6406" width="8.42578125" style="428" customWidth="1"/>
    <col min="6407" max="6407" width="9.140625" style="428" customWidth="1"/>
    <col min="6408" max="6408" width="9.5703125" style="428" customWidth="1"/>
    <col min="6409" max="6409" width="7.140625" style="428" customWidth="1"/>
    <col min="6410" max="6410" width="12.85546875" style="428" customWidth="1"/>
    <col min="6411" max="6411" width="15.85546875" style="428" bestFit="1" customWidth="1"/>
    <col min="6412" max="6412" width="12.28515625" style="428" customWidth="1"/>
    <col min="6413" max="6413" width="9.140625" style="428"/>
    <col min="6414" max="6414" width="11.85546875" style="428" customWidth="1"/>
    <col min="6415" max="6655" width="9.140625" style="428"/>
    <col min="6656" max="6656" width="5" style="428" customWidth="1"/>
    <col min="6657" max="6657" width="21.28515625" style="428" customWidth="1"/>
    <col min="6658" max="6658" width="9" style="428" customWidth="1"/>
    <col min="6659" max="6659" width="4.85546875" style="428" customWidth="1"/>
    <col min="6660" max="6660" width="10.140625" style="428" customWidth="1"/>
    <col min="6661" max="6661" width="10.7109375" style="428" customWidth="1"/>
    <col min="6662" max="6662" width="8.42578125" style="428" customWidth="1"/>
    <col min="6663" max="6663" width="9.140625" style="428" customWidth="1"/>
    <col min="6664" max="6664" width="9.5703125" style="428" customWidth="1"/>
    <col min="6665" max="6665" width="7.140625" style="428" customWidth="1"/>
    <col min="6666" max="6666" width="12.85546875" style="428" customWidth="1"/>
    <col min="6667" max="6667" width="15.85546875" style="428" bestFit="1" customWidth="1"/>
    <col min="6668" max="6668" width="12.28515625" style="428" customWidth="1"/>
    <col min="6669" max="6669" width="9.140625" style="428"/>
    <col min="6670" max="6670" width="11.85546875" style="428" customWidth="1"/>
    <col min="6671" max="6911" width="9.140625" style="428"/>
    <col min="6912" max="6912" width="5" style="428" customWidth="1"/>
    <col min="6913" max="6913" width="21.28515625" style="428" customWidth="1"/>
    <col min="6914" max="6914" width="9" style="428" customWidth="1"/>
    <col min="6915" max="6915" width="4.85546875" style="428" customWidth="1"/>
    <col min="6916" max="6916" width="10.140625" style="428" customWidth="1"/>
    <col min="6917" max="6917" width="10.7109375" style="428" customWidth="1"/>
    <col min="6918" max="6918" width="8.42578125" style="428" customWidth="1"/>
    <col min="6919" max="6919" width="9.140625" style="428" customWidth="1"/>
    <col min="6920" max="6920" width="9.5703125" style="428" customWidth="1"/>
    <col min="6921" max="6921" width="7.140625" style="428" customWidth="1"/>
    <col min="6922" max="6922" width="12.85546875" style="428" customWidth="1"/>
    <col min="6923" max="6923" width="15.85546875" style="428" bestFit="1" customWidth="1"/>
    <col min="6924" max="6924" width="12.28515625" style="428" customWidth="1"/>
    <col min="6925" max="6925" width="9.140625" style="428"/>
    <col min="6926" max="6926" width="11.85546875" style="428" customWidth="1"/>
    <col min="6927" max="7167" width="9.140625" style="428"/>
    <col min="7168" max="7168" width="5" style="428" customWidth="1"/>
    <col min="7169" max="7169" width="21.28515625" style="428" customWidth="1"/>
    <col min="7170" max="7170" width="9" style="428" customWidth="1"/>
    <col min="7171" max="7171" width="4.85546875" style="428" customWidth="1"/>
    <col min="7172" max="7172" width="10.140625" style="428" customWidth="1"/>
    <col min="7173" max="7173" width="10.7109375" style="428" customWidth="1"/>
    <col min="7174" max="7174" width="8.42578125" style="428" customWidth="1"/>
    <col min="7175" max="7175" width="9.140625" style="428" customWidth="1"/>
    <col min="7176" max="7176" width="9.5703125" style="428" customWidth="1"/>
    <col min="7177" max="7177" width="7.140625" style="428" customWidth="1"/>
    <col min="7178" max="7178" width="12.85546875" style="428" customWidth="1"/>
    <col min="7179" max="7179" width="15.85546875" style="428" bestFit="1" customWidth="1"/>
    <col min="7180" max="7180" width="12.28515625" style="428" customWidth="1"/>
    <col min="7181" max="7181" width="9.140625" style="428"/>
    <col min="7182" max="7182" width="11.85546875" style="428" customWidth="1"/>
    <col min="7183" max="7423" width="9.140625" style="428"/>
    <col min="7424" max="7424" width="5" style="428" customWidth="1"/>
    <col min="7425" max="7425" width="21.28515625" style="428" customWidth="1"/>
    <col min="7426" max="7426" width="9" style="428" customWidth="1"/>
    <col min="7427" max="7427" width="4.85546875" style="428" customWidth="1"/>
    <col min="7428" max="7428" width="10.140625" style="428" customWidth="1"/>
    <col min="7429" max="7429" width="10.7109375" style="428" customWidth="1"/>
    <col min="7430" max="7430" width="8.42578125" style="428" customWidth="1"/>
    <col min="7431" max="7431" width="9.140625" style="428" customWidth="1"/>
    <col min="7432" max="7432" width="9.5703125" style="428" customWidth="1"/>
    <col min="7433" max="7433" width="7.140625" style="428" customWidth="1"/>
    <col min="7434" max="7434" width="12.85546875" style="428" customWidth="1"/>
    <col min="7435" max="7435" width="15.85546875" style="428" bestFit="1" customWidth="1"/>
    <col min="7436" max="7436" width="12.28515625" style="428" customWidth="1"/>
    <col min="7437" max="7437" width="9.140625" style="428"/>
    <col min="7438" max="7438" width="11.85546875" style="428" customWidth="1"/>
    <col min="7439" max="7679" width="9.140625" style="428"/>
    <col min="7680" max="7680" width="5" style="428" customWidth="1"/>
    <col min="7681" max="7681" width="21.28515625" style="428" customWidth="1"/>
    <col min="7682" max="7682" width="9" style="428" customWidth="1"/>
    <col min="7683" max="7683" width="4.85546875" style="428" customWidth="1"/>
    <col min="7684" max="7684" width="10.140625" style="428" customWidth="1"/>
    <col min="7685" max="7685" width="10.7109375" style="428" customWidth="1"/>
    <col min="7686" max="7686" width="8.42578125" style="428" customWidth="1"/>
    <col min="7687" max="7687" width="9.140625" style="428" customWidth="1"/>
    <col min="7688" max="7688" width="9.5703125" style="428" customWidth="1"/>
    <col min="7689" max="7689" width="7.140625" style="428" customWidth="1"/>
    <col min="7690" max="7690" width="12.85546875" style="428" customWidth="1"/>
    <col min="7691" max="7691" width="15.85546875" style="428" bestFit="1" customWidth="1"/>
    <col min="7692" max="7692" width="12.28515625" style="428" customWidth="1"/>
    <col min="7693" max="7693" width="9.140625" style="428"/>
    <col min="7694" max="7694" width="11.85546875" style="428" customWidth="1"/>
    <col min="7695" max="7935" width="9.140625" style="428"/>
    <col min="7936" max="7936" width="5" style="428" customWidth="1"/>
    <col min="7937" max="7937" width="21.28515625" style="428" customWidth="1"/>
    <col min="7938" max="7938" width="9" style="428" customWidth="1"/>
    <col min="7939" max="7939" width="4.85546875" style="428" customWidth="1"/>
    <col min="7940" max="7940" width="10.140625" style="428" customWidth="1"/>
    <col min="7941" max="7941" width="10.7109375" style="428" customWidth="1"/>
    <col min="7942" max="7942" width="8.42578125" style="428" customWidth="1"/>
    <col min="7943" max="7943" width="9.140625" style="428" customWidth="1"/>
    <col min="7944" max="7944" width="9.5703125" style="428" customWidth="1"/>
    <col min="7945" max="7945" width="7.140625" style="428" customWidth="1"/>
    <col min="7946" max="7946" width="12.85546875" style="428" customWidth="1"/>
    <col min="7947" max="7947" width="15.85546875" style="428" bestFit="1" customWidth="1"/>
    <col min="7948" max="7948" width="12.28515625" style="428" customWidth="1"/>
    <col min="7949" max="7949" width="9.140625" style="428"/>
    <col min="7950" max="7950" width="11.85546875" style="428" customWidth="1"/>
    <col min="7951" max="8191" width="9.140625" style="428"/>
    <col min="8192" max="8192" width="5" style="428" customWidth="1"/>
    <col min="8193" max="8193" width="21.28515625" style="428" customWidth="1"/>
    <col min="8194" max="8194" width="9" style="428" customWidth="1"/>
    <col min="8195" max="8195" width="4.85546875" style="428" customWidth="1"/>
    <col min="8196" max="8196" width="10.140625" style="428" customWidth="1"/>
    <col min="8197" max="8197" width="10.7109375" style="428" customWidth="1"/>
    <col min="8198" max="8198" width="8.42578125" style="428" customWidth="1"/>
    <col min="8199" max="8199" width="9.140625" style="428" customWidth="1"/>
    <col min="8200" max="8200" width="9.5703125" style="428" customWidth="1"/>
    <col min="8201" max="8201" width="7.140625" style="428" customWidth="1"/>
    <col min="8202" max="8202" width="12.85546875" style="428" customWidth="1"/>
    <col min="8203" max="8203" width="15.85546875" style="428" bestFit="1" customWidth="1"/>
    <col min="8204" max="8204" width="12.28515625" style="428" customWidth="1"/>
    <col min="8205" max="8205" width="9.140625" style="428"/>
    <col min="8206" max="8206" width="11.85546875" style="428" customWidth="1"/>
    <col min="8207" max="8447" width="9.140625" style="428"/>
    <col min="8448" max="8448" width="5" style="428" customWidth="1"/>
    <col min="8449" max="8449" width="21.28515625" style="428" customWidth="1"/>
    <col min="8450" max="8450" width="9" style="428" customWidth="1"/>
    <col min="8451" max="8451" width="4.85546875" style="428" customWidth="1"/>
    <col min="8452" max="8452" width="10.140625" style="428" customWidth="1"/>
    <col min="8453" max="8453" width="10.7109375" style="428" customWidth="1"/>
    <col min="8454" max="8454" width="8.42578125" style="428" customWidth="1"/>
    <col min="8455" max="8455" width="9.140625" style="428" customWidth="1"/>
    <col min="8456" max="8456" width="9.5703125" style="428" customWidth="1"/>
    <col min="8457" max="8457" width="7.140625" style="428" customWidth="1"/>
    <col min="8458" max="8458" width="12.85546875" style="428" customWidth="1"/>
    <col min="8459" max="8459" width="15.85546875" style="428" bestFit="1" customWidth="1"/>
    <col min="8460" max="8460" width="12.28515625" style="428" customWidth="1"/>
    <col min="8461" max="8461" width="9.140625" style="428"/>
    <col min="8462" max="8462" width="11.85546875" style="428" customWidth="1"/>
    <col min="8463" max="8703" width="9.140625" style="428"/>
    <col min="8704" max="8704" width="5" style="428" customWidth="1"/>
    <col min="8705" max="8705" width="21.28515625" style="428" customWidth="1"/>
    <col min="8706" max="8706" width="9" style="428" customWidth="1"/>
    <col min="8707" max="8707" width="4.85546875" style="428" customWidth="1"/>
    <col min="8708" max="8708" width="10.140625" style="428" customWidth="1"/>
    <col min="8709" max="8709" width="10.7109375" style="428" customWidth="1"/>
    <col min="8710" max="8710" width="8.42578125" style="428" customWidth="1"/>
    <col min="8711" max="8711" width="9.140625" style="428" customWidth="1"/>
    <col min="8712" max="8712" width="9.5703125" style="428" customWidth="1"/>
    <col min="8713" max="8713" width="7.140625" style="428" customWidth="1"/>
    <col min="8714" max="8714" width="12.85546875" style="428" customWidth="1"/>
    <col min="8715" max="8715" width="15.85546875" style="428" bestFit="1" customWidth="1"/>
    <col min="8716" max="8716" width="12.28515625" style="428" customWidth="1"/>
    <col min="8717" max="8717" width="9.140625" style="428"/>
    <col min="8718" max="8718" width="11.85546875" style="428" customWidth="1"/>
    <col min="8719" max="8959" width="9.140625" style="428"/>
    <col min="8960" max="8960" width="5" style="428" customWidth="1"/>
    <col min="8961" max="8961" width="21.28515625" style="428" customWidth="1"/>
    <col min="8962" max="8962" width="9" style="428" customWidth="1"/>
    <col min="8963" max="8963" width="4.85546875" style="428" customWidth="1"/>
    <col min="8964" max="8964" width="10.140625" style="428" customWidth="1"/>
    <col min="8965" max="8965" width="10.7109375" style="428" customWidth="1"/>
    <col min="8966" max="8966" width="8.42578125" style="428" customWidth="1"/>
    <col min="8967" max="8967" width="9.140625" style="428" customWidth="1"/>
    <col min="8968" max="8968" width="9.5703125" style="428" customWidth="1"/>
    <col min="8969" max="8969" width="7.140625" style="428" customWidth="1"/>
    <col min="8970" max="8970" width="12.85546875" style="428" customWidth="1"/>
    <col min="8971" max="8971" width="15.85546875" style="428" bestFit="1" customWidth="1"/>
    <col min="8972" max="8972" width="12.28515625" style="428" customWidth="1"/>
    <col min="8973" max="8973" width="9.140625" style="428"/>
    <col min="8974" max="8974" width="11.85546875" style="428" customWidth="1"/>
    <col min="8975" max="9215" width="9.140625" style="428"/>
    <col min="9216" max="9216" width="5" style="428" customWidth="1"/>
    <col min="9217" max="9217" width="21.28515625" style="428" customWidth="1"/>
    <col min="9218" max="9218" width="9" style="428" customWidth="1"/>
    <col min="9219" max="9219" width="4.85546875" style="428" customWidth="1"/>
    <col min="9220" max="9220" width="10.140625" style="428" customWidth="1"/>
    <col min="9221" max="9221" width="10.7109375" style="428" customWidth="1"/>
    <col min="9222" max="9222" width="8.42578125" style="428" customWidth="1"/>
    <col min="9223" max="9223" width="9.140625" style="428" customWidth="1"/>
    <col min="9224" max="9224" width="9.5703125" style="428" customWidth="1"/>
    <col min="9225" max="9225" width="7.140625" style="428" customWidth="1"/>
    <col min="9226" max="9226" width="12.85546875" style="428" customWidth="1"/>
    <col min="9227" max="9227" width="15.85546875" style="428" bestFit="1" customWidth="1"/>
    <col min="9228" max="9228" width="12.28515625" style="428" customWidth="1"/>
    <col min="9229" max="9229" width="9.140625" style="428"/>
    <col min="9230" max="9230" width="11.85546875" style="428" customWidth="1"/>
    <col min="9231" max="9471" width="9.140625" style="428"/>
    <col min="9472" max="9472" width="5" style="428" customWidth="1"/>
    <col min="9473" max="9473" width="21.28515625" style="428" customWidth="1"/>
    <col min="9474" max="9474" width="9" style="428" customWidth="1"/>
    <col min="9475" max="9475" width="4.85546875" style="428" customWidth="1"/>
    <col min="9476" max="9476" width="10.140625" style="428" customWidth="1"/>
    <col min="9477" max="9477" width="10.7109375" style="428" customWidth="1"/>
    <col min="9478" max="9478" width="8.42578125" style="428" customWidth="1"/>
    <col min="9479" max="9479" width="9.140625" style="428" customWidth="1"/>
    <col min="9480" max="9480" width="9.5703125" style="428" customWidth="1"/>
    <col min="9481" max="9481" width="7.140625" style="428" customWidth="1"/>
    <col min="9482" max="9482" width="12.85546875" style="428" customWidth="1"/>
    <col min="9483" max="9483" width="15.85546875" style="428" bestFit="1" customWidth="1"/>
    <col min="9484" max="9484" width="12.28515625" style="428" customWidth="1"/>
    <col min="9485" max="9485" width="9.140625" style="428"/>
    <col min="9486" max="9486" width="11.85546875" style="428" customWidth="1"/>
    <col min="9487" max="9727" width="9.140625" style="428"/>
    <col min="9728" max="9728" width="5" style="428" customWidth="1"/>
    <col min="9729" max="9729" width="21.28515625" style="428" customWidth="1"/>
    <col min="9730" max="9730" width="9" style="428" customWidth="1"/>
    <col min="9731" max="9731" width="4.85546875" style="428" customWidth="1"/>
    <col min="9732" max="9732" width="10.140625" style="428" customWidth="1"/>
    <col min="9733" max="9733" width="10.7109375" style="428" customWidth="1"/>
    <col min="9734" max="9734" width="8.42578125" style="428" customWidth="1"/>
    <col min="9735" max="9735" width="9.140625" style="428" customWidth="1"/>
    <col min="9736" max="9736" width="9.5703125" style="428" customWidth="1"/>
    <col min="9737" max="9737" width="7.140625" style="428" customWidth="1"/>
    <col min="9738" max="9738" width="12.85546875" style="428" customWidth="1"/>
    <col min="9739" max="9739" width="15.85546875" style="428" bestFit="1" customWidth="1"/>
    <col min="9740" max="9740" width="12.28515625" style="428" customWidth="1"/>
    <col min="9741" max="9741" width="9.140625" style="428"/>
    <col min="9742" max="9742" width="11.85546875" style="428" customWidth="1"/>
    <col min="9743" max="9983" width="9.140625" style="428"/>
    <col min="9984" max="9984" width="5" style="428" customWidth="1"/>
    <col min="9985" max="9985" width="21.28515625" style="428" customWidth="1"/>
    <col min="9986" max="9986" width="9" style="428" customWidth="1"/>
    <col min="9987" max="9987" width="4.85546875" style="428" customWidth="1"/>
    <col min="9988" max="9988" width="10.140625" style="428" customWidth="1"/>
    <col min="9989" max="9989" width="10.7109375" style="428" customWidth="1"/>
    <col min="9990" max="9990" width="8.42578125" style="428" customWidth="1"/>
    <col min="9991" max="9991" width="9.140625" style="428" customWidth="1"/>
    <col min="9992" max="9992" width="9.5703125" style="428" customWidth="1"/>
    <col min="9993" max="9993" width="7.140625" style="428" customWidth="1"/>
    <col min="9994" max="9994" width="12.85546875" style="428" customWidth="1"/>
    <col min="9995" max="9995" width="15.85546875" style="428" bestFit="1" customWidth="1"/>
    <col min="9996" max="9996" width="12.28515625" style="428" customWidth="1"/>
    <col min="9997" max="9997" width="9.140625" style="428"/>
    <col min="9998" max="9998" width="11.85546875" style="428" customWidth="1"/>
    <col min="9999" max="10239" width="9.140625" style="428"/>
    <col min="10240" max="10240" width="5" style="428" customWidth="1"/>
    <col min="10241" max="10241" width="21.28515625" style="428" customWidth="1"/>
    <col min="10242" max="10242" width="9" style="428" customWidth="1"/>
    <col min="10243" max="10243" width="4.85546875" style="428" customWidth="1"/>
    <col min="10244" max="10244" width="10.140625" style="428" customWidth="1"/>
    <col min="10245" max="10245" width="10.7109375" style="428" customWidth="1"/>
    <col min="10246" max="10246" width="8.42578125" style="428" customWidth="1"/>
    <col min="10247" max="10247" width="9.140625" style="428" customWidth="1"/>
    <col min="10248" max="10248" width="9.5703125" style="428" customWidth="1"/>
    <col min="10249" max="10249" width="7.140625" style="428" customWidth="1"/>
    <col min="10250" max="10250" width="12.85546875" style="428" customWidth="1"/>
    <col min="10251" max="10251" width="15.85546875" style="428" bestFit="1" customWidth="1"/>
    <col min="10252" max="10252" width="12.28515625" style="428" customWidth="1"/>
    <col min="10253" max="10253" width="9.140625" style="428"/>
    <col min="10254" max="10254" width="11.85546875" style="428" customWidth="1"/>
    <col min="10255" max="10495" width="9.140625" style="428"/>
    <col min="10496" max="10496" width="5" style="428" customWidth="1"/>
    <col min="10497" max="10497" width="21.28515625" style="428" customWidth="1"/>
    <col min="10498" max="10498" width="9" style="428" customWidth="1"/>
    <col min="10499" max="10499" width="4.85546875" style="428" customWidth="1"/>
    <col min="10500" max="10500" width="10.140625" style="428" customWidth="1"/>
    <col min="10501" max="10501" width="10.7109375" style="428" customWidth="1"/>
    <col min="10502" max="10502" width="8.42578125" style="428" customWidth="1"/>
    <col min="10503" max="10503" width="9.140625" style="428" customWidth="1"/>
    <col min="10504" max="10504" width="9.5703125" style="428" customWidth="1"/>
    <col min="10505" max="10505" width="7.140625" style="428" customWidth="1"/>
    <col min="10506" max="10506" width="12.85546875" style="428" customWidth="1"/>
    <col min="10507" max="10507" width="15.85546875" style="428" bestFit="1" customWidth="1"/>
    <col min="10508" max="10508" width="12.28515625" style="428" customWidth="1"/>
    <col min="10509" max="10509" width="9.140625" style="428"/>
    <col min="10510" max="10510" width="11.85546875" style="428" customWidth="1"/>
    <col min="10511" max="10751" width="9.140625" style="428"/>
    <col min="10752" max="10752" width="5" style="428" customWidth="1"/>
    <col min="10753" max="10753" width="21.28515625" style="428" customWidth="1"/>
    <col min="10754" max="10754" width="9" style="428" customWidth="1"/>
    <col min="10755" max="10755" width="4.85546875" style="428" customWidth="1"/>
    <col min="10756" max="10756" width="10.140625" style="428" customWidth="1"/>
    <col min="10757" max="10757" width="10.7109375" style="428" customWidth="1"/>
    <col min="10758" max="10758" width="8.42578125" style="428" customWidth="1"/>
    <col min="10759" max="10759" width="9.140625" style="428" customWidth="1"/>
    <col min="10760" max="10760" width="9.5703125" style="428" customWidth="1"/>
    <col min="10761" max="10761" width="7.140625" style="428" customWidth="1"/>
    <col min="10762" max="10762" width="12.85546875" style="428" customWidth="1"/>
    <col min="10763" max="10763" width="15.85546875" style="428" bestFit="1" customWidth="1"/>
    <col min="10764" max="10764" width="12.28515625" style="428" customWidth="1"/>
    <col min="10765" max="10765" width="9.140625" style="428"/>
    <col min="10766" max="10766" width="11.85546875" style="428" customWidth="1"/>
    <col min="10767" max="11007" width="9.140625" style="428"/>
    <col min="11008" max="11008" width="5" style="428" customWidth="1"/>
    <col min="11009" max="11009" width="21.28515625" style="428" customWidth="1"/>
    <col min="11010" max="11010" width="9" style="428" customWidth="1"/>
    <col min="11011" max="11011" width="4.85546875" style="428" customWidth="1"/>
    <col min="11012" max="11012" width="10.140625" style="428" customWidth="1"/>
    <col min="11013" max="11013" width="10.7109375" style="428" customWidth="1"/>
    <col min="11014" max="11014" width="8.42578125" style="428" customWidth="1"/>
    <col min="11015" max="11015" width="9.140625" style="428" customWidth="1"/>
    <col min="11016" max="11016" width="9.5703125" style="428" customWidth="1"/>
    <col min="11017" max="11017" width="7.140625" style="428" customWidth="1"/>
    <col min="11018" max="11018" width="12.85546875" style="428" customWidth="1"/>
    <col min="11019" max="11019" width="15.85546875" style="428" bestFit="1" customWidth="1"/>
    <col min="11020" max="11020" width="12.28515625" style="428" customWidth="1"/>
    <col min="11021" max="11021" width="9.140625" style="428"/>
    <col min="11022" max="11022" width="11.85546875" style="428" customWidth="1"/>
    <col min="11023" max="11263" width="9.140625" style="428"/>
    <col min="11264" max="11264" width="5" style="428" customWidth="1"/>
    <col min="11265" max="11265" width="21.28515625" style="428" customWidth="1"/>
    <col min="11266" max="11266" width="9" style="428" customWidth="1"/>
    <col min="11267" max="11267" width="4.85546875" style="428" customWidth="1"/>
    <col min="11268" max="11268" width="10.140625" style="428" customWidth="1"/>
    <col min="11269" max="11269" width="10.7109375" style="428" customWidth="1"/>
    <col min="11270" max="11270" width="8.42578125" style="428" customWidth="1"/>
    <col min="11271" max="11271" width="9.140625" style="428" customWidth="1"/>
    <col min="11272" max="11272" width="9.5703125" style="428" customWidth="1"/>
    <col min="11273" max="11273" width="7.140625" style="428" customWidth="1"/>
    <col min="11274" max="11274" width="12.85546875" style="428" customWidth="1"/>
    <col min="11275" max="11275" width="15.85546875" style="428" bestFit="1" customWidth="1"/>
    <col min="11276" max="11276" width="12.28515625" style="428" customWidth="1"/>
    <col min="11277" max="11277" width="9.140625" style="428"/>
    <col min="11278" max="11278" width="11.85546875" style="428" customWidth="1"/>
    <col min="11279" max="11519" width="9.140625" style="428"/>
    <col min="11520" max="11520" width="5" style="428" customWidth="1"/>
    <col min="11521" max="11521" width="21.28515625" style="428" customWidth="1"/>
    <col min="11522" max="11522" width="9" style="428" customWidth="1"/>
    <col min="11523" max="11523" width="4.85546875" style="428" customWidth="1"/>
    <col min="11524" max="11524" width="10.140625" style="428" customWidth="1"/>
    <col min="11525" max="11525" width="10.7109375" style="428" customWidth="1"/>
    <col min="11526" max="11526" width="8.42578125" style="428" customWidth="1"/>
    <col min="11527" max="11527" width="9.140625" style="428" customWidth="1"/>
    <col min="11528" max="11528" width="9.5703125" style="428" customWidth="1"/>
    <col min="11529" max="11529" width="7.140625" style="428" customWidth="1"/>
    <col min="11530" max="11530" width="12.85546875" style="428" customWidth="1"/>
    <col min="11531" max="11531" width="15.85546875" style="428" bestFit="1" customWidth="1"/>
    <col min="11532" max="11532" width="12.28515625" style="428" customWidth="1"/>
    <col min="11533" max="11533" width="9.140625" style="428"/>
    <col min="11534" max="11534" width="11.85546875" style="428" customWidth="1"/>
    <col min="11535" max="11775" width="9.140625" style="428"/>
    <col min="11776" max="11776" width="5" style="428" customWidth="1"/>
    <col min="11777" max="11777" width="21.28515625" style="428" customWidth="1"/>
    <col min="11778" max="11778" width="9" style="428" customWidth="1"/>
    <col min="11779" max="11779" width="4.85546875" style="428" customWidth="1"/>
    <col min="11780" max="11780" width="10.140625" style="428" customWidth="1"/>
    <col min="11781" max="11781" width="10.7109375" style="428" customWidth="1"/>
    <col min="11782" max="11782" width="8.42578125" style="428" customWidth="1"/>
    <col min="11783" max="11783" width="9.140625" style="428" customWidth="1"/>
    <col min="11784" max="11784" width="9.5703125" style="428" customWidth="1"/>
    <col min="11785" max="11785" width="7.140625" style="428" customWidth="1"/>
    <col min="11786" max="11786" width="12.85546875" style="428" customWidth="1"/>
    <col min="11787" max="11787" width="15.85546875" style="428" bestFit="1" customWidth="1"/>
    <col min="11788" max="11788" width="12.28515625" style="428" customWidth="1"/>
    <col min="11789" max="11789" width="9.140625" style="428"/>
    <col min="11790" max="11790" width="11.85546875" style="428" customWidth="1"/>
    <col min="11791" max="12031" width="9.140625" style="428"/>
    <col min="12032" max="12032" width="5" style="428" customWidth="1"/>
    <col min="12033" max="12033" width="21.28515625" style="428" customWidth="1"/>
    <col min="12034" max="12034" width="9" style="428" customWidth="1"/>
    <col min="12035" max="12035" width="4.85546875" style="428" customWidth="1"/>
    <col min="12036" max="12036" width="10.140625" style="428" customWidth="1"/>
    <col min="12037" max="12037" width="10.7109375" style="428" customWidth="1"/>
    <col min="12038" max="12038" width="8.42578125" style="428" customWidth="1"/>
    <col min="12039" max="12039" width="9.140625" style="428" customWidth="1"/>
    <col min="12040" max="12040" width="9.5703125" style="428" customWidth="1"/>
    <col min="12041" max="12041" width="7.140625" style="428" customWidth="1"/>
    <col min="12042" max="12042" width="12.85546875" style="428" customWidth="1"/>
    <col min="12043" max="12043" width="15.85546875" style="428" bestFit="1" customWidth="1"/>
    <col min="12044" max="12044" width="12.28515625" style="428" customWidth="1"/>
    <col min="12045" max="12045" width="9.140625" style="428"/>
    <col min="12046" max="12046" width="11.85546875" style="428" customWidth="1"/>
    <col min="12047" max="12287" width="9.140625" style="428"/>
    <col min="12288" max="12288" width="5" style="428" customWidth="1"/>
    <col min="12289" max="12289" width="21.28515625" style="428" customWidth="1"/>
    <col min="12290" max="12290" width="9" style="428" customWidth="1"/>
    <col min="12291" max="12291" width="4.85546875" style="428" customWidth="1"/>
    <col min="12292" max="12292" width="10.140625" style="428" customWidth="1"/>
    <col min="12293" max="12293" width="10.7109375" style="428" customWidth="1"/>
    <col min="12294" max="12294" width="8.42578125" style="428" customWidth="1"/>
    <col min="12295" max="12295" width="9.140625" style="428" customWidth="1"/>
    <col min="12296" max="12296" width="9.5703125" style="428" customWidth="1"/>
    <col min="12297" max="12297" width="7.140625" style="428" customWidth="1"/>
    <col min="12298" max="12298" width="12.85546875" style="428" customWidth="1"/>
    <col min="12299" max="12299" width="15.85546875" style="428" bestFit="1" customWidth="1"/>
    <col min="12300" max="12300" width="12.28515625" style="428" customWidth="1"/>
    <col min="12301" max="12301" width="9.140625" style="428"/>
    <col min="12302" max="12302" width="11.85546875" style="428" customWidth="1"/>
    <col min="12303" max="12543" width="9.140625" style="428"/>
    <col min="12544" max="12544" width="5" style="428" customWidth="1"/>
    <col min="12545" max="12545" width="21.28515625" style="428" customWidth="1"/>
    <col min="12546" max="12546" width="9" style="428" customWidth="1"/>
    <col min="12547" max="12547" width="4.85546875" style="428" customWidth="1"/>
    <col min="12548" max="12548" width="10.140625" style="428" customWidth="1"/>
    <col min="12549" max="12549" width="10.7109375" style="428" customWidth="1"/>
    <col min="12550" max="12550" width="8.42578125" style="428" customWidth="1"/>
    <col min="12551" max="12551" width="9.140625" style="428" customWidth="1"/>
    <col min="12552" max="12552" width="9.5703125" style="428" customWidth="1"/>
    <col min="12553" max="12553" width="7.140625" style="428" customWidth="1"/>
    <col min="12554" max="12554" width="12.85546875" style="428" customWidth="1"/>
    <col min="12555" max="12555" width="15.85546875" style="428" bestFit="1" customWidth="1"/>
    <col min="12556" max="12556" width="12.28515625" style="428" customWidth="1"/>
    <col min="12557" max="12557" width="9.140625" style="428"/>
    <col min="12558" max="12558" width="11.85546875" style="428" customWidth="1"/>
    <col min="12559" max="12799" width="9.140625" style="428"/>
    <col min="12800" max="12800" width="5" style="428" customWidth="1"/>
    <col min="12801" max="12801" width="21.28515625" style="428" customWidth="1"/>
    <col min="12802" max="12802" width="9" style="428" customWidth="1"/>
    <col min="12803" max="12803" width="4.85546875" style="428" customWidth="1"/>
    <col min="12804" max="12804" width="10.140625" style="428" customWidth="1"/>
    <col min="12805" max="12805" width="10.7109375" style="428" customWidth="1"/>
    <col min="12806" max="12806" width="8.42578125" style="428" customWidth="1"/>
    <col min="12807" max="12807" width="9.140625" style="428" customWidth="1"/>
    <col min="12808" max="12808" width="9.5703125" style="428" customWidth="1"/>
    <col min="12809" max="12809" width="7.140625" style="428" customWidth="1"/>
    <col min="12810" max="12810" width="12.85546875" style="428" customWidth="1"/>
    <col min="12811" max="12811" width="15.85546875" style="428" bestFit="1" customWidth="1"/>
    <col min="12812" max="12812" width="12.28515625" style="428" customWidth="1"/>
    <col min="12813" max="12813" width="9.140625" style="428"/>
    <col min="12814" max="12814" width="11.85546875" style="428" customWidth="1"/>
    <col min="12815" max="13055" width="9.140625" style="428"/>
    <col min="13056" max="13056" width="5" style="428" customWidth="1"/>
    <col min="13057" max="13057" width="21.28515625" style="428" customWidth="1"/>
    <col min="13058" max="13058" width="9" style="428" customWidth="1"/>
    <col min="13059" max="13059" width="4.85546875" style="428" customWidth="1"/>
    <col min="13060" max="13060" width="10.140625" style="428" customWidth="1"/>
    <col min="13061" max="13061" width="10.7109375" style="428" customWidth="1"/>
    <col min="13062" max="13062" width="8.42578125" style="428" customWidth="1"/>
    <col min="13063" max="13063" width="9.140625" style="428" customWidth="1"/>
    <col min="13064" max="13064" width="9.5703125" style="428" customWidth="1"/>
    <col min="13065" max="13065" width="7.140625" style="428" customWidth="1"/>
    <col min="13066" max="13066" width="12.85546875" style="428" customWidth="1"/>
    <col min="13067" max="13067" width="15.85546875" style="428" bestFit="1" customWidth="1"/>
    <col min="13068" max="13068" width="12.28515625" style="428" customWidth="1"/>
    <col min="13069" max="13069" width="9.140625" style="428"/>
    <col min="13070" max="13070" width="11.85546875" style="428" customWidth="1"/>
    <col min="13071" max="13311" width="9.140625" style="428"/>
    <col min="13312" max="13312" width="5" style="428" customWidth="1"/>
    <col min="13313" max="13313" width="21.28515625" style="428" customWidth="1"/>
    <col min="13314" max="13314" width="9" style="428" customWidth="1"/>
    <col min="13315" max="13315" width="4.85546875" style="428" customWidth="1"/>
    <col min="13316" max="13316" width="10.140625" style="428" customWidth="1"/>
    <col min="13317" max="13317" width="10.7109375" style="428" customWidth="1"/>
    <col min="13318" max="13318" width="8.42578125" style="428" customWidth="1"/>
    <col min="13319" max="13319" width="9.140625" style="428" customWidth="1"/>
    <col min="13320" max="13320" width="9.5703125" style="428" customWidth="1"/>
    <col min="13321" max="13321" width="7.140625" style="428" customWidth="1"/>
    <col min="13322" max="13322" width="12.85546875" style="428" customWidth="1"/>
    <col min="13323" max="13323" width="15.85546875" style="428" bestFit="1" customWidth="1"/>
    <col min="13324" max="13324" width="12.28515625" style="428" customWidth="1"/>
    <col min="13325" max="13325" width="9.140625" style="428"/>
    <col min="13326" max="13326" width="11.85546875" style="428" customWidth="1"/>
    <col min="13327" max="13567" width="9.140625" style="428"/>
    <col min="13568" max="13568" width="5" style="428" customWidth="1"/>
    <col min="13569" max="13569" width="21.28515625" style="428" customWidth="1"/>
    <col min="13570" max="13570" width="9" style="428" customWidth="1"/>
    <col min="13571" max="13571" width="4.85546875" style="428" customWidth="1"/>
    <col min="13572" max="13572" width="10.140625" style="428" customWidth="1"/>
    <col min="13573" max="13573" width="10.7109375" style="428" customWidth="1"/>
    <col min="13574" max="13574" width="8.42578125" style="428" customWidth="1"/>
    <col min="13575" max="13575" width="9.140625" style="428" customWidth="1"/>
    <col min="13576" max="13576" width="9.5703125" style="428" customWidth="1"/>
    <col min="13577" max="13577" width="7.140625" style="428" customWidth="1"/>
    <col min="13578" max="13578" width="12.85546875" style="428" customWidth="1"/>
    <col min="13579" max="13579" width="15.85546875" style="428" bestFit="1" customWidth="1"/>
    <col min="13580" max="13580" width="12.28515625" style="428" customWidth="1"/>
    <col min="13581" max="13581" width="9.140625" style="428"/>
    <col min="13582" max="13582" width="11.85546875" style="428" customWidth="1"/>
    <col min="13583" max="13823" width="9.140625" style="428"/>
    <col min="13824" max="13824" width="5" style="428" customWidth="1"/>
    <col min="13825" max="13825" width="21.28515625" style="428" customWidth="1"/>
    <col min="13826" max="13826" width="9" style="428" customWidth="1"/>
    <col min="13827" max="13827" width="4.85546875" style="428" customWidth="1"/>
    <col min="13828" max="13828" width="10.140625" style="428" customWidth="1"/>
    <col min="13829" max="13829" width="10.7109375" style="428" customWidth="1"/>
    <col min="13830" max="13830" width="8.42578125" style="428" customWidth="1"/>
    <col min="13831" max="13831" width="9.140625" style="428" customWidth="1"/>
    <col min="13832" max="13832" width="9.5703125" style="428" customWidth="1"/>
    <col min="13833" max="13833" width="7.140625" style="428" customWidth="1"/>
    <col min="13834" max="13834" width="12.85546875" style="428" customWidth="1"/>
    <col min="13835" max="13835" width="15.85546875" style="428" bestFit="1" customWidth="1"/>
    <col min="13836" max="13836" width="12.28515625" style="428" customWidth="1"/>
    <col min="13837" max="13837" width="9.140625" style="428"/>
    <col min="13838" max="13838" width="11.85546875" style="428" customWidth="1"/>
    <col min="13839" max="14079" width="9.140625" style="428"/>
    <col min="14080" max="14080" width="5" style="428" customWidth="1"/>
    <col min="14081" max="14081" width="21.28515625" style="428" customWidth="1"/>
    <col min="14082" max="14082" width="9" style="428" customWidth="1"/>
    <col min="14083" max="14083" width="4.85546875" style="428" customWidth="1"/>
    <col min="14084" max="14084" width="10.140625" style="428" customWidth="1"/>
    <col min="14085" max="14085" width="10.7109375" style="428" customWidth="1"/>
    <col min="14086" max="14086" width="8.42578125" style="428" customWidth="1"/>
    <col min="14087" max="14087" width="9.140625" style="428" customWidth="1"/>
    <col min="14088" max="14088" width="9.5703125" style="428" customWidth="1"/>
    <col min="14089" max="14089" width="7.140625" style="428" customWidth="1"/>
    <col min="14090" max="14090" width="12.85546875" style="428" customWidth="1"/>
    <col min="14091" max="14091" width="15.85546875" style="428" bestFit="1" customWidth="1"/>
    <col min="14092" max="14092" width="12.28515625" style="428" customWidth="1"/>
    <col min="14093" max="14093" width="9.140625" style="428"/>
    <col min="14094" max="14094" width="11.85546875" style="428" customWidth="1"/>
    <col min="14095" max="14335" width="9.140625" style="428"/>
    <col min="14336" max="14336" width="5" style="428" customWidth="1"/>
    <col min="14337" max="14337" width="21.28515625" style="428" customWidth="1"/>
    <col min="14338" max="14338" width="9" style="428" customWidth="1"/>
    <col min="14339" max="14339" width="4.85546875" style="428" customWidth="1"/>
    <col min="14340" max="14340" width="10.140625" style="428" customWidth="1"/>
    <col min="14341" max="14341" width="10.7109375" style="428" customWidth="1"/>
    <col min="14342" max="14342" width="8.42578125" style="428" customWidth="1"/>
    <col min="14343" max="14343" width="9.140625" style="428" customWidth="1"/>
    <col min="14344" max="14344" width="9.5703125" style="428" customWidth="1"/>
    <col min="14345" max="14345" width="7.140625" style="428" customWidth="1"/>
    <col min="14346" max="14346" width="12.85546875" style="428" customWidth="1"/>
    <col min="14347" max="14347" width="15.85546875" style="428" bestFit="1" customWidth="1"/>
    <col min="14348" max="14348" width="12.28515625" style="428" customWidth="1"/>
    <col min="14349" max="14349" width="9.140625" style="428"/>
    <col min="14350" max="14350" width="11.85546875" style="428" customWidth="1"/>
    <col min="14351" max="14591" width="9.140625" style="428"/>
    <col min="14592" max="14592" width="5" style="428" customWidth="1"/>
    <col min="14593" max="14593" width="21.28515625" style="428" customWidth="1"/>
    <col min="14594" max="14594" width="9" style="428" customWidth="1"/>
    <col min="14595" max="14595" width="4.85546875" style="428" customWidth="1"/>
    <col min="14596" max="14596" width="10.140625" style="428" customWidth="1"/>
    <col min="14597" max="14597" width="10.7109375" style="428" customWidth="1"/>
    <col min="14598" max="14598" width="8.42578125" style="428" customWidth="1"/>
    <col min="14599" max="14599" width="9.140625" style="428" customWidth="1"/>
    <col min="14600" max="14600" width="9.5703125" style="428" customWidth="1"/>
    <col min="14601" max="14601" width="7.140625" style="428" customWidth="1"/>
    <col min="14602" max="14602" width="12.85546875" style="428" customWidth="1"/>
    <col min="14603" max="14603" width="15.85546875" style="428" bestFit="1" customWidth="1"/>
    <col min="14604" max="14604" width="12.28515625" style="428" customWidth="1"/>
    <col min="14605" max="14605" width="9.140625" style="428"/>
    <col min="14606" max="14606" width="11.85546875" style="428" customWidth="1"/>
    <col min="14607" max="14847" width="9.140625" style="428"/>
    <col min="14848" max="14848" width="5" style="428" customWidth="1"/>
    <col min="14849" max="14849" width="21.28515625" style="428" customWidth="1"/>
    <col min="14850" max="14850" width="9" style="428" customWidth="1"/>
    <col min="14851" max="14851" width="4.85546875" style="428" customWidth="1"/>
    <col min="14852" max="14852" width="10.140625" style="428" customWidth="1"/>
    <col min="14853" max="14853" width="10.7109375" style="428" customWidth="1"/>
    <col min="14854" max="14854" width="8.42578125" style="428" customWidth="1"/>
    <col min="14855" max="14855" width="9.140625" style="428" customWidth="1"/>
    <col min="14856" max="14856" width="9.5703125" style="428" customWidth="1"/>
    <col min="14857" max="14857" width="7.140625" style="428" customWidth="1"/>
    <col min="14858" max="14858" width="12.85546875" style="428" customWidth="1"/>
    <col min="14859" max="14859" width="15.85546875" style="428" bestFit="1" customWidth="1"/>
    <col min="14860" max="14860" width="12.28515625" style="428" customWidth="1"/>
    <col min="14861" max="14861" width="9.140625" style="428"/>
    <col min="14862" max="14862" width="11.85546875" style="428" customWidth="1"/>
    <col min="14863" max="15103" width="9.140625" style="428"/>
    <col min="15104" max="15104" width="5" style="428" customWidth="1"/>
    <col min="15105" max="15105" width="21.28515625" style="428" customWidth="1"/>
    <col min="15106" max="15106" width="9" style="428" customWidth="1"/>
    <col min="15107" max="15107" width="4.85546875" style="428" customWidth="1"/>
    <col min="15108" max="15108" width="10.140625" style="428" customWidth="1"/>
    <col min="15109" max="15109" width="10.7109375" style="428" customWidth="1"/>
    <col min="15110" max="15110" width="8.42578125" style="428" customWidth="1"/>
    <col min="15111" max="15111" width="9.140625" style="428" customWidth="1"/>
    <col min="15112" max="15112" width="9.5703125" style="428" customWidth="1"/>
    <col min="15113" max="15113" width="7.140625" style="428" customWidth="1"/>
    <col min="15114" max="15114" width="12.85546875" style="428" customWidth="1"/>
    <col min="15115" max="15115" width="15.85546875" style="428" bestFit="1" customWidth="1"/>
    <col min="15116" max="15116" width="12.28515625" style="428" customWidth="1"/>
    <col min="15117" max="15117" width="9.140625" style="428"/>
    <col min="15118" max="15118" width="11.85546875" style="428" customWidth="1"/>
    <col min="15119" max="15359" width="9.140625" style="428"/>
    <col min="15360" max="15360" width="5" style="428" customWidth="1"/>
    <col min="15361" max="15361" width="21.28515625" style="428" customWidth="1"/>
    <col min="15362" max="15362" width="9" style="428" customWidth="1"/>
    <col min="15363" max="15363" width="4.85546875" style="428" customWidth="1"/>
    <col min="15364" max="15364" width="10.140625" style="428" customWidth="1"/>
    <col min="15365" max="15365" width="10.7109375" style="428" customWidth="1"/>
    <col min="15366" max="15366" width="8.42578125" style="428" customWidth="1"/>
    <col min="15367" max="15367" width="9.140625" style="428" customWidth="1"/>
    <col min="15368" max="15368" width="9.5703125" style="428" customWidth="1"/>
    <col min="15369" max="15369" width="7.140625" style="428" customWidth="1"/>
    <col min="15370" max="15370" width="12.85546875" style="428" customWidth="1"/>
    <col min="15371" max="15371" width="15.85546875" style="428" bestFit="1" customWidth="1"/>
    <col min="15372" max="15372" width="12.28515625" style="428" customWidth="1"/>
    <col min="15373" max="15373" width="9.140625" style="428"/>
    <col min="15374" max="15374" width="11.85546875" style="428" customWidth="1"/>
    <col min="15375" max="15615" width="9.140625" style="428"/>
    <col min="15616" max="15616" width="5" style="428" customWidth="1"/>
    <col min="15617" max="15617" width="21.28515625" style="428" customWidth="1"/>
    <col min="15618" max="15618" width="9" style="428" customWidth="1"/>
    <col min="15619" max="15619" width="4.85546875" style="428" customWidth="1"/>
    <col min="15620" max="15620" width="10.140625" style="428" customWidth="1"/>
    <col min="15621" max="15621" width="10.7109375" style="428" customWidth="1"/>
    <col min="15622" max="15622" width="8.42578125" style="428" customWidth="1"/>
    <col min="15623" max="15623" width="9.140625" style="428" customWidth="1"/>
    <col min="15624" max="15624" width="9.5703125" style="428" customWidth="1"/>
    <col min="15625" max="15625" width="7.140625" style="428" customWidth="1"/>
    <col min="15626" max="15626" width="12.85546875" style="428" customWidth="1"/>
    <col min="15627" max="15627" width="15.85546875" style="428" bestFit="1" customWidth="1"/>
    <col min="15628" max="15628" width="12.28515625" style="428" customWidth="1"/>
    <col min="15629" max="15629" width="9.140625" style="428"/>
    <col min="15630" max="15630" width="11.85546875" style="428" customWidth="1"/>
    <col min="15631" max="15871" width="9.140625" style="428"/>
    <col min="15872" max="15872" width="5" style="428" customWidth="1"/>
    <col min="15873" max="15873" width="21.28515625" style="428" customWidth="1"/>
    <col min="15874" max="15874" width="9" style="428" customWidth="1"/>
    <col min="15875" max="15875" width="4.85546875" style="428" customWidth="1"/>
    <col min="15876" max="15876" width="10.140625" style="428" customWidth="1"/>
    <col min="15877" max="15877" width="10.7109375" style="428" customWidth="1"/>
    <col min="15878" max="15878" width="8.42578125" style="428" customWidth="1"/>
    <col min="15879" max="15879" width="9.140625" style="428" customWidth="1"/>
    <col min="15880" max="15880" width="9.5703125" style="428" customWidth="1"/>
    <col min="15881" max="15881" width="7.140625" style="428" customWidth="1"/>
    <col min="15882" max="15882" width="12.85546875" style="428" customWidth="1"/>
    <col min="15883" max="15883" width="15.85546875" style="428" bestFit="1" customWidth="1"/>
    <col min="15884" max="15884" width="12.28515625" style="428" customWidth="1"/>
    <col min="15885" max="15885" width="9.140625" style="428"/>
    <col min="15886" max="15886" width="11.85546875" style="428" customWidth="1"/>
    <col min="15887" max="16127" width="9.140625" style="428"/>
    <col min="16128" max="16128" width="5" style="428" customWidth="1"/>
    <col min="16129" max="16129" width="21.28515625" style="428" customWidth="1"/>
    <col min="16130" max="16130" width="9" style="428" customWidth="1"/>
    <col min="16131" max="16131" width="4.85546875" style="428" customWidth="1"/>
    <col min="16132" max="16132" width="10.140625" style="428" customWidth="1"/>
    <col min="16133" max="16133" width="10.7109375" style="428" customWidth="1"/>
    <col min="16134" max="16134" width="8.42578125" style="428" customWidth="1"/>
    <col min="16135" max="16135" width="9.140625" style="428" customWidth="1"/>
    <col min="16136" max="16136" width="9.5703125" style="428" customWidth="1"/>
    <col min="16137" max="16137" width="7.140625" style="428" customWidth="1"/>
    <col min="16138" max="16138" width="12.85546875" style="428" customWidth="1"/>
    <col min="16139" max="16139" width="15.85546875" style="428" bestFit="1" customWidth="1"/>
    <col min="16140" max="16140" width="12.28515625" style="428" customWidth="1"/>
    <col min="16141" max="16141" width="9.140625" style="428"/>
    <col min="16142" max="16142" width="11.85546875" style="428" customWidth="1"/>
    <col min="16143" max="16384" width="9.140625" style="428"/>
  </cols>
  <sheetData>
    <row r="1" spans="1:10" s="171" customFormat="1" ht="23.25" x14ac:dyDescent="0.35">
      <c r="A1" s="816" t="s">
        <v>377</v>
      </c>
      <c r="B1" s="816"/>
      <c r="C1" s="816"/>
      <c r="D1" s="816"/>
      <c r="E1" s="816"/>
    </row>
    <row r="2" spans="1:10" s="171" customFormat="1" ht="18.75" x14ac:dyDescent="0.3">
      <c r="A2" s="491" t="s">
        <v>1345</v>
      </c>
    </row>
    <row r="3" spans="1:10" s="171" customFormat="1" ht="18.75" x14ac:dyDescent="0.3">
      <c r="A3" s="491" t="s">
        <v>379</v>
      </c>
      <c r="C3" s="171" t="s">
        <v>332</v>
      </c>
    </row>
    <row r="4" spans="1:10" s="171" customFormat="1" ht="18.75" x14ac:dyDescent="0.3">
      <c r="A4" s="491" t="s">
        <v>380</v>
      </c>
      <c r="C4" s="171" t="s">
        <v>381</v>
      </c>
      <c r="E4" s="491"/>
    </row>
    <row r="5" spans="1:10" s="171" customFormat="1" ht="18.75" x14ac:dyDescent="0.3">
      <c r="A5" s="491" t="s">
        <v>382</v>
      </c>
      <c r="C5" s="171" t="s">
        <v>383</v>
      </c>
    </row>
    <row r="6" spans="1:10" s="171" customFormat="1" ht="18.75" x14ac:dyDescent="0.3">
      <c r="A6" s="491" t="str">
        <f>+ค่ารื้อย้ายยกประตูน้ำ!A6</f>
        <v>กำหนดราคากลางเมื่อ</v>
      </c>
      <c r="C6" s="772" t="str">
        <f>+ย้ายเสาไฟกิ่ง!C6</f>
        <v>วันที่   24  เดือน  กันยายน      พ.ศ. 2567</v>
      </c>
    </row>
    <row r="8" spans="1:10" ht="21" x14ac:dyDescent="0.35">
      <c r="A8" s="389" t="s">
        <v>725</v>
      </c>
      <c r="B8" s="1034"/>
      <c r="C8" s="1035" t="s">
        <v>726</v>
      </c>
      <c r="D8" s="1034"/>
      <c r="E8" s="1034"/>
      <c r="F8" s="1034"/>
      <c r="G8" s="1034"/>
      <c r="H8" s="1034"/>
      <c r="I8" s="1035"/>
      <c r="J8" s="1034"/>
    </row>
    <row r="9" spans="1:10" ht="21" x14ac:dyDescent="0.35">
      <c r="A9" s="389"/>
      <c r="B9" s="1034"/>
      <c r="C9" s="1035" t="s">
        <v>727</v>
      </c>
      <c r="D9" s="1034"/>
      <c r="E9" s="1034"/>
      <c r="F9" s="1034"/>
      <c r="G9" s="1034"/>
      <c r="H9" s="1034"/>
      <c r="I9" s="1035"/>
      <c r="J9" s="1034"/>
    </row>
    <row r="10" spans="1:10" x14ac:dyDescent="0.25">
      <c r="A10" s="1011" t="s">
        <v>386</v>
      </c>
      <c r="B10" s="1012" t="s">
        <v>1</v>
      </c>
      <c r="C10" s="1011" t="s">
        <v>24</v>
      </c>
      <c r="D10" s="1013" t="s">
        <v>25</v>
      </c>
      <c r="E10" s="1014" t="s">
        <v>387</v>
      </c>
      <c r="F10" s="1015"/>
      <c r="G10" s="1014" t="s">
        <v>388</v>
      </c>
      <c r="H10" s="1015"/>
      <c r="I10" s="1011" t="s">
        <v>389</v>
      </c>
      <c r="J10" s="1011" t="s">
        <v>20</v>
      </c>
    </row>
    <row r="11" spans="1:10" x14ac:dyDescent="0.25">
      <c r="A11" s="1016" t="s">
        <v>0</v>
      </c>
      <c r="B11" s="1017"/>
      <c r="C11" s="1016"/>
      <c r="D11" s="589"/>
      <c r="E11" s="1016" t="s">
        <v>390</v>
      </c>
      <c r="F11" s="1016" t="s">
        <v>27</v>
      </c>
      <c r="G11" s="532" t="s">
        <v>390</v>
      </c>
      <c r="H11" s="532" t="s">
        <v>27</v>
      </c>
      <c r="I11" s="1016" t="s">
        <v>391</v>
      </c>
      <c r="J11" s="1016"/>
    </row>
    <row r="12" spans="1:10" x14ac:dyDescent="0.25">
      <c r="A12" s="302"/>
      <c r="B12" s="1018" t="s">
        <v>727</v>
      </c>
      <c r="C12" s="302"/>
      <c r="D12" s="302"/>
      <c r="E12" s="302"/>
      <c r="F12" s="302"/>
      <c r="G12" s="302"/>
      <c r="H12" s="302"/>
      <c r="I12" s="302"/>
      <c r="J12" s="1019"/>
    </row>
    <row r="13" spans="1:10" x14ac:dyDescent="0.25">
      <c r="A13" s="302">
        <v>1</v>
      </c>
      <c r="B13" s="277" t="s">
        <v>728</v>
      </c>
      <c r="C13" s="1020">
        <v>2</v>
      </c>
      <c r="D13" s="1020" t="s">
        <v>34</v>
      </c>
      <c r="E13" s="1020">
        <v>0</v>
      </c>
      <c r="F13" s="1020">
        <f t="shared" ref="F13:F22" si="0">C13*E13</f>
        <v>0</v>
      </c>
      <c r="G13" s="1020">
        <v>105</v>
      </c>
      <c r="H13" s="1020">
        <f>C13*G13</f>
        <v>210</v>
      </c>
      <c r="I13" s="1020">
        <f t="shared" ref="I13:I23" si="1">F13+H13</f>
        <v>210</v>
      </c>
      <c r="J13" s="1019"/>
    </row>
    <row r="14" spans="1:10" x14ac:dyDescent="0.25">
      <c r="A14" s="302">
        <v>2</v>
      </c>
      <c r="B14" s="277" t="s">
        <v>729</v>
      </c>
      <c r="C14" s="1020">
        <v>0.05</v>
      </c>
      <c r="D14" s="1020" t="s">
        <v>34</v>
      </c>
      <c r="E14" s="1020">
        <f>ราคาวัสดุ!J23</f>
        <v>543.62</v>
      </c>
      <c r="F14" s="1020">
        <f t="shared" si="0"/>
        <v>27.181000000000001</v>
      </c>
      <c r="G14" s="1020">
        <v>99</v>
      </c>
      <c r="H14" s="1020">
        <f t="shared" ref="H14:H23" si="2">C14*G14</f>
        <v>4.95</v>
      </c>
      <c r="I14" s="1020">
        <f t="shared" si="1"/>
        <v>32.131</v>
      </c>
      <c r="J14" s="1019"/>
    </row>
    <row r="15" spans="1:10" x14ac:dyDescent="0.25">
      <c r="A15" s="302">
        <v>2</v>
      </c>
      <c r="B15" s="277" t="s">
        <v>730</v>
      </c>
      <c r="C15" s="1020">
        <v>0.05</v>
      </c>
      <c r="D15" s="1020" t="s">
        <v>34</v>
      </c>
      <c r="E15" s="1020">
        <v>2000</v>
      </c>
      <c r="F15" s="1020">
        <f t="shared" si="0"/>
        <v>100</v>
      </c>
      <c r="G15" s="1020">
        <v>416</v>
      </c>
      <c r="H15" s="1020">
        <f t="shared" si="2"/>
        <v>20.8</v>
      </c>
      <c r="I15" s="1020">
        <f t="shared" si="1"/>
        <v>120.8</v>
      </c>
      <c r="J15" s="1019"/>
    </row>
    <row r="16" spans="1:10" x14ac:dyDescent="0.25">
      <c r="A16" s="302">
        <v>3</v>
      </c>
      <c r="B16" s="277" t="s">
        <v>731</v>
      </c>
      <c r="C16" s="1020">
        <f>0.466</f>
        <v>0.46600000000000003</v>
      </c>
      <c r="D16" s="1020" t="s">
        <v>34</v>
      </c>
      <c r="E16" s="1020">
        <f>ราคาวัสดุ!J19</f>
        <v>2519</v>
      </c>
      <c r="F16" s="1020">
        <f t="shared" si="0"/>
        <v>1173.854</v>
      </c>
      <c r="G16" s="1020"/>
      <c r="H16" s="1020">
        <f t="shared" si="2"/>
        <v>0</v>
      </c>
      <c r="I16" s="1020">
        <f t="shared" si="1"/>
        <v>1173.854</v>
      </c>
      <c r="J16" s="1019"/>
    </row>
    <row r="17" spans="1:11" x14ac:dyDescent="0.25">
      <c r="A17" s="302">
        <v>4</v>
      </c>
      <c r="B17" s="277" t="s">
        <v>732</v>
      </c>
      <c r="C17" s="1020">
        <f>19.88+5</f>
        <v>24.88</v>
      </c>
      <c r="D17" s="1020" t="s">
        <v>399</v>
      </c>
      <c r="E17" s="1020">
        <f>ราคาวัสดุ!J13/1000</f>
        <v>28.676880000000001</v>
      </c>
      <c r="F17" s="1020">
        <f t="shared" si="0"/>
        <v>713.48077439999997</v>
      </c>
      <c r="G17" s="1020"/>
      <c r="H17" s="1020">
        <f t="shared" si="2"/>
        <v>0</v>
      </c>
      <c r="I17" s="1020">
        <f t="shared" si="1"/>
        <v>713.48077439999997</v>
      </c>
      <c r="J17" s="1019"/>
    </row>
    <row r="18" spans="1:11" x14ac:dyDescent="0.25">
      <c r="A18" s="302">
        <v>4</v>
      </c>
      <c r="B18" s="277" t="s">
        <v>733</v>
      </c>
      <c r="C18" s="1020">
        <f>2.66</f>
        <v>2.66</v>
      </c>
      <c r="D18" s="1020" t="s">
        <v>399</v>
      </c>
      <c r="E18" s="1020">
        <f>ราคาวัสดุ!J15/1000</f>
        <v>27.600729999999999</v>
      </c>
      <c r="F18" s="1020">
        <f t="shared" si="0"/>
        <v>73.417941799999994</v>
      </c>
      <c r="G18" s="1020"/>
      <c r="H18" s="1020">
        <f t="shared" si="2"/>
        <v>0</v>
      </c>
      <c r="I18" s="1020">
        <f t="shared" si="1"/>
        <v>73.417941799999994</v>
      </c>
      <c r="J18" s="1019"/>
    </row>
    <row r="19" spans="1:11" x14ac:dyDescent="0.25">
      <c r="A19" s="302">
        <v>5</v>
      </c>
      <c r="B19" s="277" t="s">
        <v>448</v>
      </c>
      <c r="C19" s="1020">
        <f>FLOOR((C17)*0.025,0.001)</f>
        <v>0.622</v>
      </c>
      <c r="D19" s="1020" t="s">
        <v>399</v>
      </c>
      <c r="E19" s="1020">
        <f>ราคาวัสดุ!J18</f>
        <v>39.72</v>
      </c>
      <c r="F19" s="1020">
        <f t="shared" si="0"/>
        <v>24.705839999999998</v>
      </c>
      <c r="G19" s="1020"/>
      <c r="H19" s="1020">
        <f t="shared" si="2"/>
        <v>0</v>
      </c>
      <c r="I19" s="1020">
        <f t="shared" si="1"/>
        <v>24.705839999999998</v>
      </c>
      <c r="J19" s="1019"/>
    </row>
    <row r="20" spans="1:11" x14ac:dyDescent="0.25">
      <c r="A20" s="302">
        <v>6</v>
      </c>
      <c r="B20" s="277" t="s">
        <v>734</v>
      </c>
      <c r="C20" s="1020">
        <f>7.25+5</f>
        <v>12.25</v>
      </c>
      <c r="D20" s="1020" t="s">
        <v>33</v>
      </c>
      <c r="E20" s="1020">
        <f>ไม้แบบ!I25</f>
        <v>330</v>
      </c>
      <c r="F20" s="1020">
        <f t="shared" si="0"/>
        <v>4042.5</v>
      </c>
      <c r="G20" s="1020"/>
      <c r="H20" s="1020">
        <f t="shared" si="2"/>
        <v>0</v>
      </c>
      <c r="I20" s="1020">
        <f t="shared" si="1"/>
        <v>4042.5</v>
      </c>
      <c r="J20" s="1019"/>
    </row>
    <row r="21" spans="1:11" x14ac:dyDescent="0.25">
      <c r="A21" s="302">
        <v>10</v>
      </c>
      <c r="B21" s="277" t="s">
        <v>735</v>
      </c>
      <c r="C21" s="1020">
        <v>2.6</v>
      </c>
      <c r="D21" s="1020" t="s">
        <v>53</v>
      </c>
      <c r="E21" s="1020">
        <f>'[3]รายการคำนวณต้นทุนต่อหน่วย)'!L151</f>
        <v>88.006666666666661</v>
      </c>
      <c r="F21" s="1020">
        <f t="shared" si="0"/>
        <v>228.81733333333332</v>
      </c>
      <c r="G21" s="1020"/>
      <c r="H21" s="1020">
        <f t="shared" si="2"/>
        <v>0</v>
      </c>
      <c r="I21" s="1020">
        <f t="shared" si="1"/>
        <v>228.81733333333332</v>
      </c>
      <c r="J21" s="1019"/>
    </row>
    <row r="22" spans="1:11" x14ac:dyDescent="0.25">
      <c r="A22" s="302">
        <v>10</v>
      </c>
      <c r="B22" s="277" t="s">
        <v>736</v>
      </c>
      <c r="C22" s="1020">
        <v>0.2</v>
      </c>
      <c r="D22" s="1020" t="s">
        <v>33</v>
      </c>
      <c r="E22" s="1020">
        <f>'[3]รายการคำนวณต้นทุนต่อหน่วย)'!L159</f>
        <v>54</v>
      </c>
      <c r="F22" s="1020">
        <f t="shared" si="0"/>
        <v>10.8</v>
      </c>
      <c r="G22" s="1020"/>
      <c r="H22" s="1020">
        <f t="shared" si="2"/>
        <v>0</v>
      </c>
      <c r="I22" s="1020">
        <f t="shared" si="1"/>
        <v>10.8</v>
      </c>
      <c r="J22" s="1019"/>
    </row>
    <row r="23" spans="1:11" x14ac:dyDescent="0.25">
      <c r="A23" s="302">
        <v>9</v>
      </c>
      <c r="B23" s="277" t="s">
        <v>737</v>
      </c>
      <c r="C23" s="1020">
        <v>0.72</v>
      </c>
      <c r="D23" s="1020" t="s">
        <v>738</v>
      </c>
      <c r="E23" s="1020">
        <v>53.9</v>
      </c>
      <c r="F23" s="1020">
        <v>51.04</v>
      </c>
      <c r="G23" s="1020"/>
      <c r="H23" s="1020">
        <f t="shared" si="2"/>
        <v>0</v>
      </c>
      <c r="I23" s="1020">
        <f t="shared" si="1"/>
        <v>51.04</v>
      </c>
      <c r="J23" s="1019"/>
    </row>
    <row r="24" spans="1:11" x14ac:dyDescent="0.25">
      <c r="A24" s="1021"/>
      <c r="B24" s="1021"/>
      <c r="C24" s="1021"/>
      <c r="D24" s="1021"/>
      <c r="E24" s="1021"/>
      <c r="F24" s="1022"/>
      <c r="G24" s="1022"/>
      <c r="H24" s="1022"/>
      <c r="I24" s="1022"/>
      <c r="J24" s="1023"/>
    </row>
    <row r="25" spans="1:11" x14ac:dyDescent="0.25">
      <c r="A25" s="1024"/>
      <c r="B25" s="1024"/>
      <c r="C25" s="1025"/>
      <c r="D25" s="1024"/>
      <c r="E25" s="1026"/>
      <c r="F25" s="1026"/>
      <c r="G25" s="1026"/>
      <c r="H25" s="1026"/>
      <c r="I25" s="1026"/>
      <c r="J25" s="1027"/>
    </row>
    <row r="26" spans="1:11" x14ac:dyDescent="0.25">
      <c r="A26" s="1024"/>
      <c r="B26" s="532" t="s">
        <v>739</v>
      </c>
      <c r="C26" s="1024"/>
      <c r="D26" s="1024"/>
      <c r="E26" s="1026"/>
      <c r="F26" s="1026"/>
      <c r="G26" s="1026"/>
      <c r="H26" s="1028"/>
      <c r="I26" s="1029">
        <f>SUM(I13:I25)</f>
        <v>6681.5468895333333</v>
      </c>
      <c r="J26" s="1027"/>
    </row>
    <row r="27" spans="1:11" x14ac:dyDescent="0.25">
      <c r="A27" s="1030"/>
      <c r="B27" s="1031" t="s">
        <v>740</v>
      </c>
      <c r="C27" s="1030"/>
      <c r="D27" s="1030"/>
      <c r="E27" s="1030"/>
      <c r="F27" s="1030"/>
      <c r="G27" s="1030"/>
      <c r="H27" s="1030"/>
      <c r="I27" s="1032">
        <f>FLOOR(I26,2)</f>
        <v>6680</v>
      </c>
      <c r="J27" s="1030"/>
      <c r="K27" s="1033"/>
    </row>
  </sheetData>
  <mergeCells count="1">
    <mergeCell ref="A1:E1"/>
  </mergeCells>
  <pageMargins left="0.7" right="0.7" top="0.75" bottom="0.75" header="0.3" footer="0.3"/>
  <pageSetup paperSize="9" scale="95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I20"/>
  <sheetViews>
    <sheetView view="pageBreakPreview" zoomScale="60" zoomScaleNormal="100" workbookViewId="0">
      <selection activeCell="I40" sqref="I40"/>
    </sheetView>
  </sheetViews>
  <sheetFormatPr defaultRowHeight="18.75" x14ac:dyDescent="0.3"/>
  <cols>
    <col min="1" max="1" width="6" style="171" customWidth="1"/>
    <col min="2" max="2" width="43.7109375" style="171" customWidth="1"/>
    <col min="3" max="3" width="11.85546875" style="171" customWidth="1"/>
    <col min="4" max="4" width="18.28515625" style="171" customWidth="1"/>
    <col min="5" max="5" width="24.7109375" style="171" customWidth="1"/>
    <col min="6" max="6" width="11.140625" style="171" customWidth="1"/>
    <col min="7" max="7" width="12.42578125" style="171" customWidth="1"/>
    <col min="8" max="8" width="13.28515625" style="171" customWidth="1"/>
    <col min="9" max="9" width="16.85546875" style="171" customWidth="1"/>
    <col min="10" max="16384" width="9.140625" style="171"/>
  </cols>
  <sheetData>
    <row r="1" spans="1:9" ht="23.25" x14ac:dyDescent="0.35">
      <c r="A1" s="816" t="s">
        <v>377</v>
      </c>
      <c r="B1" s="816"/>
      <c r="C1" s="816"/>
      <c r="D1" s="816"/>
      <c r="E1" s="816"/>
    </row>
    <row r="2" spans="1:9" x14ac:dyDescent="0.3">
      <c r="A2" s="491" t="s">
        <v>1345</v>
      </c>
    </row>
    <row r="3" spans="1:9" x14ac:dyDescent="0.3">
      <c r="A3" s="491" t="s">
        <v>379</v>
      </c>
      <c r="C3" s="171" t="s">
        <v>332</v>
      </c>
    </row>
    <row r="4" spans="1:9" x14ac:dyDescent="0.3">
      <c r="A4" s="491" t="s">
        <v>380</v>
      </c>
      <c r="C4" s="171" t="s">
        <v>381</v>
      </c>
      <c r="E4" s="491"/>
    </row>
    <row r="5" spans="1:9" x14ac:dyDescent="0.3">
      <c r="A5" s="491" t="s">
        <v>382</v>
      </c>
      <c r="C5" s="171" t="s">
        <v>383</v>
      </c>
    </row>
    <row r="6" spans="1:9" x14ac:dyDescent="0.3">
      <c r="A6" s="491" t="str">
        <f>+บ่อพักใหม่!A6</f>
        <v>กำหนดราคากลางเมื่อ</v>
      </c>
      <c r="C6" s="772" t="str">
        <f>+บ่อพักใหม่!C6</f>
        <v>วันที่   24  เดือน  กันยายน      พ.ศ. 2567</v>
      </c>
    </row>
    <row r="7" spans="1:9" x14ac:dyDescent="0.3">
      <c r="A7" s="499" t="s">
        <v>386</v>
      </c>
      <c r="B7" s="499" t="s">
        <v>1</v>
      </c>
      <c r="C7" s="499"/>
      <c r="D7" s="499"/>
      <c r="E7" s="511" t="s">
        <v>20</v>
      </c>
    </row>
    <row r="8" spans="1:9" x14ac:dyDescent="0.3">
      <c r="A8" s="501" t="s">
        <v>0</v>
      </c>
      <c r="B8" s="515"/>
      <c r="C8" s="515"/>
      <c r="D8" s="515"/>
      <c r="E8" s="362"/>
    </row>
    <row r="9" spans="1:9" x14ac:dyDescent="0.3">
      <c r="A9" s="807"/>
      <c r="B9" s="808"/>
      <c r="C9" s="515"/>
      <c r="D9" s="515"/>
      <c r="E9" s="530"/>
    </row>
    <row r="10" spans="1:9" x14ac:dyDescent="0.3">
      <c r="A10" s="502"/>
      <c r="B10" s="809" t="s">
        <v>691</v>
      </c>
      <c r="C10" s="817">
        <v>10</v>
      </c>
      <c r="D10" s="502" t="s">
        <v>692</v>
      </c>
      <c r="E10" s="811"/>
      <c r="I10" s="171" t="s">
        <v>690</v>
      </c>
    </row>
    <row r="11" spans="1:9" x14ac:dyDescent="0.3">
      <c r="A11" s="502"/>
      <c r="B11" s="809" t="s">
        <v>693</v>
      </c>
      <c r="C11" s="811">
        <f>C10/100</f>
        <v>0.1</v>
      </c>
      <c r="D11" s="502" t="s">
        <v>694</v>
      </c>
      <c r="E11" s="811"/>
    </row>
    <row r="12" spans="1:9" x14ac:dyDescent="0.3">
      <c r="A12" s="502"/>
      <c r="B12" s="809" t="s">
        <v>684</v>
      </c>
      <c r="C12" s="811">
        <f>C11*1.7</f>
        <v>0.17</v>
      </c>
      <c r="D12" s="502" t="s">
        <v>694</v>
      </c>
      <c r="E12" s="811"/>
    </row>
    <row r="13" spans="1:9" x14ac:dyDescent="0.3">
      <c r="A13" s="502"/>
      <c r="B13" s="809" t="s">
        <v>673</v>
      </c>
      <c r="C13" s="811"/>
      <c r="D13" s="502"/>
      <c r="E13" s="811"/>
    </row>
    <row r="14" spans="1:9" x14ac:dyDescent="0.3">
      <c r="A14" s="502"/>
      <c r="B14" s="809" t="s">
        <v>695</v>
      </c>
      <c r="C14" s="811">
        <f>C11*400</f>
        <v>40</v>
      </c>
      <c r="D14" s="502" t="s">
        <v>4</v>
      </c>
      <c r="E14" s="811"/>
    </row>
    <row r="15" spans="1:9" x14ac:dyDescent="0.3">
      <c r="A15" s="813"/>
      <c r="B15" s="809" t="s">
        <v>676</v>
      </c>
      <c r="C15" s="811">
        <f>C12*41.71</f>
        <v>7.0907000000000009</v>
      </c>
      <c r="D15" s="502" t="s">
        <v>4</v>
      </c>
      <c r="E15" s="818" t="s">
        <v>696</v>
      </c>
    </row>
    <row r="16" spans="1:9" x14ac:dyDescent="0.3">
      <c r="A16" s="813"/>
      <c r="B16" s="505" t="s">
        <v>677</v>
      </c>
      <c r="C16" s="811">
        <f>19.32*C12</f>
        <v>3.2844000000000002</v>
      </c>
      <c r="D16" s="502" t="s">
        <v>4</v>
      </c>
      <c r="E16" s="818" t="s">
        <v>682</v>
      </c>
    </row>
    <row r="17" spans="1:5" x14ac:dyDescent="0.3">
      <c r="A17" s="813"/>
      <c r="B17" s="505" t="s">
        <v>404</v>
      </c>
      <c r="C17" s="815">
        <f>C14+C15+C16</f>
        <v>50.375099999999996</v>
      </c>
      <c r="D17" s="502" t="s">
        <v>4</v>
      </c>
      <c r="E17" s="811"/>
    </row>
    <row r="18" spans="1:5" x14ac:dyDescent="0.3">
      <c r="A18" s="813"/>
      <c r="B18" s="505"/>
      <c r="C18" s="815"/>
      <c r="D18" s="502"/>
      <c r="E18" s="811"/>
    </row>
    <row r="19" spans="1:5" x14ac:dyDescent="0.3">
      <c r="A19" s="809"/>
      <c r="B19" s="503" t="s">
        <v>687</v>
      </c>
      <c r="C19" s="815">
        <f>FLOOR(C17,2)</f>
        <v>50</v>
      </c>
      <c r="D19" s="502" t="s">
        <v>4</v>
      </c>
      <c r="E19" s="815" t="s">
        <v>689</v>
      </c>
    </row>
    <row r="20" spans="1:5" x14ac:dyDescent="0.3">
      <c r="C20" s="819"/>
    </row>
  </sheetData>
  <mergeCells count="2">
    <mergeCell ref="A1:E1"/>
    <mergeCell ref="E7:E8"/>
  </mergeCells>
  <pageMargins left="0.7" right="0.7" top="0.75" bottom="0.75" header="0.3" footer="0.3"/>
  <pageSetup scale="94" orientation="portrait" horizontalDpi="0" verticalDpi="0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E18"/>
  <sheetViews>
    <sheetView view="pageBreakPreview" topLeftCell="A4" zoomScale="60" zoomScaleNormal="100" workbookViewId="0">
      <selection activeCell="I9" sqref="I9"/>
    </sheetView>
  </sheetViews>
  <sheetFormatPr defaultRowHeight="18.75" x14ac:dyDescent="0.3"/>
  <cols>
    <col min="1" max="1" width="19.42578125" style="171" customWidth="1"/>
    <col min="2" max="2" width="47.7109375" style="171" customWidth="1"/>
    <col min="3" max="3" width="10.5703125" style="171" customWidth="1"/>
    <col min="4" max="4" width="13" style="171" customWidth="1"/>
    <col min="5" max="5" width="14.42578125" style="171" customWidth="1"/>
    <col min="6" max="6" width="11.140625" style="171" customWidth="1"/>
    <col min="7" max="7" width="12.42578125" style="171" customWidth="1"/>
    <col min="8" max="8" width="13.28515625" style="171" customWidth="1"/>
    <col min="9" max="9" width="16.85546875" style="171" customWidth="1"/>
    <col min="10" max="16384" width="9.140625" style="171"/>
  </cols>
  <sheetData>
    <row r="1" spans="1:5" x14ac:dyDescent="0.3">
      <c r="A1" s="380" t="s">
        <v>377</v>
      </c>
      <c r="B1" s="380"/>
      <c r="C1" s="380"/>
      <c r="D1" s="380"/>
    </row>
    <row r="2" spans="1:5" x14ac:dyDescent="0.3">
      <c r="A2" s="491" t="s">
        <v>1345</v>
      </c>
    </row>
    <row r="3" spans="1:5" x14ac:dyDescent="0.3">
      <c r="A3" s="491" t="s">
        <v>379</v>
      </c>
      <c r="B3" s="171" t="s">
        <v>332</v>
      </c>
    </row>
    <row r="4" spans="1:5" x14ac:dyDescent="0.3">
      <c r="A4" s="491" t="s">
        <v>380</v>
      </c>
      <c r="B4" s="171" t="s">
        <v>381</v>
      </c>
    </row>
    <row r="5" spans="1:5" x14ac:dyDescent="0.3">
      <c r="A5" s="491" t="s">
        <v>382</v>
      </c>
      <c r="B5" s="171" t="s">
        <v>383</v>
      </c>
    </row>
    <row r="6" spans="1:5" x14ac:dyDescent="0.3">
      <c r="A6" s="491" t="str">
        <f>+'รื้อทางเท้าเดิม 10 ซม.'!A6</f>
        <v>กำหนดราคากลางเมื่อ</v>
      </c>
      <c r="B6" s="772" t="str">
        <f>+'รื้อทางเท้าเดิม 10 ซม.'!C6</f>
        <v>วันที่   24  เดือน  กันยายน      พ.ศ. 2567</v>
      </c>
    </row>
    <row r="7" spans="1:5" x14ac:dyDescent="0.3">
      <c r="A7" s="499" t="s">
        <v>386</v>
      </c>
      <c r="B7" s="499" t="s">
        <v>1</v>
      </c>
      <c r="C7" s="499"/>
      <c r="D7" s="499"/>
      <c r="E7" s="511" t="s">
        <v>20</v>
      </c>
    </row>
    <row r="8" spans="1:5" x14ac:dyDescent="0.3">
      <c r="A8" s="501" t="s">
        <v>0</v>
      </c>
      <c r="B8" s="515"/>
      <c r="C8" s="515"/>
      <c r="D8" s="515"/>
      <c r="E8" s="362"/>
    </row>
    <row r="9" spans="1:5" x14ac:dyDescent="0.3">
      <c r="A9" s="807">
        <v>1</v>
      </c>
      <c r="B9" s="808"/>
      <c r="C9" s="515"/>
      <c r="D9" s="515"/>
      <c r="E9" s="505"/>
    </row>
    <row r="10" spans="1:5" x14ac:dyDescent="0.3">
      <c r="A10" s="502"/>
      <c r="B10" s="809" t="s">
        <v>670</v>
      </c>
      <c r="C10" s="817">
        <v>15</v>
      </c>
      <c r="D10" s="502" t="s">
        <v>512</v>
      </c>
      <c r="E10" s="505"/>
    </row>
    <row r="11" spans="1:5" x14ac:dyDescent="0.3">
      <c r="A11" s="502"/>
      <c r="B11" s="809" t="s">
        <v>678</v>
      </c>
      <c r="C11" s="811">
        <f>C10/100*1*4*0.35</f>
        <v>0.21</v>
      </c>
      <c r="D11" s="502" t="s">
        <v>671</v>
      </c>
      <c r="E11" s="505"/>
    </row>
    <row r="12" spans="1:5" x14ac:dyDescent="0.3">
      <c r="A12" s="502"/>
      <c r="B12" s="809" t="s">
        <v>672</v>
      </c>
      <c r="C12" s="811">
        <f>C11*1.7</f>
        <v>0.35699999999999998</v>
      </c>
      <c r="D12" s="502" t="s">
        <v>34</v>
      </c>
      <c r="E12" s="505"/>
    </row>
    <row r="13" spans="1:5" x14ac:dyDescent="0.3">
      <c r="A13" s="502"/>
      <c r="B13" s="809" t="s">
        <v>673</v>
      </c>
      <c r="C13" s="811"/>
      <c r="D13" s="502"/>
      <c r="E13" s="505"/>
    </row>
    <row r="14" spans="1:5" x14ac:dyDescent="0.3">
      <c r="A14" s="502"/>
      <c r="B14" s="809" t="s">
        <v>674</v>
      </c>
      <c r="C14" s="811">
        <f>C11*400</f>
        <v>84</v>
      </c>
      <c r="D14" s="502" t="s">
        <v>675</v>
      </c>
      <c r="E14" s="505"/>
    </row>
    <row r="15" spans="1:5" x14ac:dyDescent="0.3">
      <c r="A15" s="813"/>
      <c r="B15" s="809" t="s">
        <v>676</v>
      </c>
      <c r="C15" s="811">
        <f>C12*41.26</f>
        <v>14.729819999999998</v>
      </c>
      <c r="D15" s="502" t="s">
        <v>675</v>
      </c>
      <c r="E15" s="505"/>
    </row>
    <row r="16" spans="1:5" x14ac:dyDescent="0.3">
      <c r="A16" s="813"/>
      <c r="B16" s="505" t="s">
        <v>677</v>
      </c>
      <c r="C16" s="811">
        <f>19.26*C12</f>
        <v>6.87582</v>
      </c>
      <c r="D16" s="502" t="s">
        <v>675</v>
      </c>
      <c r="E16" s="505"/>
    </row>
    <row r="17" spans="1:5" x14ac:dyDescent="0.3">
      <c r="A17" s="813"/>
      <c r="B17" s="505" t="s">
        <v>404</v>
      </c>
      <c r="C17" s="815">
        <f>FLOOR(SUM(C14:C16),100)</f>
        <v>100</v>
      </c>
      <c r="D17" s="502" t="s">
        <v>675</v>
      </c>
      <c r="E17" s="505"/>
    </row>
    <row r="18" spans="1:5" x14ac:dyDescent="0.3">
      <c r="A18" s="809"/>
      <c r="B18" s="503" t="s">
        <v>404</v>
      </c>
      <c r="C18" s="1036">
        <f>+C17</f>
        <v>100</v>
      </c>
      <c r="D18" s="502" t="str">
        <f>+D17</f>
        <v>บาท/บ่อ</v>
      </c>
      <c r="E18" s="505"/>
    </row>
  </sheetData>
  <mergeCells count="2">
    <mergeCell ref="A1:D1"/>
    <mergeCell ref="E7:E8"/>
  </mergeCells>
  <pageMargins left="0.7" right="0.7" top="0.75" bottom="0.75" header="0.3" footer="0.3"/>
  <pageSetup scale="94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1:E19"/>
  <sheetViews>
    <sheetView view="pageBreakPreview" topLeftCell="A4" zoomScale="60" zoomScaleNormal="100" workbookViewId="0">
      <selection activeCell="K17" sqref="K17"/>
    </sheetView>
  </sheetViews>
  <sheetFormatPr defaultRowHeight="18.75" x14ac:dyDescent="0.3"/>
  <cols>
    <col min="1" max="1" width="23.5703125" style="171" customWidth="1"/>
    <col min="2" max="2" width="37.85546875" style="171" customWidth="1"/>
    <col min="3" max="3" width="10.85546875" style="171" customWidth="1"/>
    <col min="4" max="4" width="13" style="171" customWidth="1"/>
    <col min="5" max="5" width="33.28515625" style="171" customWidth="1"/>
    <col min="6" max="6" width="11.140625" style="171" customWidth="1"/>
    <col min="7" max="7" width="12.42578125" style="171" customWidth="1"/>
    <col min="8" max="8" width="13.28515625" style="171" customWidth="1"/>
    <col min="9" max="9" width="16.85546875" style="171" customWidth="1"/>
    <col min="10" max="16384" width="9.140625" style="171"/>
  </cols>
  <sheetData>
    <row r="1" spans="1:5" x14ac:dyDescent="0.3">
      <c r="A1" s="380" t="s">
        <v>377</v>
      </c>
      <c r="B1" s="380"/>
      <c r="C1" s="380"/>
      <c r="D1" s="380"/>
      <c r="E1" s="380"/>
    </row>
    <row r="2" spans="1:5" x14ac:dyDescent="0.3">
      <c r="A2" s="491" t="s">
        <v>1345</v>
      </c>
    </row>
    <row r="3" spans="1:5" x14ac:dyDescent="0.3">
      <c r="A3" s="491" t="s">
        <v>379</v>
      </c>
      <c r="B3" s="171" t="s">
        <v>332</v>
      </c>
    </row>
    <row r="4" spans="1:5" x14ac:dyDescent="0.3">
      <c r="A4" s="491" t="s">
        <v>380</v>
      </c>
      <c r="B4" s="171" t="s">
        <v>381</v>
      </c>
      <c r="E4" s="491"/>
    </row>
    <row r="5" spans="1:5" x14ac:dyDescent="0.3">
      <c r="A5" s="491" t="s">
        <v>382</v>
      </c>
      <c r="B5" s="171" t="s">
        <v>383</v>
      </c>
    </row>
    <row r="6" spans="1:5" x14ac:dyDescent="0.3">
      <c r="A6" s="491" t="str">
        <f>+'รื้อคอนกรีตบ่อพัก+ฝาเดิม'!A6</f>
        <v>กำหนดราคากลางเมื่อ</v>
      </c>
      <c r="B6" s="772" t="str">
        <f>+'รื้อคอนกรีตบ่อพัก+ฝาเดิม'!B6</f>
        <v>วันที่   24  เดือน  กันยายน      พ.ศ. 2567</v>
      </c>
    </row>
    <row r="7" spans="1:5" x14ac:dyDescent="0.3">
      <c r="A7" s="499" t="s">
        <v>386</v>
      </c>
      <c r="B7" s="499" t="s">
        <v>1</v>
      </c>
      <c r="C7" s="499"/>
      <c r="D7" s="499"/>
      <c r="E7" s="500" t="s">
        <v>20</v>
      </c>
    </row>
    <row r="8" spans="1:5" x14ac:dyDescent="0.3">
      <c r="A8" s="501" t="s">
        <v>0</v>
      </c>
      <c r="B8" s="515"/>
      <c r="C8" s="515"/>
      <c r="D8" s="515"/>
      <c r="E8" s="500"/>
    </row>
    <row r="9" spans="1:5" x14ac:dyDescent="0.3">
      <c r="A9" s="807"/>
      <c r="B9" s="808"/>
      <c r="C9" s="515"/>
      <c r="D9" s="515"/>
      <c r="E9" s="530"/>
    </row>
    <row r="10" spans="1:5" x14ac:dyDescent="0.3">
      <c r="A10" s="502">
        <v>1</v>
      </c>
      <c r="B10" s="809" t="s">
        <v>707</v>
      </c>
      <c r="C10" s="817">
        <v>10</v>
      </c>
      <c r="D10" s="502" t="s">
        <v>53</v>
      </c>
      <c r="E10" s="811"/>
    </row>
    <row r="11" spans="1:5" x14ac:dyDescent="0.3">
      <c r="A11" s="502"/>
      <c r="B11" s="809" t="s">
        <v>720</v>
      </c>
      <c r="C11" s="811">
        <f>C10*0.15*21.84</f>
        <v>32.76</v>
      </c>
      <c r="D11" s="502" t="s">
        <v>47</v>
      </c>
      <c r="E11" s="811" t="s">
        <v>711</v>
      </c>
    </row>
    <row r="12" spans="1:5" x14ac:dyDescent="0.3">
      <c r="A12" s="502"/>
      <c r="B12" s="809" t="s">
        <v>721</v>
      </c>
      <c r="C12" s="811">
        <f>ราคาวัสดุ!J19*0.225</f>
        <v>566.77499999999998</v>
      </c>
      <c r="D12" s="502" t="s">
        <v>47</v>
      </c>
      <c r="E12" s="811" t="s">
        <v>719</v>
      </c>
    </row>
    <row r="13" spans="1:5" x14ac:dyDescent="0.3">
      <c r="A13" s="502"/>
      <c r="B13" s="809" t="s">
        <v>722</v>
      </c>
      <c r="C13" s="811">
        <f>3*ไม้แบบ!I25</f>
        <v>990</v>
      </c>
      <c r="D13" s="502" t="s">
        <v>47</v>
      </c>
      <c r="E13" s="811" t="s">
        <v>713</v>
      </c>
    </row>
    <row r="14" spans="1:5" x14ac:dyDescent="0.3">
      <c r="A14" s="502"/>
      <c r="B14" s="809" t="s">
        <v>723</v>
      </c>
      <c r="C14" s="811">
        <f>20*ราคาวัสดุ!J13/1000</f>
        <v>573.5376</v>
      </c>
      <c r="D14" s="502" t="s">
        <v>47</v>
      </c>
      <c r="E14" s="811" t="s">
        <v>719</v>
      </c>
    </row>
    <row r="15" spans="1:5" x14ac:dyDescent="0.3">
      <c r="A15" s="502"/>
      <c r="B15" s="809" t="s">
        <v>724</v>
      </c>
      <c r="C15" s="811">
        <f>6.6*ราคาวัสดุ!J12/1000</f>
        <v>219.71980799999997</v>
      </c>
      <c r="D15" s="502" t="s">
        <v>47</v>
      </c>
      <c r="E15" s="811" t="s">
        <v>719</v>
      </c>
    </row>
    <row r="16" spans="1:5" x14ac:dyDescent="0.3">
      <c r="A16" s="813"/>
      <c r="B16" s="809" t="s">
        <v>708</v>
      </c>
      <c r="C16" s="811">
        <f>SUM(C11:C15)</f>
        <v>2382.7924079999998</v>
      </c>
      <c r="D16" s="502" t="s">
        <v>47</v>
      </c>
      <c r="E16" s="811"/>
    </row>
    <row r="17" spans="1:5" x14ac:dyDescent="0.3">
      <c r="A17" s="813"/>
      <c r="B17" s="809" t="s">
        <v>709</v>
      </c>
      <c r="C17" s="811">
        <f>C16/C10</f>
        <v>238.27924079999997</v>
      </c>
      <c r="D17" s="502" t="s">
        <v>47</v>
      </c>
      <c r="E17" s="811"/>
    </row>
    <row r="18" spans="1:5" s="491" customFormat="1" x14ac:dyDescent="0.3">
      <c r="A18" s="814"/>
      <c r="B18" s="504" t="s">
        <v>404</v>
      </c>
      <c r="C18" s="815">
        <f>FLOOR(C17,2)</f>
        <v>238</v>
      </c>
      <c r="D18" s="503" t="s">
        <v>47</v>
      </c>
      <c r="E18" s="815" t="s">
        <v>689</v>
      </c>
    </row>
    <row r="19" spans="1:5" x14ac:dyDescent="0.3">
      <c r="A19" s="809"/>
      <c r="B19" s="503"/>
      <c r="C19" s="502"/>
      <c r="D19" s="502"/>
      <c r="E19" s="811"/>
    </row>
  </sheetData>
  <mergeCells count="2">
    <mergeCell ref="A1:E1"/>
    <mergeCell ref="E7:E8"/>
  </mergeCells>
  <pageMargins left="0.7" right="0.7" top="0.75" bottom="0.75" header="0.3" footer="0.3"/>
  <pageSetup paperSize="9" scale="80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00"/>
  </sheetPr>
  <dimension ref="A1:E19"/>
  <sheetViews>
    <sheetView view="pageBreakPreview" topLeftCell="A5" zoomScale="60" zoomScaleNormal="100" workbookViewId="0">
      <selection activeCell="K12" sqref="K12"/>
    </sheetView>
  </sheetViews>
  <sheetFormatPr defaultRowHeight="18.75" x14ac:dyDescent="0.3"/>
  <cols>
    <col min="1" max="1" width="19.28515625" style="171" customWidth="1"/>
    <col min="2" max="2" width="30.28515625" style="171" customWidth="1"/>
    <col min="3" max="3" width="9" style="171" customWidth="1"/>
    <col min="4" max="4" width="13" style="171" customWidth="1"/>
    <col min="5" max="5" width="26.85546875" style="171" customWidth="1"/>
    <col min="6" max="6" width="11.140625" style="171" customWidth="1"/>
    <col min="7" max="7" width="12.42578125" style="171" customWidth="1"/>
    <col min="8" max="8" width="13.28515625" style="171" customWidth="1"/>
    <col min="9" max="9" width="16.85546875" style="171" customWidth="1"/>
    <col min="10" max="16384" width="9.140625" style="171"/>
  </cols>
  <sheetData>
    <row r="1" spans="1:5" ht="23.25" x14ac:dyDescent="0.35">
      <c r="A1" s="816" t="s">
        <v>377</v>
      </c>
      <c r="B1" s="816"/>
      <c r="C1" s="816"/>
      <c r="D1" s="816"/>
      <c r="E1" s="816"/>
    </row>
    <row r="2" spans="1:5" x14ac:dyDescent="0.3">
      <c r="A2" s="491" t="s">
        <v>1345</v>
      </c>
    </row>
    <row r="3" spans="1:5" x14ac:dyDescent="0.3">
      <c r="A3" s="491" t="s">
        <v>379</v>
      </c>
      <c r="B3" s="171" t="s">
        <v>332</v>
      </c>
    </row>
    <row r="4" spans="1:5" x14ac:dyDescent="0.3">
      <c r="A4" s="491" t="s">
        <v>380</v>
      </c>
      <c r="B4" s="171" t="s">
        <v>381</v>
      </c>
      <c r="E4" s="491"/>
    </row>
    <row r="5" spans="1:5" x14ac:dyDescent="0.3">
      <c r="A5" s="491" t="s">
        <v>382</v>
      </c>
      <c r="B5" s="171" t="s">
        <v>383</v>
      </c>
    </row>
    <row r="6" spans="1:5" x14ac:dyDescent="0.3">
      <c r="A6" s="491" t="str">
        <f>+คันหินปิดหลังทางเท้า!A6</f>
        <v>กำหนดราคากลางเมื่อ</v>
      </c>
      <c r="B6" s="772" t="str">
        <f>+คันหินปิดหลังทางเท้า!B6</f>
        <v>วันที่   24  เดือน  กันยายน      พ.ศ. 2567</v>
      </c>
    </row>
    <row r="7" spans="1:5" x14ac:dyDescent="0.3">
      <c r="A7" s="499" t="s">
        <v>386</v>
      </c>
      <c r="B7" s="499" t="s">
        <v>1</v>
      </c>
      <c r="C7" s="499"/>
      <c r="D7" s="499"/>
      <c r="E7" s="500" t="s">
        <v>20</v>
      </c>
    </row>
    <row r="8" spans="1:5" x14ac:dyDescent="0.3">
      <c r="A8" s="501" t="s">
        <v>0</v>
      </c>
      <c r="B8" s="515"/>
      <c r="C8" s="515"/>
      <c r="D8" s="515"/>
      <c r="E8" s="500"/>
    </row>
    <row r="9" spans="1:5" x14ac:dyDescent="0.3">
      <c r="A9" s="1016">
        <v>1</v>
      </c>
      <c r="B9" s="1037" t="s">
        <v>707</v>
      </c>
      <c r="C9" s="1038">
        <v>10</v>
      </c>
      <c r="D9" s="530" t="s">
        <v>53</v>
      </c>
      <c r="E9" s="530"/>
    </row>
    <row r="10" spans="1:5" x14ac:dyDescent="0.3">
      <c r="A10" s="530"/>
      <c r="B10" s="1037" t="s">
        <v>710</v>
      </c>
      <c r="C10" s="1039">
        <f>C9*0.2*0.5*21.84</f>
        <v>21.84</v>
      </c>
      <c r="D10" s="530" t="s">
        <v>47</v>
      </c>
      <c r="E10" s="1039"/>
    </row>
    <row r="11" spans="1:5" x14ac:dyDescent="0.3">
      <c r="A11" s="530"/>
      <c r="B11" s="1037" t="s">
        <v>717</v>
      </c>
      <c r="C11" s="1039">
        <f>ราคาวัสดุ!J19*1.09</f>
        <v>2745.71</v>
      </c>
      <c r="D11" s="530" t="s">
        <v>47</v>
      </c>
      <c r="E11" s="1039" t="s">
        <v>711</v>
      </c>
    </row>
    <row r="12" spans="1:5" x14ac:dyDescent="0.3">
      <c r="A12" s="530"/>
      <c r="B12" s="1037" t="s">
        <v>712</v>
      </c>
      <c r="C12" s="1039">
        <f>9.16*ไม้แบบ!I25</f>
        <v>3022.8</v>
      </c>
      <c r="D12" s="530" t="s">
        <v>47</v>
      </c>
      <c r="E12" s="1039"/>
    </row>
    <row r="13" spans="1:5" x14ac:dyDescent="0.3">
      <c r="A13" s="530"/>
      <c r="B13" s="1037" t="s">
        <v>715</v>
      </c>
      <c r="C13" s="1039">
        <f>35*ราคาวัสดุ!J13/1000</f>
        <v>1003.6908000000001</v>
      </c>
      <c r="D13" s="530" t="s">
        <v>47</v>
      </c>
      <c r="E13" s="1039" t="s">
        <v>713</v>
      </c>
    </row>
    <row r="14" spans="1:5" x14ac:dyDescent="0.3">
      <c r="A14" s="530"/>
      <c r="B14" s="1037" t="s">
        <v>716</v>
      </c>
      <c r="C14" s="1039">
        <f>11.1*ราคาวัสดุ!J12/1000</f>
        <v>369.52876799999996</v>
      </c>
      <c r="D14" s="530" t="s">
        <v>47</v>
      </c>
      <c r="E14" s="1039"/>
    </row>
    <row r="15" spans="1:5" x14ac:dyDescent="0.3">
      <c r="A15" s="530"/>
      <c r="B15" s="1037"/>
      <c r="C15" s="1039"/>
      <c r="D15" s="530"/>
      <c r="E15" s="1039"/>
    </row>
    <row r="16" spans="1:5" x14ac:dyDescent="0.3">
      <c r="A16" s="530"/>
      <c r="B16" s="1037" t="s">
        <v>708</v>
      </c>
      <c r="C16" s="1039">
        <f>SUM(C10:C14)</f>
        <v>7163.5695680000008</v>
      </c>
      <c r="D16" s="530" t="s">
        <v>47</v>
      </c>
      <c r="E16" s="1039"/>
    </row>
    <row r="17" spans="1:5" x14ac:dyDescent="0.3">
      <c r="A17" s="1040"/>
      <c r="B17" s="1037" t="s">
        <v>709</v>
      </c>
      <c r="C17" s="1039">
        <f>C16/C9</f>
        <v>716.35695680000003</v>
      </c>
      <c r="D17" s="530" t="s">
        <v>47</v>
      </c>
      <c r="E17" s="1039"/>
    </row>
    <row r="18" spans="1:5" x14ac:dyDescent="0.3">
      <c r="A18" s="1040"/>
      <c r="B18" s="507" t="s">
        <v>404</v>
      </c>
      <c r="C18" s="1039">
        <f>+C17</f>
        <v>716.35695680000003</v>
      </c>
      <c r="D18" s="530" t="s">
        <v>47</v>
      </c>
      <c r="E18" s="1039"/>
    </row>
    <row r="19" spans="1:5" x14ac:dyDescent="0.3">
      <c r="A19" s="1040"/>
      <c r="B19" s="532" t="s">
        <v>404</v>
      </c>
      <c r="C19" s="1041">
        <f>FLOOR(C17,2)</f>
        <v>716</v>
      </c>
      <c r="D19" s="530" t="s">
        <v>47</v>
      </c>
      <c r="E19" s="1041" t="s">
        <v>689</v>
      </c>
    </row>
  </sheetData>
  <mergeCells count="2">
    <mergeCell ref="A1:E1"/>
    <mergeCell ref="E7:E8"/>
  </mergeCells>
  <pageMargins left="0.7" right="0.7" top="0.75" bottom="0.75" header="0.3" footer="0.3"/>
  <pageSetup paperSize="9" scale="97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E19"/>
  <sheetViews>
    <sheetView view="pageBreakPreview" zoomScale="60" zoomScaleNormal="100" workbookViewId="0">
      <selection activeCell="K9" sqref="K9"/>
    </sheetView>
  </sheetViews>
  <sheetFormatPr defaultRowHeight="15.75" x14ac:dyDescent="0.25"/>
  <cols>
    <col min="1" max="1" width="20.5703125" style="379" customWidth="1"/>
    <col min="2" max="2" width="31.42578125" style="379" customWidth="1"/>
    <col min="3" max="3" width="12.140625" style="379" customWidth="1"/>
    <col min="4" max="4" width="13" style="379" customWidth="1"/>
    <col min="5" max="5" width="33.28515625" style="379" customWidth="1"/>
    <col min="6" max="6" width="11.140625" style="379" customWidth="1"/>
    <col min="7" max="7" width="12.42578125" style="379" customWidth="1"/>
    <col min="8" max="8" width="13.28515625" style="379" customWidth="1"/>
    <col min="9" max="9" width="16.85546875" style="379" customWidth="1"/>
    <col min="10" max="16384" width="9.140625" style="379"/>
  </cols>
  <sheetData>
    <row r="1" spans="1:5" ht="23.25" x14ac:dyDescent="0.35">
      <c r="A1" s="816" t="s">
        <v>377</v>
      </c>
      <c r="B1" s="816"/>
      <c r="C1" s="816"/>
      <c r="D1" s="816"/>
      <c r="E1" s="816"/>
    </row>
    <row r="2" spans="1:5" s="171" customFormat="1" ht="18.75" x14ac:dyDescent="0.3">
      <c r="A2" s="491" t="s">
        <v>1345</v>
      </c>
    </row>
    <row r="3" spans="1:5" s="171" customFormat="1" ht="18.75" x14ac:dyDescent="0.3">
      <c r="A3" s="491" t="s">
        <v>379</v>
      </c>
      <c r="B3" s="171" t="s">
        <v>332</v>
      </c>
    </row>
    <row r="4" spans="1:5" s="171" customFormat="1" ht="18.75" x14ac:dyDescent="0.3">
      <c r="A4" s="491" t="s">
        <v>380</v>
      </c>
      <c r="B4" s="171" t="s">
        <v>381</v>
      </c>
      <c r="E4" s="491"/>
    </row>
    <row r="5" spans="1:5" s="171" customFormat="1" ht="18.75" x14ac:dyDescent="0.3">
      <c r="A5" s="491" t="s">
        <v>382</v>
      </c>
      <c r="B5" s="171" t="s">
        <v>383</v>
      </c>
    </row>
    <row r="6" spans="1:5" s="171" customFormat="1" ht="18.75" x14ac:dyDescent="0.3">
      <c r="A6" s="491" t="str">
        <f>+ก่อสร้างคันหินเตี้ย!A6</f>
        <v>กำหนดราคากลางเมื่อ</v>
      </c>
      <c r="B6" s="772" t="str">
        <f>+ก่อสร้างคันหินเตี้ย!B6</f>
        <v>วันที่   24  เดือน  กันยายน      พ.ศ. 2567</v>
      </c>
    </row>
    <row r="7" spans="1:5" ht="18.75" x14ac:dyDescent="0.3">
      <c r="A7" s="1010" t="s">
        <v>386</v>
      </c>
      <c r="B7" s="1010" t="s">
        <v>1</v>
      </c>
      <c r="C7" s="1010"/>
      <c r="D7" s="1010"/>
      <c r="E7" s="1042" t="s">
        <v>20</v>
      </c>
    </row>
    <row r="8" spans="1:5" ht="18.75" x14ac:dyDescent="0.3">
      <c r="A8" s="807" t="s">
        <v>0</v>
      </c>
      <c r="B8" s="808"/>
      <c r="C8" s="808"/>
      <c r="D8" s="808"/>
      <c r="E8" s="1042"/>
    </row>
    <row r="9" spans="1:5" x14ac:dyDescent="0.25">
      <c r="A9" s="530">
        <v>1</v>
      </c>
      <c r="B9" s="1037" t="s">
        <v>707</v>
      </c>
      <c r="C9" s="1038">
        <v>10</v>
      </c>
      <c r="D9" s="530" t="s">
        <v>53</v>
      </c>
      <c r="E9" s="1039"/>
    </row>
    <row r="10" spans="1:5" x14ac:dyDescent="0.25">
      <c r="A10" s="530"/>
      <c r="B10" s="1037" t="s">
        <v>710</v>
      </c>
      <c r="C10" s="1039">
        <f>C9*0.2*0.5*21.84</f>
        <v>21.84</v>
      </c>
      <c r="D10" s="530" t="s">
        <v>47</v>
      </c>
      <c r="E10" s="1039" t="s">
        <v>711</v>
      </c>
    </row>
    <row r="11" spans="1:5" x14ac:dyDescent="0.25">
      <c r="A11" s="530"/>
      <c r="B11" s="1037" t="s">
        <v>718</v>
      </c>
      <c r="C11" s="1039">
        <f>ราคาวัสดุ!J19*1.6</f>
        <v>4030.4</v>
      </c>
      <c r="D11" s="530" t="s">
        <v>47</v>
      </c>
      <c r="E11" s="1039" t="s">
        <v>719</v>
      </c>
    </row>
    <row r="12" spans="1:5" x14ac:dyDescent="0.25">
      <c r="A12" s="530"/>
      <c r="B12" s="1037" t="s">
        <v>712</v>
      </c>
      <c r="C12" s="1039">
        <f>9.16*ไม้แบบ!I25</f>
        <v>3022.8</v>
      </c>
      <c r="D12" s="530" t="s">
        <v>47</v>
      </c>
      <c r="E12" s="1039" t="s">
        <v>713</v>
      </c>
    </row>
    <row r="13" spans="1:5" x14ac:dyDescent="0.25">
      <c r="A13" s="530"/>
      <c r="B13" s="1037" t="s">
        <v>715</v>
      </c>
      <c r="C13" s="1039">
        <f>40*ราคาวัสดุ!J13/1000</f>
        <v>1147.0752</v>
      </c>
      <c r="D13" s="530" t="s">
        <v>47</v>
      </c>
      <c r="E13" s="1039" t="s">
        <v>719</v>
      </c>
    </row>
    <row r="14" spans="1:5" x14ac:dyDescent="0.25">
      <c r="A14" s="530"/>
      <c r="B14" s="1037" t="s">
        <v>716</v>
      </c>
      <c r="C14" s="1039">
        <f>11.1*ราคาวัสดุ!J12/1000</f>
        <v>369.52876799999996</v>
      </c>
      <c r="D14" s="530" t="s">
        <v>47</v>
      </c>
      <c r="E14" s="1039" t="s">
        <v>719</v>
      </c>
    </row>
    <row r="15" spans="1:5" x14ac:dyDescent="0.25">
      <c r="A15" s="530"/>
      <c r="B15" s="1037"/>
      <c r="C15" s="1039"/>
      <c r="D15" s="530"/>
      <c r="E15" s="1039"/>
    </row>
    <row r="16" spans="1:5" x14ac:dyDescent="0.25">
      <c r="A16" s="1040"/>
      <c r="B16" s="1037" t="s">
        <v>708</v>
      </c>
      <c r="C16" s="1039">
        <f>SUM(C10:C14)</f>
        <v>8591.6439680000003</v>
      </c>
      <c r="D16" s="530" t="s">
        <v>47</v>
      </c>
      <c r="E16" s="1039"/>
    </row>
    <row r="17" spans="1:5" x14ac:dyDescent="0.25">
      <c r="A17" s="1040"/>
      <c r="B17" s="1037" t="s">
        <v>709</v>
      </c>
      <c r="C17" s="1039">
        <f>C16/C9</f>
        <v>859.16439680000008</v>
      </c>
      <c r="D17" s="530" t="s">
        <v>47</v>
      </c>
      <c r="E17" s="1039"/>
    </row>
    <row r="18" spans="1:5" x14ac:dyDescent="0.25">
      <c r="A18" s="1040"/>
      <c r="B18" s="507" t="s">
        <v>404</v>
      </c>
      <c r="C18" s="1041">
        <f>FLOOR(C17,2)</f>
        <v>858</v>
      </c>
      <c r="D18" s="530" t="s">
        <v>47</v>
      </c>
      <c r="E18" s="1041" t="s">
        <v>689</v>
      </c>
    </row>
    <row r="19" spans="1:5" x14ac:dyDescent="0.25">
      <c r="A19" s="1037"/>
      <c r="B19" s="532" t="s">
        <v>404</v>
      </c>
      <c r="C19" s="1041">
        <f>FLOOR(C18,2)</f>
        <v>858</v>
      </c>
      <c r="D19" s="530" t="s">
        <v>47</v>
      </c>
      <c r="E19" s="1041" t="s">
        <v>689</v>
      </c>
    </row>
  </sheetData>
  <mergeCells count="2">
    <mergeCell ref="A1:E1"/>
    <mergeCell ref="E7:E8"/>
  </mergeCells>
  <pageMargins left="0.7" right="0.7" top="0.75" bottom="0.75" header="0.3" footer="0.3"/>
  <pageSetup paperSize="9" scale="86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E20"/>
  <sheetViews>
    <sheetView view="pageBreakPreview" topLeftCell="A4" zoomScale="60" zoomScaleNormal="100" workbookViewId="0">
      <selection activeCell="I10" sqref="I10"/>
    </sheetView>
  </sheetViews>
  <sheetFormatPr defaultRowHeight="18.75" x14ac:dyDescent="0.3"/>
  <cols>
    <col min="1" max="1" width="19.5703125" style="171" customWidth="1"/>
    <col min="2" max="2" width="47.28515625" style="171" customWidth="1"/>
    <col min="3" max="3" width="10.5703125" style="171" customWidth="1"/>
    <col min="4" max="4" width="13" style="171" customWidth="1"/>
    <col min="5" max="5" width="19.140625" style="171" customWidth="1"/>
    <col min="6" max="6" width="11.140625" style="171" customWidth="1"/>
    <col min="7" max="7" width="12.42578125" style="171" customWidth="1"/>
    <col min="8" max="8" width="13.28515625" style="171" customWidth="1"/>
    <col min="9" max="9" width="16.85546875" style="171" customWidth="1"/>
    <col min="10" max="16384" width="9.140625" style="171"/>
  </cols>
  <sheetData>
    <row r="1" spans="1:5" ht="23.25" x14ac:dyDescent="0.35">
      <c r="A1" s="816" t="s">
        <v>377</v>
      </c>
      <c r="B1" s="816"/>
      <c r="C1" s="816"/>
      <c r="D1" s="816"/>
      <c r="E1" s="816"/>
    </row>
    <row r="2" spans="1:5" x14ac:dyDescent="0.3">
      <c r="A2" s="491" t="s">
        <v>1345</v>
      </c>
    </row>
    <row r="3" spans="1:5" x14ac:dyDescent="0.3">
      <c r="A3" s="491" t="s">
        <v>379</v>
      </c>
      <c r="B3" s="171" t="s">
        <v>332</v>
      </c>
    </row>
    <row r="4" spans="1:5" x14ac:dyDescent="0.3">
      <c r="A4" s="491" t="s">
        <v>380</v>
      </c>
      <c r="B4" s="171" t="s">
        <v>381</v>
      </c>
      <c r="E4" s="491"/>
    </row>
    <row r="5" spans="1:5" x14ac:dyDescent="0.3">
      <c r="A5" s="491" t="s">
        <v>382</v>
      </c>
      <c r="B5" s="171" t="s">
        <v>383</v>
      </c>
    </row>
    <row r="6" spans="1:5" x14ac:dyDescent="0.3">
      <c r="A6" s="491" t="str">
        <f>+'ก่อสร้างคันหิน คสล.'!A6</f>
        <v>กำหนดราคากลางเมื่อ</v>
      </c>
      <c r="B6" s="772" t="str">
        <f>+'ก่อสร้างคันหิน คสล.'!B6</f>
        <v>วันที่   24  เดือน  กันยายน      พ.ศ. 2567</v>
      </c>
    </row>
    <row r="7" spans="1:5" x14ac:dyDescent="0.3">
      <c r="A7" s="1010" t="s">
        <v>386</v>
      </c>
      <c r="B7" s="1010" t="s">
        <v>1</v>
      </c>
      <c r="C7" s="1010"/>
      <c r="D7" s="1010"/>
      <c r="E7" s="1043" t="s">
        <v>20</v>
      </c>
    </row>
    <row r="8" spans="1:5" x14ac:dyDescent="0.3">
      <c r="A8" s="807" t="s">
        <v>0</v>
      </c>
      <c r="B8" s="808"/>
      <c r="C8" s="808"/>
      <c r="D8" s="808"/>
      <c r="E8" s="1044"/>
    </row>
    <row r="9" spans="1:5" x14ac:dyDescent="0.3">
      <c r="A9" s="530">
        <v>1</v>
      </c>
      <c r="B9" s="1037" t="s">
        <v>697</v>
      </c>
      <c r="C9" s="1045">
        <f>98.1*35</f>
        <v>3433.5</v>
      </c>
      <c r="D9" s="530" t="s">
        <v>47</v>
      </c>
      <c r="E9" s="1039"/>
    </row>
    <row r="10" spans="1:5" x14ac:dyDescent="0.3">
      <c r="A10" s="530">
        <v>2</v>
      </c>
      <c r="B10" s="1037" t="s">
        <v>698</v>
      </c>
      <c r="C10" s="1045">
        <f>44.75*35</f>
        <v>1566.25</v>
      </c>
      <c r="D10" s="530" t="s">
        <v>47</v>
      </c>
      <c r="E10" s="1039"/>
    </row>
    <row r="11" spans="1:5" x14ac:dyDescent="0.3">
      <c r="A11" s="530">
        <v>2</v>
      </c>
      <c r="B11" s="1037" t="s">
        <v>699</v>
      </c>
      <c r="C11" s="1039">
        <f>(61.6+44.75)*12</f>
        <v>1276.1999999999998</v>
      </c>
      <c r="D11" s="530" t="s">
        <v>47</v>
      </c>
      <c r="E11" s="1039"/>
    </row>
    <row r="12" spans="1:5" x14ac:dyDescent="0.3">
      <c r="A12" s="530">
        <v>3</v>
      </c>
      <c r="B12" s="1037" t="s">
        <v>700</v>
      </c>
      <c r="C12" s="1039">
        <f>2.95*45</f>
        <v>132.75</v>
      </c>
      <c r="D12" s="530" t="s">
        <v>47</v>
      </c>
      <c r="E12" s="1039"/>
    </row>
    <row r="13" spans="1:5" x14ac:dyDescent="0.3">
      <c r="A13" s="530">
        <v>4</v>
      </c>
      <c r="B13" s="1037" t="s">
        <v>701</v>
      </c>
      <c r="C13" s="1039">
        <f>2.95*45</f>
        <v>132.75</v>
      </c>
      <c r="D13" s="530" t="s">
        <v>47</v>
      </c>
      <c r="E13" s="1039"/>
    </row>
    <row r="14" spans="1:5" x14ac:dyDescent="0.3">
      <c r="A14" s="530"/>
      <c r="B14" s="1037"/>
      <c r="C14" s="1039"/>
      <c r="D14" s="530"/>
      <c r="E14" s="1039"/>
    </row>
    <row r="15" spans="1:5" x14ac:dyDescent="0.3">
      <c r="A15" s="530"/>
      <c r="B15" s="1037" t="s">
        <v>702</v>
      </c>
      <c r="C15" s="1039">
        <f>SUM(C9:C14)</f>
        <v>6541.45</v>
      </c>
      <c r="D15" s="530" t="s">
        <v>47</v>
      </c>
      <c r="E15" s="1039"/>
    </row>
    <row r="16" spans="1:5" x14ac:dyDescent="0.3">
      <c r="A16" s="530"/>
      <c r="B16" s="1037" t="s">
        <v>703</v>
      </c>
      <c r="C16" s="1039">
        <f>17.8*35</f>
        <v>623</v>
      </c>
      <c r="D16" s="530" t="s">
        <v>47</v>
      </c>
      <c r="E16" s="1039"/>
    </row>
    <row r="17" spans="1:5" x14ac:dyDescent="0.3">
      <c r="A17" s="530"/>
      <c r="B17" s="1037" t="s">
        <v>699</v>
      </c>
      <c r="C17" s="1039">
        <f>(17.8)*12</f>
        <v>213.60000000000002</v>
      </c>
      <c r="D17" s="530" t="s">
        <v>47</v>
      </c>
      <c r="E17" s="1039"/>
    </row>
    <row r="18" spans="1:5" x14ac:dyDescent="0.3">
      <c r="A18" s="1040"/>
      <c r="B18" s="1037" t="s">
        <v>704</v>
      </c>
      <c r="C18" s="1041">
        <f>SUM(C15:C17)</f>
        <v>7378.05</v>
      </c>
      <c r="D18" s="530" t="s">
        <v>47</v>
      </c>
      <c r="E18" s="1039"/>
    </row>
    <row r="19" spans="1:5" x14ac:dyDescent="0.3">
      <c r="A19" s="1040"/>
      <c r="B19" s="1037"/>
      <c r="C19" s="1041"/>
      <c r="D19" s="530"/>
      <c r="E19" s="1039"/>
    </row>
    <row r="20" spans="1:5" x14ac:dyDescent="0.3">
      <c r="A20" s="1037"/>
      <c r="B20" s="532" t="s">
        <v>404</v>
      </c>
      <c r="C20" s="1041">
        <f>FLOOR(C18,2)</f>
        <v>7378</v>
      </c>
      <c r="D20" s="530"/>
      <c r="E20" s="1041" t="s">
        <v>689</v>
      </c>
    </row>
  </sheetData>
  <mergeCells count="2">
    <mergeCell ref="A1:E1"/>
    <mergeCell ref="E7:E8"/>
  </mergeCells>
  <pageMargins left="0.7" right="0.7" top="0.75" bottom="0.75" header="0.3" footer="0.3"/>
  <pageSetup paperSize="9" scale="87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FF00"/>
  </sheetPr>
  <dimension ref="A1:O147"/>
  <sheetViews>
    <sheetView view="pageBreakPreview" topLeftCell="A65" zoomScale="60" zoomScaleNormal="100" workbookViewId="0">
      <selection activeCell="X83" sqref="X83"/>
    </sheetView>
  </sheetViews>
  <sheetFormatPr defaultColWidth="9.140625" defaultRowHeight="15.75" x14ac:dyDescent="0.5"/>
  <cols>
    <col min="1" max="1" width="9.140625" style="1046"/>
    <col min="2" max="2" width="7.85546875" style="1046" customWidth="1"/>
    <col min="3" max="3" width="6.28515625" style="1046" customWidth="1"/>
    <col min="4" max="4" width="19.85546875" style="1046" customWidth="1"/>
    <col min="5" max="5" width="5" style="1046" customWidth="1"/>
    <col min="6" max="6" width="18.7109375" style="1046" customWidth="1"/>
    <col min="7" max="7" width="6.140625" style="1046" customWidth="1"/>
    <col min="8" max="8" width="15.28515625" style="1046" customWidth="1"/>
    <col min="9" max="9" width="15.5703125" style="1046" customWidth="1"/>
    <col min="10" max="10" width="4.7109375" style="1046" customWidth="1"/>
    <col min="11" max="11" width="10.42578125" style="1046" customWidth="1"/>
    <col min="12" max="12" width="6.42578125" style="1046" customWidth="1"/>
    <col min="13" max="16384" width="9.140625" style="1046"/>
  </cols>
  <sheetData>
    <row r="1" spans="1:15" ht="24" customHeight="1" x14ac:dyDescent="0.5">
      <c r="A1" s="1121" t="s">
        <v>483</v>
      </c>
      <c r="B1" s="1121"/>
      <c r="C1" s="1121"/>
      <c r="D1" s="1121"/>
      <c r="E1" s="1121"/>
      <c r="F1" s="1121"/>
      <c r="G1" s="1121"/>
      <c r="H1" s="1121"/>
      <c r="I1" s="1121"/>
      <c r="J1" s="1121"/>
      <c r="K1" s="1121"/>
    </row>
    <row r="2" spans="1:15" s="128" customFormat="1" ht="18.75" x14ac:dyDescent="0.5">
      <c r="A2" s="186" t="s">
        <v>484</v>
      </c>
      <c r="B2" s="187"/>
      <c r="C2" s="130" t="str">
        <f>ข้อมูล!D5</f>
        <v>ซ่อมสร้างและขยายผิวจราจรถนน ทางหลวงหมายเลข 1 ตอนเดิมเข้าเมืองพะเยา  ต.บ้านต๋อม อ.เมืองพะเยา จ.พะเยา</v>
      </c>
      <c r="D2" s="130"/>
      <c r="E2" s="130"/>
      <c r="F2" s="130"/>
      <c r="G2" s="130"/>
      <c r="H2" s="130"/>
      <c r="I2" s="130"/>
      <c r="J2" s="130"/>
      <c r="K2" s="130"/>
      <c r="L2" s="131"/>
    </row>
    <row r="3" spans="1:15" s="128" customFormat="1" ht="18.75" x14ac:dyDescent="0.5">
      <c r="A3" s="186" t="s">
        <v>485</v>
      </c>
      <c r="B3" s="187"/>
      <c r="C3" s="130" t="str">
        <f>ข้อมูล!C8</f>
        <v>ทางหลวงหมายเลข 1 ตอนเดิมเข้าเมืองพะเยา  ต.บ้านต๋อม อ.เมือง จ.พะเยา</v>
      </c>
      <c r="D3" s="130"/>
      <c r="E3" s="130"/>
      <c r="F3" s="130"/>
      <c r="G3" s="130"/>
      <c r="H3" s="130"/>
      <c r="I3" s="130"/>
      <c r="J3" s="130"/>
      <c r="K3" s="130"/>
      <c r="L3" s="131"/>
    </row>
    <row r="4" spans="1:15" s="128" customFormat="1" ht="18.75" x14ac:dyDescent="0.5">
      <c r="A4" s="186" t="s">
        <v>486</v>
      </c>
      <c r="B4" s="187"/>
      <c r="C4" s="188" t="str">
        <f>+'[4]ปร.4.-5'!D3</f>
        <v>องค์การบริหารส่วนจังหวัดพะเยา</v>
      </c>
      <c r="D4" s="188"/>
      <c r="E4" s="188"/>
      <c r="F4" s="188"/>
      <c r="G4" s="188"/>
      <c r="H4" s="188"/>
      <c r="I4" s="188"/>
      <c r="J4" s="188"/>
      <c r="K4" s="188"/>
      <c r="O4" s="128" t="s">
        <v>487</v>
      </c>
    </row>
    <row r="5" spans="1:15" s="128" customFormat="1" ht="18.75" x14ac:dyDescent="0.5">
      <c r="A5" s="186" t="s">
        <v>488</v>
      </c>
      <c r="B5" s="187"/>
      <c r="C5" s="1122" t="str">
        <f>+ข้อมูล!I3</f>
        <v>วันที่   24  เดือน  กันยายน      พ.ศ. 2567</v>
      </c>
      <c r="D5" s="189"/>
      <c r="E5" s="189"/>
      <c r="F5" s="189"/>
      <c r="G5" s="189"/>
      <c r="H5" s="189"/>
      <c r="I5" s="189"/>
      <c r="J5" s="189"/>
      <c r="K5" s="130"/>
    </row>
    <row r="6" spans="1:15" x14ac:dyDescent="0.5">
      <c r="F6" s="1046" t="s">
        <v>489</v>
      </c>
      <c r="H6" s="1047" t="s">
        <v>15</v>
      </c>
      <c r="I6" s="451">
        <v>33.5</v>
      </c>
    </row>
    <row r="7" spans="1:15" x14ac:dyDescent="0.5">
      <c r="A7" s="1048" t="s">
        <v>490</v>
      </c>
      <c r="B7" s="1049"/>
      <c r="C7" s="1049"/>
      <c r="D7" s="1049"/>
      <c r="E7" s="1049"/>
      <c r="F7" s="1049"/>
      <c r="G7" s="1049"/>
    </row>
    <row r="8" spans="1:15" x14ac:dyDescent="0.5">
      <c r="A8" s="1049" t="s">
        <v>491</v>
      </c>
      <c r="B8" s="1049"/>
      <c r="C8" s="1049"/>
      <c r="D8" s="1049"/>
      <c r="E8" s="1049"/>
      <c r="G8" s="1050" t="s">
        <v>15</v>
      </c>
      <c r="H8" s="1051">
        <v>1.77</v>
      </c>
      <c r="I8" s="1050" t="s">
        <v>492</v>
      </c>
      <c r="K8" s="1049"/>
      <c r="L8" s="1049"/>
      <c r="N8" s="1049"/>
    </row>
    <row r="9" spans="1:15" ht="16.5" thickBot="1" x14ac:dyDescent="0.55000000000000004">
      <c r="A9" s="1049"/>
      <c r="B9" s="1049"/>
      <c r="D9" s="1049" t="s">
        <v>493</v>
      </c>
      <c r="E9" s="1050"/>
      <c r="F9" s="1050"/>
      <c r="G9" s="1050" t="s">
        <v>15</v>
      </c>
      <c r="H9" s="1052">
        <f>H8</f>
        <v>1.77</v>
      </c>
      <c r="I9" s="1050" t="s">
        <v>492</v>
      </c>
    </row>
    <row r="10" spans="1:15" ht="16.5" thickTop="1" x14ac:dyDescent="0.5">
      <c r="A10" s="1048" t="s">
        <v>494</v>
      </c>
      <c r="B10" s="1049"/>
      <c r="C10" s="1049"/>
      <c r="D10" s="1049"/>
      <c r="E10" s="1049"/>
      <c r="F10" s="1049"/>
      <c r="G10" s="1049"/>
      <c r="H10" s="1049"/>
      <c r="J10" s="1049"/>
    </row>
    <row r="11" spans="1:15" x14ac:dyDescent="0.5">
      <c r="A11" s="1049" t="s">
        <v>495</v>
      </c>
      <c r="B11" s="1049"/>
      <c r="C11" s="1049"/>
      <c r="D11" s="1049"/>
      <c r="E11" s="1049"/>
      <c r="F11" s="1049"/>
      <c r="G11" s="1050" t="s">
        <v>15</v>
      </c>
      <c r="H11" s="1125">
        <f>+ข้อมูล!G10</f>
        <v>315.42</v>
      </c>
      <c r="I11" s="1050" t="s">
        <v>4</v>
      </c>
    </row>
    <row r="12" spans="1:15" x14ac:dyDescent="0.5">
      <c r="A12" s="1049" t="s">
        <v>428</v>
      </c>
      <c r="B12" s="1049"/>
      <c r="C12" s="1054"/>
      <c r="D12" s="1055">
        <f>+ข้อมูล!J10</f>
        <v>25</v>
      </c>
      <c r="E12" s="1049" t="s">
        <v>44</v>
      </c>
      <c r="F12" s="1123">
        <f>+ข้อมูล!L10</f>
        <v>92.88</v>
      </c>
      <c r="G12" s="1050" t="s">
        <v>15</v>
      </c>
      <c r="H12" s="1126">
        <f>F12</f>
        <v>92.88</v>
      </c>
      <c r="I12" s="1050" t="s">
        <v>4</v>
      </c>
    </row>
    <row r="13" spans="1:15" x14ac:dyDescent="0.5">
      <c r="A13" s="1049" t="s">
        <v>30</v>
      </c>
      <c r="B13" s="1049"/>
      <c r="C13" s="1049"/>
      <c r="D13" s="1049"/>
      <c r="E13" s="1049"/>
      <c r="F13" s="1049"/>
      <c r="G13" s="1050" t="s">
        <v>15</v>
      </c>
      <c r="H13" s="1126">
        <f>ROUNDDOWN(H11+H12,2)</f>
        <v>408.3</v>
      </c>
      <c r="I13" s="1050" t="s">
        <v>4</v>
      </c>
    </row>
    <row r="14" spans="1:15" x14ac:dyDescent="0.5">
      <c r="A14" s="1049" t="s">
        <v>496</v>
      </c>
      <c r="B14" s="1049"/>
      <c r="C14" s="1059"/>
      <c r="D14" s="1124">
        <f>H13</f>
        <v>408.3</v>
      </c>
      <c r="E14" s="1050" t="s">
        <v>497</v>
      </c>
      <c r="F14" s="1055">
        <v>1.5</v>
      </c>
      <c r="G14" s="1050" t="s">
        <v>15</v>
      </c>
      <c r="H14" s="1126">
        <f>ROUNDDOWN(D14*F14,2)</f>
        <v>612.45000000000005</v>
      </c>
      <c r="I14" s="1050" t="s">
        <v>4</v>
      </c>
    </row>
    <row r="15" spans="1:15" x14ac:dyDescent="0.5">
      <c r="A15" s="1049" t="s">
        <v>498</v>
      </c>
      <c r="B15" s="1049"/>
      <c r="C15" s="1049"/>
      <c r="D15" s="1049"/>
      <c r="E15" s="1049"/>
      <c r="F15" s="1049"/>
      <c r="G15" s="1050" t="s">
        <v>15</v>
      </c>
      <c r="H15" s="1126">
        <f>+ข้อมูล!L55</f>
        <v>25.14</v>
      </c>
      <c r="I15" s="1050" t="s">
        <v>4</v>
      </c>
    </row>
    <row r="16" spans="1:15" x14ac:dyDescent="0.5">
      <c r="A16" s="1049" t="s">
        <v>499</v>
      </c>
      <c r="B16" s="1049"/>
      <c r="C16" s="1049"/>
      <c r="D16" s="1049"/>
      <c r="E16" s="1049"/>
      <c r="F16" s="1049"/>
      <c r="G16" s="1050" t="s">
        <v>15</v>
      </c>
      <c r="H16" s="1126">
        <f>+ข้อมูล!L56</f>
        <v>89.66</v>
      </c>
      <c r="I16" s="1050" t="s">
        <v>4</v>
      </c>
    </row>
    <row r="17" spans="1:11" x14ac:dyDescent="0.5">
      <c r="A17" s="1049"/>
      <c r="B17" s="1049"/>
      <c r="C17" s="1049"/>
      <c r="D17" s="1049" t="s">
        <v>500</v>
      </c>
      <c r="E17" s="1049"/>
      <c r="F17" s="1049"/>
      <c r="G17" s="1050" t="s">
        <v>15</v>
      </c>
      <c r="H17" s="1127">
        <f>ROUNDDOWN(SUM(H14:H16),2)</f>
        <v>727.25</v>
      </c>
      <c r="I17" s="1050" t="s">
        <v>4</v>
      </c>
    </row>
    <row r="18" spans="1:11" ht="16.5" thickBot="1" x14ac:dyDescent="0.55000000000000004">
      <c r="A18" s="1049"/>
      <c r="B18" s="1049"/>
      <c r="C18" s="1049"/>
      <c r="D18" s="1049" t="s">
        <v>493</v>
      </c>
      <c r="E18" s="1061"/>
      <c r="F18" s="1049"/>
      <c r="G18" s="1050" t="s">
        <v>15</v>
      </c>
      <c r="H18" s="1128">
        <f>H17</f>
        <v>727.25</v>
      </c>
      <c r="I18" s="1050" t="s">
        <v>4</v>
      </c>
    </row>
    <row r="19" spans="1:11" ht="16.5" thickTop="1" x14ac:dyDescent="0.5">
      <c r="A19" s="1048" t="s">
        <v>585</v>
      </c>
      <c r="B19" s="1049"/>
      <c r="C19" s="1049"/>
      <c r="D19" s="1049"/>
      <c r="E19" s="1049"/>
      <c r="F19" s="1049"/>
      <c r="G19" s="1049"/>
      <c r="H19" s="1049"/>
      <c r="J19" s="1049"/>
    </row>
    <row r="20" spans="1:11" x14ac:dyDescent="0.5">
      <c r="A20" s="1049" t="s">
        <v>495</v>
      </c>
      <c r="B20" s="1049"/>
      <c r="C20" s="1049"/>
      <c r="D20" s="1049"/>
      <c r="E20" s="1049"/>
      <c r="F20" s="1049"/>
      <c r="G20" s="1050" t="s">
        <v>15</v>
      </c>
      <c r="H20" s="1053">
        <v>25</v>
      </c>
      <c r="I20" s="1050" t="s">
        <v>4</v>
      </c>
    </row>
    <row r="21" spans="1:11" x14ac:dyDescent="0.5">
      <c r="A21" s="1049" t="s">
        <v>428</v>
      </c>
      <c r="B21" s="1049"/>
      <c r="C21" s="1054"/>
      <c r="D21" s="1055">
        <f>[4]ข้อมูลราคาวัสดุ!F30</f>
        <v>0</v>
      </c>
      <c r="E21" s="1049" t="s">
        <v>44</v>
      </c>
      <c r="F21" s="1056">
        <v>55.66</v>
      </c>
      <c r="G21" s="1050" t="s">
        <v>15</v>
      </c>
      <c r="H21" s="1057">
        <f>F21</f>
        <v>55.66</v>
      </c>
      <c r="I21" s="1050" t="s">
        <v>4</v>
      </c>
    </row>
    <row r="22" spans="1:11" x14ac:dyDescent="0.5">
      <c r="A22" s="1049" t="s">
        <v>30</v>
      </c>
      <c r="B22" s="1049"/>
      <c r="C22" s="1049"/>
      <c r="D22" s="1049"/>
      <c r="E22" s="1049"/>
      <c r="F22" s="1049"/>
      <c r="G22" s="1050" t="s">
        <v>15</v>
      </c>
      <c r="H22" s="1058">
        <f>ROUNDDOWN(H20+H21,2)</f>
        <v>80.66</v>
      </c>
      <c r="I22" s="1050" t="s">
        <v>4</v>
      </c>
    </row>
    <row r="23" spans="1:11" x14ac:dyDescent="0.5">
      <c r="A23" s="1049" t="s">
        <v>496</v>
      </c>
      <c r="B23" s="1049"/>
      <c r="C23" s="1059"/>
      <c r="D23" s="1056">
        <f>H22</f>
        <v>80.66</v>
      </c>
      <c r="E23" s="1050" t="s">
        <v>497</v>
      </c>
      <c r="F23" s="1055">
        <v>1.5</v>
      </c>
      <c r="G23" s="1050" t="s">
        <v>15</v>
      </c>
      <c r="H23" s="1058">
        <f>ROUNDDOWN(D23*F23,2)</f>
        <v>120.99</v>
      </c>
      <c r="I23" s="1050" t="s">
        <v>4</v>
      </c>
    </row>
    <row r="24" spans="1:11" x14ac:dyDescent="0.5">
      <c r="A24" s="1049" t="s">
        <v>498</v>
      </c>
      <c r="B24" s="1049"/>
      <c r="C24" s="1049"/>
      <c r="D24" s="1049"/>
      <c r="E24" s="1049"/>
      <c r="F24" s="1049"/>
      <c r="G24" s="1050" t="s">
        <v>15</v>
      </c>
      <c r="H24" s="1058">
        <v>9.92</v>
      </c>
      <c r="I24" s="1050" t="s">
        <v>4</v>
      </c>
    </row>
    <row r="25" spans="1:11" x14ac:dyDescent="0.5">
      <c r="A25" s="1049" t="s">
        <v>499</v>
      </c>
      <c r="B25" s="1049"/>
      <c r="C25" s="1049"/>
      <c r="D25" s="1049"/>
      <c r="E25" s="1049"/>
      <c r="F25" s="1049"/>
      <c r="G25" s="1050" t="s">
        <v>15</v>
      </c>
      <c r="H25" s="1057">
        <v>56.21</v>
      </c>
      <c r="I25" s="1050" t="s">
        <v>4</v>
      </c>
    </row>
    <row r="26" spans="1:11" x14ac:dyDescent="0.5">
      <c r="A26" s="1049"/>
      <c r="B26" s="1049"/>
      <c r="C26" s="1049"/>
      <c r="D26" s="1049" t="s">
        <v>500</v>
      </c>
      <c r="E26" s="1049"/>
      <c r="F26" s="1049"/>
      <c r="G26" s="1050" t="s">
        <v>15</v>
      </c>
      <c r="H26" s="1060">
        <f>ROUNDDOWN(SUM(H23:H25),2)</f>
        <v>187.12</v>
      </c>
      <c r="I26" s="1050" t="s">
        <v>4</v>
      </c>
    </row>
    <row r="27" spans="1:11" ht="16.5" thickBot="1" x14ac:dyDescent="0.55000000000000004">
      <c r="A27" s="1049"/>
      <c r="B27" s="1049"/>
      <c r="C27" s="1049"/>
      <c r="D27" s="1049" t="s">
        <v>493</v>
      </c>
      <c r="E27" s="1061"/>
      <c r="F27" s="1049"/>
      <c r="G27" s="1050" t="s">
        <v>15</v>
      </c>
      <c r="H27" s="1062">
        <f>H26</f>
        <v>187.12</v>
      </c>
      <c r="I27" s="1050" t="s">
        <v>4</v>
      </c>
    </row>
    <row r="28" spans="1:11" ht="16.5" thickTop="1" x14ac:dyDescent="0.5">
      <c r="A28" s="1048" t="s">
        <v>501</v>
      </c>
      <c r="B28" s="1063"/>
      <c r="C28" s="1063"/>
      <c r="D28" s="1063"/>
      <c r="E28" s="1063"/>
      <c r="F28" s="1063"/>
      <c r="G28" s="1063"/>
      <c r="H28" s="1063"/>
      <c r="I28" s="1063"/>
    </row>
    <row r="29" spans="1:11" x14ac:dyDescent="0.5">
      <c r="A29" s="1049" t="s">
        <v>502</v>
      </c>
      <c r="B29" s="1049"/>
      <c r="C29" s="1049"/>
      <c r="D29" s="1049"/>
      <c r="E29" s="1049"/>
      <c r="F29" s="1049"/>
      <c r="G29" s="1049"/>
      <c r="H29" s="1053">
        <f>[4]ข้อมูลราคาวัสดุ!E24</f>
        <v>543.62</v>
      </c>
      <c r="I29" s="1050" t="s">
        <v>4</v>
      </c>
    </row>
    <row r="30" spans="1:11" x14ac:dyDescent="0.5">
      <c r="A30" s="1049" t="s">
        <v>428</v>
      </c>
      <c r="B30" s="1049"/>
      <c r="C30" s="1059"/>
      <c r="D30" s="1055">
        <v>0</v>
      </c>
      <c r="E30" s="1049" t="s">
        <v>44</v>
      </c>
      <c r="F30" s="1064">
        <v>0</v>
      </c>
      <c r="G30" s="1049"/>
      <c r="H30" s="1065">
        <f>F30</f>
        <v>0</v>
      </c>
      <c r="I30" s="1050" t="s">
        <v>4</v>
      </c>
      <c r="K30" s="1049"/>
    </row>
    <row r="31" spans="1:11" x14ac:dyDescent="0.5">
      <c r="A31" s="1049" t="s">
        <v>30</v>
      </c>
      <c r="B31" s="1049"/>
      <c r="C31" s="1049"/>
      <c r="D31" s="1049"/>
      <c r="E31" s="1049"/>
      <c r="F31" s="1049"/>
      <c r="G31" s="1049"/>
      <c r="H31" s="1065">
        <f>ROUNDDOWN(H29+H30,2)</f>
        <v>543.62</v>
      </c>
      <c r="I31" s="1050" t="s">
        <v>4</v>
      </c>
      <c r="K31" s="1049"/>
    </row>
    <row r="32" spans="1:11" x14ac:dyDescent="0.5">
      <c r="A32" s="1049" t="s">
        <v>496</v>
      </c>
      <c r="B32" s="1049"/>
      <c r="C32" s="1059"/>
      <c r="D32" s="1064">
        <f>H31</f>
        <v>543.62</v>
      </c>
      <c r="E32" s="1050" t="s">
        <v>497</v>
      </c>
      <c r="F32" s="1055">
        <v>1.4</v>
      </c>
      <c r="G32" s="1049"/>
      <c r="H32" s="1066">
        <f>ROUNDDOWN(D32*F32,2)</f>
        <v>761.06</v>
      </c>
      <c r="I32" s="1050" t="s">
        <v>4</v>
      </c>
      <c r="K32" s="1049"/>
    </row>
    <row r="33" spans="1:12" x14ac:dyDescent="0.5">
      <c r="A33" s="1049" t="s">
        <v>503</v>
      </c>
      <c r="B33" s="1049"/>
      <c r="C33" s="1049"/>
      <c r="D33" s="1049"/>
      <c r="E33" s="1049"/>
      <c r="F33" s="1049"/>
      <c r="G33" s="1049"/>
      <c r="H33" s="1067">
        <v>0</v>
      </c>
      <c r="I33" s="1050" t="s">
        <v>4</v>
      </c>
    </row>
    <row r="34" spans="1:12" x14ac:dyDescent="0.5">
      <c r="A34" s="1049"/>
      <c r="B34" s="1049"/>
      <c r="C34" s="1049"/>
      <c r="D34" s="1049" t="s">
        <v>500</v>
      </c>
      <c r="E34" s="1049"/>
      <c r="F34" s="1049"/>
      <c r="G34" s="1050" t="s">
        <v>15</v>
      </c>
      <c r="H34" s="1059">
        <f>H32+H33</f>
        <v>761.06</v>
      </c>
      <c r="I34" s="1050" t="s">
        <v>4</v>
      </c>
    </row>
    <row r="35" spans="1:12" ht="16.5" thickBot="1" x14ac:dyDescent="0.55000000000000004">
      <c r="A35" s="1068"/>
      <c r="B35" s="1068"/>
      <c r="C35" s="1068"/>
      <c r="D35" s="1068"/>
      <c r="E35" s="1069" t="s">
        <v>493</v>
      </c>
      <c r="F35" s="1068"/>
      <c r="G35" s="1070" t="s">
        <v>15</v>
      </c>
      <c r="H35" s="1071">
        <f>H34</f>
        <v>761.06</v>
      </c>
      <c r="I35" s="1070" t="s">
        <v>4</v>
      </c>
    </row>
    <row r="36" spans="1:12" ht="16.5" thickTop="1" x14ac:dyDescent="0.5">
      <c r="A36" s="1048" t="s">
        <v>504</v>
      </c>
      <c r="B36" s="1049"/>
      <c r="C36" s="1049"/>
      <c r="D36" s="1049"/>
      <c r="E36" s="1049"/>
      <c r="F36" s="1049"/>
      <c r="G36" s="1049"/>
      <c r="H36" s="1049"/>
      <c r="J36" s="1049"/>
      <c r="L36" s="1072" t="s">
        <v>505</v>
      </c>
    </row>
    <row r="37" spans="1:12" x14ac:dyDescent="0.5">
      <c r="A37" s="1049" t="s">
        <v>506</v>
      </c>
      <c r="B37" s="1049"/>
      <c r="C37" s="1049"/>
      <c r="D37" s="1049"/>
      <c r="E37" s="1049"/>
      <c r="F37" s="1049"/>
      <c r="G37" s="1050" t="s">
        <v>15</v>
      </c>
      <c r="H37" s="1053">
        <f>+[4]ข้อมูลราคาวัสดุ!J25</f>
        <v>15</v>
      </c>
      <c r="I37" s="1050" t="s">
        <v>4</v>
      </c>
    </row>
    <row r="38" spans="1:12" x14ac:dyDescent="0.5">
      <c r="A38" s="1049" t="s">
        <v>507</v>
      </c>
      <c r="B38" s="1049"/>
      <c r="C38" s="1054"/>
      <c r="D38" s="1055">
        <v>1</v>
      </c>
      <c r="E38" s="1049" t="s">
        <v>44</v>
      </c>
      <c r="F38" s="1056">
        <v>19.260000000000002</v>
      </c>
      <c r="G38" s="1050" t="s">
        <v>15</v>
      </c>
      <c r="H38" s="1057">
        <f>F38</f>
        <v>19.260000000000002</v>
      </c>
      <c r="I38" s="1050" t="s">
        <v>4</v>
      </c>
    </row>
    <row r="39" spans="1:12" x14ac:dyDescent="0.5">
      <c r="A39" s="1049" t="s">
        <v>30</v>
      </c>
      <c r="B39" s="1049"/>
      <c r="C39" s="1049"/>
      <c r="D39" s="1049"/>
      <c r="E39" s="1049"/>
      <c r="F39" s="1049"/>
      <c r="G39" s="1050" t="s">
        <v>15</v>
      </c>
      <c r="H39" s="1058">
        <f>ROUNDDOWN(H37+H38,2)</f>
        <v>34.26</v>
      </c>
      <c r="I39" s="1050" t="s">
        <v>4</v>
      </c>
    </row>
    <row r="40" spans="1:12" x14ac:dyDescent="0.5">
      <c r="A40" s="1049" t="s">
        <v>496</v>
      </c>
      <c r="B40" s="1049"/>
      <c r="C40" s="1059"/>
      <c r="D40" s="1056">
        <f>H39</f>
        <v>34.26</v>
      </c>
      <c r="E40" s="1050" t="s">
        <v>497</v>
      </c>
      <c r="F40" s="1055">
        <v>1.35</v>
      </c>
      <c r="G40" s="1050" t="s">
        <v>15</v>
      </c>
      <c r="H40" s="1058">
        <f>ROUNDDOWN(D40*F40,2)</f>
        <v>46.25</v>
      </c>
      <c r="I40" s="1050" t="s">
        <v>4</v>
      </c>
    </row>
    <row r="41" spans="1:12" x14ac:dyDescent="0.5">
      <c r="A41" s="1049" t="s">
        <v>508</v>
      </c>
      <c r="B41" s="1049"/>
      <c r="C41" s="1049"/>
      <c r="D41" s="1049"/>
      <c r="E41" s="1049"/>
      <c r="F41" s="1049"/>
      <c r="G41" s="1050" t="s">
        <v>15</v>
      </c>
      <c r="H41" s="1058">
        <v>21.77</v>
      </c>
      <c r="I41" s="1050" t="s">
        <v>4</v>
      </c>
    </row>
    <row r="42" spans="1:12" x14ac:dyDescent="0.5">
      <c r="A42" s="1049" t="s">
        <v>509</v>
      </c>
      <c r="B42" s="1049"/>
      <c r="C42" s="1049"/>
      <c r="D42" s="1049"/>
      <c r="E42" s="1049"/>
      <c r="F42" s="1049"/>
      <c r="G42" s="1050" t="s">
        <v>15</v>
      </c>
      <c r="H42" s="1057">
        <v>99</v>
      </c>
      <c r="I42" s="1050" t="s">
        <v>4</v>
      </c>
    </row>
    <row r="43" spans="1:12" x14ac:dyDescent="0.5">
      <c r="A43" s="1049"/>
      <c r="B43" s="1049"/>
      <c r="C43" s="1049"/>
      <c r="D43" s="1049" t="s">
        <v>500</v>
      </c>
      <c r="E43" s="1049"/>
      <c r="F43" s="1049"/>
      <c r="G43" s="1050" t="s">
        <v>15</v>
      </c>
      <c r="H43" s="1060">
        <f>ROUNDDOWN(SUM(H40:H42),2)</f>
        <v>167.02</v>
      </c>
      <c r="I43" s="1050" t="s">
        <v>4</v>
      </c>
    </row>
    <row r="44" spans="1:12" ht="16.5" thickBot="1" x14ac:dyDescent="0.55000000000000004">
      <c r="A44" s="1049"/>
      <c r="B44" s="1049"/>
      <c r="C44" s="1049"/>
      <c r="D44" s="1049" t="s">
        <v>493</v>
      </c>
      <c r="E44" s="1061"/>
      <c r="F44" s="1049"/>
      <c r="G44" s="1050" t="s">
        <v>15</v>
      </c>
      <c r="H44" s="1062">
        <f>H43</f>
        <v>167.02</v>
      </c>
      <c r="I44" s="1050" t="s">
        <v>4</v>
      </c>
    </row>
    <row r="45" spans="1:12" ht="16.5" thickTop="1" x14ac:dyDescent="0.5">
      <c r="A45" s="1049"/>
      <c r="B45" s="1049"/>
      <c r="C45" s="1049"/>
      <c r="D45" s="1049"/>
      <c r="E45" s="1061"/>
      <c r="F45" s="1049"/>
      <c r="G45" s="1050"/>
      <c r="H45" s="1053"/>
      <c r="I45" s="1050"/>
    </row>
    <row r="46" spans="1:12" x14ac:dyDescent="0.5">
      <c r="A46" s="1048" t="s">
        <v>510</v>
      </c>
      <c r="B46" s="1049"/>
      <c r="C46" s="1049"/>
      <c r="D46" s="1049"/>
      <c r="E46" s="1049"/>
      <c r="F46" s="1049"/>
      <c r="G46" s="1073"/>
      <c r="J46" s="1074" t="s">
        <v>511</v>
      </c>
      <c r="K46" s="1075">
        <v>0.1</v>
      </c>
      <c r="L46" s="1074" t="s">
        <v>512</v>
      </c>
    </row>
    <row r="47" spans="1:12" x14ac:dyDescent="0.5">
      <c r="A47" s="1049" t="s">
        <v>513</v>
      </c>
      <c r="B47" s="1049"/>
      <c r="C47" s="1076">
        <v>4</v>
      </c>
      <c r="D47" s="1077" t="s">
        <v>53</v>
      </c>
      <c r="E47" s="1077"/>
      <c r="F47" s="1050" t="s">
        <v>514</v>
      </c>
      <c r="G47" s="1076">
        <v>10</v>
      </c>
      <c r="H47" s="1077" t="s">
        <v>53</v>
      </c>
      <c r="I47" s="1078"/>
      <c r="J47" s="1050" t="s">
        <v>289</v>
      </c>
      <c r="K47" s="1079">
        <f>ROUNDDOWN(C47*G47,2)</f>
        <v>40</v>
      </c>
      <c r="L47" s="1080" t="s">
        <v>33</v>
      </c>
    </row>
    <row r="48" spans="1:12" x14ac:dyDescent="0.5">
      <c r="A48" s="1049" t="s">
        <v>515</v>
      </c>
      <c r="B48" s="1049"/>
      <c r="C48" s="1049"/>
      <c r="D48" s="1049"/>
      <c r="G48" s="1081"/>
      <c r="I48" s="1049"/>
      <c r="J48" s="1050" t="s">
        <v>289</v>
      </c>
      <c r="K48" s="1067">
        <v>111</v>
      </c>
      <c r="L48" s="1082" t="s">
        <v>34</v>
      </c>
    </row>
    <row r="49" spans="1:13" x14ac:dyDescent="0.5">
      <c r="A49" s="1049" t="s">
        <v>516</v>
      </c>
      <c r="B49" s="1049"/>
      <c r="C49" s="1049"/>
      <c r="D49" s="1083">
        <v>150000</v>
      </c>
      <c r="E49" s="1083"/>
      <c r="F49" s="1050" t="s">
        <v>479</v>
      </c>
      <c r="G49" s="1084">
        <f>IF($K$48&lt;5000,5000,$K$48)</f>
        <v>5000</v>
      </c>
      <c r="H49" s="1084"/>
      <c r="I49" s="1049"/>
      <c r="J49" s="1050" t="s">
        <v>289</v>
      </c>
      <c r="K49" s="1085">
        <f>ROUNDDOWN(D49/G49,2)</f>
        <v>30</v>
      </c>
      <c r="L49" s="1050" t="s">
        <v>4</v>
      </c>
    </row>
    <row r="50" spans="1:13" x14ac:dyDescent="0.5">
      <c r="A50" s="1049" t="s">
        <v>517</v>
      </c>
      <c r="B50" s="1049"/>
      <c r="C50" s="1049"/>
      <c r="D50" s="1082"/>
      <c r="E50" s="1082"/>
      <c r="F50" s="1050"/>
      <c r="G50" s="1086"/>
      <c r="H50" s="1086"/>
      <c r="I50" s="1049"/>
      <c r="J50" s="1050"/>
      <c r="K50" s="1087"/>
      <c r="L50" s="1050"/>
    </row>
    <row r="51" spans="1:13" ht="21.75" customHeight="1" x14ac:dyDescent="0.5">
      <c r="A51" s="1049" t="s">
        <v>518</v>
      </c>
      <c r="B51" s="1049"/>
      <c r="C51" s="1049"/>
      <c r="D51" s="1050" t="s">
        <v>15</v>
      </c>
      <c r="F51" s="1088">
        <f>+[4]ข้อมูลราคาวัสดุ!J19</f>
        <v>2100</v>
      </c>
      <c r="G51" s="1050" t="s">
        <v>519</v>
      </c>
      <c r="H51" s="1055">
        <v>0</v>
      </c>
      <c r="I51" s="1059"/>
      <c r="J51" s="1050" t="s">
        <v>289</v>
      </c>
      <c r="K51" s="1089">
        <f>ROUNDDOWN(F51+H51,2)</f>
        <v>2100</v>
      </c>
      <c r="L51" s="1050" t="s">
        <v>4</v>
      </c>
    </row>
    <row r="52" spans="1:13" ht="21.75" customHeight="1" x14ac:dyDescent="0.5">
      <c r="A52" s="1049" t="s">
        <v>520</v>
      </c>
      <c r="B52" s="1049"/>
      <c r="C52" s="1049"/>
      <c r="D52" s="1050"/>
      <c r="F52" s="1090"/>
      <c r="G52" s="1050"/>
      <c r="H52" s="1091"/>
      <c r="I52" s="1059"/>
      <c r="J52" s="1050"/>
      <c r="K52" s="1089"/>
      <c r="L52" s="1050"/>
    </row>
    <row r="53" spans="1:13" ht="21.75" customHeight="1" x14ac:dyDescent="0.5">
      <c r="A53" s="1049" t="s">
        <v>470</v>
      </c>
      <c r="B53" s="1049"/>
      <c r="C53" s="1049"/>
      <c r="D53" s="1049"/>
      <c r="E53" s="1059"/>
      <c r="F53" s="1092">
        <f>K47</f>
        <v>40</v>
      </c>
      <c r="G53" s="1049" t="s">
        <v>521</v>
      </c>
      <c r="H53" s="1073"/>
      <c r="I53" s="1073"/>
      <c r="J53" s="1050" t="s">
        <v>289</v>
      </c>
      <c r="K53" s="1067">
        <f>K47</f>
        <v>40</v>
      </c>
      <c r="L53" s="1050" t="s">
        <v>521</v>
      </c>
    </row>
    <row r="54" spans="1:13" ht="21.75" customHeight="1" x14ac:dyDescent="0.5">
      <c r="A54" s="1049" t="s">
        <v>522</v>
      </c>
      <c r="B54" s="1049"/>
      <c r="C54" s="1050" t="s">
        <v>289</v>
      </c>
      <c r="D54" s="1055">
        <f>K47</f>
        <v>40</v>
      </c>
      <c r="E54" s="1091" t="s">
        <v>497</v>
      </c>
      <c r="F54" s="1055">
        <v>10</v>
      </c>
      <c r="G54" s="1050" t="s">
        <v>479</v>
      </c>
      <c r="H54" s="1076">
        <v>100</v>
      </c>
      <c r="I54" s="1073"/>
      <c r="J54" s="1050" t="s">
        <v>289</v>
      </c>
      <c r="K54" s="1067">
        <f>ROUNDDOWN($D$54*$F$54/100,2)</f>
        <v>4</v>
      </c>
      <c r="L54" s="1082" t="s">
        <v>34</v>
      </c>
    </row>
    <row r="55" spans="1:13" x14ac:dyDescent="0.5">
      <c r="A55" s="1049" t="s">
        <v>518</v>
      </c>
      <c r="B55" s="1049"/>
      <c r="C55" s="1049"/>
      <c r="D55" s="1093">
        <f>K54</f>
        <v>4</v>
      </c>
      <c r="E55" s="1082" t="s">
        <v>523</v>
      </c>
      <c r="F55" s="1088">
        <f>K51</f>
        <v>2100</v>
      </c>
      <c r="G55" s="1094"/>
      <c r="H55" s="1094"/>
      <c r="I55" s="1049"/>
      <c r="J55" s="1050" t="s">
        <v>289</v>
      </c>
      <c r="K55" s="1095">
        <f>ROUNDDOWN($D$55*$F$55,2)</f>
        <v>8400</v>
      </c>
      <c r="L55" s="1050" t="s">
        <v>47</v>
      </c>
    </row>
    <row r="56" spans="1:13" x14ac:dyDescent="0.5">
      <c r="A56" s="1049" t="s">
        <v>524</v>
      </c>
      <c r="B56" s="1049"/>
      <c r="C56" s="1059"/>
      <c r="D56" s="1082"/>
      <c r="E56" s="1050"/>
      <c r="F56" s="1050"/>
      <c r="G56" s="1082"/>
      <c r="H56" s="1082"/>
      <c r="I56" s="1049"/>
      <c r="J56" s="1050"/>
      <c r="K56" s="1096"/>
      <c r="L56" s="1050"/>
    </row>
    <row r="57" spans="1:13" x14ac:dyDescent="0.5">
      <c r="C57" s="1050" t="s">
        <v>289</v>
      </c>
      <c r="D57" s="1097">
        <v>0.5</v>
      </c>
      <c r="E57" s="1091" t="s">
        <v>497</v>
      </c>
      <c r="F57" s="1098">
        <v>15.46</v>
      </c>
      <c r="G57" s="1091" t="s">
        <v>497</v>
      </c>
      <c r="H57" s="1099">
        <f>K54</f>
        <v>4</v>
      </c>
      <c r="I57" s="1049"/>
      <c r="J57" s="1050" t="s">
        <v>15</v>
      </c>
      <c r="K57" s="1100">
        <f>ROUNDDOWN($D$57*$F$57*$H$57,2)</f>
        <v>30.92</v>
      </c>
      <c r="L57" s="1050" t="s">
        <v>47</v>
      </c>
      <c r="M57" s="1046">
        <f>0.2/4</f>
        <v>0.05</v>
      </c>
    </row>
    <row r="58" spans="1:13" x14ac:dyDescent="0.5">
      <c r="A58" s="1049" t="s">
        <v>525</v>
      </c>
      <c r="B58" s="1049"/>
      <c r="C58" s="1099">
        <f>K53</f>
        <v>40</v>
      </c>
      <c r="D58" s="1050" t="s">
        <v>521</v>
      </c>
      <c r="E58" s="1091" t="s">
        <v>497</v>
      </c>
      <c r="F58" s="1055">
        <v>30</v>
      </c>
      <c r="G58" s="1101" t="s">
        <v>126</v>
      </c>
      <c r="H58" s="1101"/>
      <c r="J58" s="1050" t="s">
        <v>15</v>
      </c>
      <c r="K58" s="1102">
        <f>ROUNDDOWN($C$58*$F$58,2)</f>
        <v>1200</v>
      </c>
      <c r="L58" s="1050" t="s">
        <v>47</v>
      </c>
      <c r="M58" s="1049"/>
    </row>
    <row r="59" spans="1:13" x14ac:dyDescent="0.5">
      <c r="A59" s="1049" t="s">
        <v>526</v>
      </c>
      <c r="B59" s="1049"/>
      <c r="C59" s="1099">
        <f>K53</f>
        <v>40</v>
      </c>
      <c r="D59" s="1050" t="s">
        <v>521</v>
      </c>
      <c r="E59" s="1091" t="s">
        <v>497</v>
      </c>
      <c r="F59" s="1055">
        <v>5</v>
      </c>
      <c r="G59" s="1101" t="s">
        <v>126</v>
      </c>
      <c r="H59" s="1101"/>
      <c r="J59" s="1050" t="s">
        <v>15</v>
      </c>
      <c r="K59" s="1057">
        <f>ROUNDDOWN($C$59*$F$59,2)</f>
        <v>200</v>
      </c>
      <c r="L59" s="1050" t="s">
        <v>47</v>
      </c>
      <c r="M59" s="1049"/>
    </row>
    <row r="60" spans="1:13" x14ac:dyDescent="0.5">
      <c r="A60" s="1049" t="s">
        <v>527</v>
      </c>
      <c r="B60" s="1049"/>
      <c r="C60" s="1050"/>
      <c r="F60" s="1055">
        <f>G47</f>
        <v>10</v>
      </c>
      <c r="G60" s="1091" t="s">
        <v>497</v>
      </c>
      <c r="H60" s="1055">
        <v>20.6</v>
      </c>
      <c r="J60" s="1050" t="s">
        <v>15</v>
      </c>
      <c r="K60" s="1103">
        <f>ROUNDDOWN($F$60*$H$60,2)</f>
        <v>206</v>
      </c>
      <c r="L60" s="1050" t="s">
        <v>47</v>
      </c>
      <c r="M60" s="1049"/>
    </row>
    <row r="61" spans="1:13" x14ac:dyDescent="0.5">
      <c r="A61" s="1049" t="s">
        <v>528</v>
      </c>
      <c r="B61" s="1049"/>
      <c r="C61" s="1049"/>
      <c r="F61" s="1055">
        <f>K47</f>
        <v>40</v>
      </c>
      <c r="G61" s="1080" t="s">
        <v>497</v>
      </c>
      <c r="H61" s="1055">
        <v>12.26</v>
      </c>
      <c r="J61" s="1050" t="s">
        <v>15</v>
      </c>
      <c r="K61" s="1057">
        <f>ROUNDDOWN($F$61*$H$61,2)</f>
        <v>490.4</v>
      </c>
      <c r="L61" s="1050" t="s">
        <v>47</v>
      </c>
      <c r="M61" s="1049"/>
    </row>
    <row r="62" spans="1:13" x14ac:dyDescent="0.5">
      <c r="A62" s="1049" t="s">
        <v>529</v>
      </c>
      <c r="B62" s="1049"/>
      <c r="C62" s="1049"/>
      <c r="F62" s="1055">
        <f>K47</f>
        <v>40</v>
      </c>
      <c r="G62" s="1080" t="s">
        <v>497</v>
      </c>
      <c r="H62" s="1055">
        <v>0</v>
      </c>
      <c r="J62" s="1050" t="s">
        <v>15</v>
      </c>
      <c r="K62" s="1057">
        <f>ROUNDDOWN($F$62*$H$62,2)</f>
        <v>0</v>
      </c>
      <c r="L62" s="1050" t="s">
        <v>47</v>
      </c>
      <c r="M62" s="1049"/>
    </row>
    <row r="63" spans="1:13" x14ac:dyDescent="0.5">
      <c r="A63" s="1049" t="s">
        <v>530</v>
      </c>
      <c r="B63" s="1049"/>
      <c r="C63" s="1049"/>
      <c r="F63" s="1055">
        <f>K47</f>
        <v>40</v>
      </c>
      <c r="G63" s="1080" t="s">
        <v>497</v>
      </c>
      <c r="H63" s="1055">
        <v>0</v>
      </c>
      <c r="J63" s="1050" t="s">
        <v>15</v>
      </c>
      <c r="K63" s="1057">
        <f>ROUNDDOWN($F$63*$H$63,2)</f>
        <v>0</v>
      </c>
      <c r="L63" s="1050" t="s">
        <v>47</v>
      </c>
      <c r="M63" s="1049"/>
    </row>
    <row r="64" spans="1:13" x14ac:dyDescent="0.5">
      <c r="A64" s="1049" t="s">
        <v>500</v>
      </c>
      <c r="B64" s="1049"/>
      <c r="C64" s="1049"/>
      <c r="D64" s="1049"/>
      <c r="E64" s="1049"/>
      <c r="F64" s="1049"/>
      <c r="J64" s="1050" t="s">
        <v>15</v>
      </c>
      <c r="K64" s="1060">
        <f>ROUNDDOWN(SUM(K55:K57)+K58+K59+K60+K61+K62+K63,2)</f>
        <v>10527.32</v>
      </c>
      <c r="L64" s="1050" t="s">
        <v>47</v>
      </c>
      <c r="M64" s="1049"/>
    </row>
    <row r="65" spans="1:13" ht="16.5" thickBot="1" x14ac:dyDescent="0.55000000000000004">
      <c r="A65" s="1077" t="s">
        <v>493</v>
      </c>
      <c r="B65" s="1049"/>
      <c r="C65" s="1049"/>
      <c r="D65" s="1090">
        <f>K64</f>
        <v>10527.32</v>
      </c>
      <c r="E65" s="1104" t="s">
        <v>479</v>
      </c>
      <c r="F65" s="1055">
        <f>K47</f>
        <v>40</v>
      </c>
      <c r="J65" s="1050" t="s">
        <v>15</v>
      </c>
      <c r="K65" s="1062">
        <f>ROUNDDOWN(D65/F65,2)</f>
        <v>263.18</v>
      </c>
      <c r="L65" s="1050" t="s">
        <v>126</v>
      </c>
      <c r="M65" s="1049"/>
    </row>
    <row r="66" spans="1:13" ht="16.5" thickTop="1" x14ac:dyDescent="0.5">
      <c r="A66" s="1077"/>
      <c r="B66" s="1049"/>
      <c r="C66" s="1049"/>
      <c r="D66" s="1054"/>
      <c r="E66" s="1104"/>
      <c r="F66" s="1104"/>
      <c r="G66" s="1050"/>
      <c r="H66" s="1053"/>
      <c r="I66" s="1050"/>
      <c r="J66" s="1049"/>
      <c r="K66" s="1049"/>
      <c r="L66" s="1049"/>
      <c r="M66" s="1049"/>
    </row>
    <row r="67" spans="1:13" x14ac:dyDescent="0.5">
      <c r="A67" s="1077"/>
      <c r="B67" s="1049"/>
      <c r="C67" s="1049"/>
      <c r="D67" s="1054"/>
      <c r="E67" s="1104"/>
      <c r="F67" s="1104"/>
      <c r="G67" s="1050"/>
      <c r="H67" s="1053"/>
      <c r="I67" s="1050"/>
      <c r="J67" s="1049"/>
      <c r="K67" s="1049"/>
      <c r="L67" s="1049"/>
      <c r="M67" s="1049"/>
    </row>
    <row r="68" spans="1:13" x14ac:dyDescent="0.5">
      <c r="A68" s="1077"/>
      <c r="B68" s="1049"/>
      <c r="C68" s="1049"/>
      <c r="D68" s="1054"/>
      <c r="E68" s="1104"/>
      <c r="F68" s="1104"/>
      <c r="G68" s="1050"/>
      <c r="H68" s="1053"/>
      <c r="I68" s="1050"/>
      <c r="J68" s="1049"/>
      <c r="K68" s="1049"/>
      <c r="L68" s="1049"/>
      <c r="M68" s="1049"/>
    </row>
    <row r="69" spans="1:13" x14ac:dyDescent="0.5">
      <c r="A69" s="1077"/>
      <c r="B69" s="1049"/>
      <c r="C69" s="1049"/>
      <c r="D69" s="1054"/>
      <c r="E69" s="1104"/>
      <c r="F69" s="1104"/>
      <c r="G69" s="1050"/>
      <c r="H69" s="1053"/>
      <c r="I69" s="1050"/>
      <c r="J69" s="1049"/>
      <c r="K69" s="1049"/>
      <c r="L69" s="1049"/>
      <c r="M69" s="1049"/>
    </row>
    <row r="70" spans="1:13" x14ac:dyDescent="0.5">
      <c r="A70" s="1077"/>
      <c r="B70" s="1049"/>
      <c r="C70" s="1049"/>
      <c r="D70" s="1054"/>
      <c r="E70" s="1104"/>
      <c r="F70" s="1104"/>
      <c r="G70" s="1050"/>
      <c r="H70" s="1053"/>
      <c r="I70" s="1050"/>
      <c r="J70" s="1049"/>
      <c r="K70" s="1049"/>
      <c r="L70" s="1049"/>
      <c r="M70" s="1049"/>
    </row>
    <row r="71" spans="1:13" x14ac:dyDescent="0.5">
      <c r="A71" s="1048" t="s">
        <v>531</v>
      </c>
      <c r="B71" s="1049"/>
      <c r="C71" s="1049"/>
      <c r="D71" s="1049"/>
      <c r="E71" s="1049"/>
      <c r="F71" s="1049"/>
      <c r="G71" s="1049"/>
      <c r="H71" s="1049"/>
      <c r="I71" s="1049"/>
      <c r="J71" s="1049"/>
      <c r="K71" s="1049"/>
      <c r="L71" s="1072" t="s">
        <v>532</v>
      </c>
      <c r="M71" s="1049"/>
    </row>
    <row r="72" spans="1:13" x14ac:dyDescent="0.5">
      <c r="A72" s="1049" t="s">
        <v>533</v>
      </c>
      <c r="B72" s="1049"/>
      <c r="C72" s="1049"/>
      <c r="D72" s="1055">
        <f>C47</f>
        <v>4</v>
      </c>
      <c r="E72" s="1049" t="s">
        <v>534</v>
      </c>
      <c r="F72" s="1049"/>
      <c r="G72" s="1049"/>
      <c r="H72" s="1049"/>
      <c r="I72" s="1049"/>
      <c r="J72" s="1049"/>
      <c r="K72" s="1049"/>
      <c r="L72" s="1049"/>
      <c r="M72" s="1049"/>
    </row>
    <row r="73" spans="1:13" x14ac:dyDescent="0.5">
      <c r="A73" s="1049" t="s">
        <v>535</v>
      </c>
      <c r="B73" s="1049"/>
      <c r="C73" s="1049"/>
      <c r="D73" s="1105">
        <f>ROUNDDOWN(((8)*0.5)*2.23,2)</f>
        <v>8.92</v>
      </c>
      <c r="E73" s="1050" t="s">
        <v>399</v>
      </c>
      <c r="F73" s="1050" t="s">
        <v>523</v>
      </c>
      <c r="H73" s="1106">
        <f>[4]ข้อมูลราคาวัสดุ!E14/1000</f>
        <v>24.219380000000001</v>
      </c>
      <c r="I73" s="1080" t="s">
        <v>536</v>
      </c>
      <c r="J73" s="1050" t="s">
        <v>289</v>
      </c>
      <c r="K73" s="1107">
        <f t="shared" ref="K73:K79" si="0">ROUNDDOWN(D73*H73,2)</f>
        <v>216.03</v>
      </c>
      <c r="L73" s="1050" t="s">
        <v>47</v>
      </c>
      <c r="M73" s="1049"/>
    </row>
    <row r="74" spans="1:13" x14ac:dyDescent="0.5">
      <c r="A74" s="1049" t="s">
        <v>537</v>
      </c>
      <c r="B74" s="1049"/>
      <c r="C74" s="1049"/>
      <c r="D74" s="1105">
        <v>8</v>
      </c>
      <c r="E74" s="1050" t="s">
        <v>40</v>
      </c>
      <c r="F74" s="1050" t="s">
        <v>523</v>
      </c>
      <c r="H74" s="1105">
        <v>10</v>
      </c>
      <c r="J74" s="1050" t="s">
        <v>289</v>
      </c>
      <c r="K74" s="1107">
        <f t="shared" si="0"/>
        <v>80</v>
      </c>
      <c r="L74" s="1050" t="s">
        <v>47</v>
      </c>
      <c r="M74" s="1049"/>
    </row>
    <row r="75" spans="1:13" x14ac:dyDescent="0.5">
      <c r="A75" s="1049" t="s">
        <v>538</v>
      </c>
      <c r="B75" s="1049"/>
      <c r="C75" s="1049"/>
      <c r="D75" s="1105">
        <f>ROUNDDOWN(D72*K46/100,2)</f>
        <v>0</v>
      </c>
      <c r="E75" s="1050" t="s">
        <v>33</v>
      </c>
      <c r="F75" s="1050" t="s">
        <v>523</v>
      </c>
      <c r="H75" s="1105">
        <v>400</v>
      </c>
      <c r="J75" s="1050" t="s">
        <v>289</v>
      </c>
      <c r="K75" s="1107">
        <f t="shared" si="0"/>
        <v>0</v>
      </c>
      <c r="L75" s="1050" t="s">
        <v>47</v>
      </c>
      <c r="M75" s="1049"/>
    </row>
    <row r="76" spans="1:13" x14ac:dyDescent="0.5">
      <c r="A76" s="1049" t="s">
        <v>539</v>
      </c>
      <c r="B76" s="1049"/>
      <c r="C76" s="1049"/>
      <c r="D76" s="1105">
        <f>ROUNDDOWN(D72*0.025*0.025*1000,2)</f>
        <v>2.5</v>
      </c>
      <c r="E76" s="1050" t="s">
        <v>540</v>
      </c>
      <c r="F76" s="1050" t="s">
        <v>523</v>
      </c>
      <c r="H76" s="1105">
        <v>45</v>
      </c>
      <c r="J76" s="1050" t="s">
        <v>289</v>
      </c>
      <c r="K76" s="1108">
        <f t="shared" si="0"/>
        <v>112.5</v>
      </c>
      <c r="L76" s="1050" t="s">
        <v>47</v>
      </c>
      <c r="M76" s="1049"/>
    </row>
    <row r="77" spans="1:13" x14ac:dyDescent="0.5">
      <c r="A77" s="1049" t="s">
        <v>541</v>
      </c>
      <c r="B77" s="1049"/>
      <c r="C77" s="1049"/>
      <c r="D77" s="1105">
        <f>D72</f>
        <v>4</v>
      </c>
      <c r="E77" s="1050" t="s">
        <v>212</v>
      </c>
      <c r="F77" s="1050" t="s">
        <v>523</v>
      </c>
      <c r="H77" s="1105">
        <v>15.67</v>
      </c>
      <c r="J77" s="1050" t="s">
        <v>289</v>
      </c>
      <c r="K77" s="1108">
        <f t="shared" si="0"/>
        <v>62.68</v>
      </c>
      <c r="L77" s="1050" t="s">
        <v>47</v>
      </c>
      <c r="M77" s="1049"/>
    </row>
    <row r="78" spans="1:13" x14ac:dyDescent="0.5">
      <c r="A78" s="1049" t="s">
        <v>542</v>
      </c>
      <c r="B78" s="1049"/>
      <c r="C78" s="1049"/>
      <c r="D78" s="1105">
        <f>D72</f>
        <v>4</v>
      </c>
      <c r="E78" s="1050" t="s">
        <v>212</v>
      </c>
      <c r="F78" s="1050" t="s">
        <v>523</v>
      </c>
      <c r="H78" s="1105">
        <v>0</v>
      </c>
      <c r="J78" s="1050" t="s">
        <v>289</v>
      </c>
      <c r="K78" s="1108">
        <f t="shared" si="0"/>
        <v>0</v>
      </c>
      <c r="L78" s="1050" t="s">
        <v>47</v>
      </c>
      <c r="M78" s="1049"/>
    </row>
    <row r="79" spans="1:13" x14ac:dyDescent="0.5">
      <c r="A79" s="1049" t="s">
        <v>468</v>
      </c>
      <c r="B79" s="1049"/>
      <c r="C79" s="1049"/>
      <c r="D79" s="1105">
        <v>0</v>
      </c>
      <c r="E79" s="1050" t="s">
        <v>33</v>
      </c>
      <c r="F79" s="1050" t="s">
        <v>523</v>
      </c>
      <c r="H79" s="1105">
        <f>[4]ไม้แบบ!I24</f>
        <v>316.32</v>
      </c>
      <c r="J79" s="1050" t="s">
        <v>289</v>
      </c>
      <c r="K79" s="1109">
        <f t="shared" si="0"/>
        <v>0</v>
      </c>
      <c r="L79" s="1050" t="s">
        <v>47</v>
      </c>
      <c r="M79" s="1049"/>
    </row>
    <row r="80" spans="1:13" x14ac:dyDescent="0.5">
      <c r="A80" s="1049" t="s">
        <v>500</v>
      </c>
      <c r="B80" s="1049"/>
      <c r="C80" s="1049"/>
      <c r="D80" s="1049"/>
      <c r="F80" s="1049"/>
      <c r="G80" s="1049"/>
      <c r="H80" s="1049"/>
      <c r="J80" s="1050" t="s">
        <v>289</v>
      </c>
      <c r="K80" s="1067">
        <f>ROUNDDOWN(SUM(K72:K79),2)</f>
        <v>471.21</v>
      </c>
      <c r="L80" s="1050" t="s">
        <v>47</v>
      </c>
      <c r="M80" s="1049"/>
    </row>
    <row r="81" spans="1:13" ht="16.5" thickBot="1" x14ac:dyDescent="0.55000000000000004">
      <c r="A81" s="1049" t="s">
        <v>493</v>
      </c>
      <c r="B81" s="1049"/>
      <c r="C81" s="1049"/>
      <c r="D81" s="1110">
        <f>$K$80</f>
        <v>471.21</v>
      </c>
      <c r="E81" s="1050" t="s">
        <v>479</v>
      </c>
      <c r="F81" s="1110">
        <f>$D$72</f>
        <v>4</v>
      </c>
      <c r="H81" s="1082"/>
      <c r="J81" s="1050" t="s">
        <v>289</v>
      </c>
      <c r="K81" s="1111">
        <f>ROUNDDOWN(D81/F81,2)</f>
        <v>117.8</v>
      </c>
      <c r="L81" s="1050" t="s">
        <v>543</v>
      </c>
      <c r="M81" s="1049"/>
    </row>
    <row r="82" spans="1:13" ht="16.5" thickTop="1" x14ac:dyDescent="0.5">
      <c r="A82" s="1077"/>
      <c r="B82" s="1049"/>
      <c r="C82" s="1049"/>
      <c r="D82" s="1054"/>
      <c r="E82" s="1104"/>
      <c r="F82" s="1104"/>
      <c r="G82" s="1050"/>
      <c r="H82" s="1053"/>
      <c r="I82" s="1050"/>
      <c r="J82" s="1049"/>
      <c r="K82" s="1049"/>
      <c r="L82" s="1049"/>
      <c r="M82" s="1049"/>
    </row>
    <row r="83" spans="1:13" x14ac:dyDescent="0.5">
      <c r="A83" s="1048" t="s">
        <v>544</v>
      </c>
      <c r="B83" s="1049"/>
      <c r="C83" s="1049"/>
      <c r="D83" s="1049"/>
      <c r="E83" s="1049"/>
      <c r="F83" s="1049"/>
      <c r="G83" s="1049"/>
      <c r="H83" s="1049"/>
      <c r="I83" s="1049"/>
      <c r="J83" s="1049"/>
      <c r="K83" s="1049"/>
      <c r="L83" s="1049"/>
      <c r="M83" s="1049"/>
    </row>
    <row r="84" spans="1:13" x14ac:dyDescent="0.5">
      <c r="A84" s="1049" t="s">
        <v>533</v>
      </c>
      <c r="B84" s="1049"/>
      <c r="C84" s="1049"/>
      <c r="D84" s="1055">
        <f>C47</f>
        <v>4</v>
      </c>
      <c r="E84" s="1049" t="s">
        <v>534</v>
      </c>
      <c r="F84" s="1049"/>
      <c r="G84" s="1049"/>
      <c r="H84" s="1049"/>
      <c r="I84" s="1049"/>
      <c r="J84" s="1049"/>
      <c r="K84" s="1049"/>
      <c r="L84" s="1049"/>
      <c r="M84" s="1049"/>
    </row>
    <row r="85" spans="1:13" x14ac:dyDescent="0.5">
      <c r="A85" s="1049" t="s">
        <v>535</v>
      </c>
      <c r="B85" s="1049"/>
      <c r="C85" s="1049"/>
      <c r="D85" s="1105">
        <f>ROUNDDOWN(((8)*0.5)*2.23,2)</f>
        <v>8.92</v>
      </c>
      <c r="E85" s="1050" t="s">
        <v>399</v>
      </c>
      <c r="F85" s="1050" t="s">
        <v>523</v>
      </c>
      <c r="H85" s="1106">
        <f>[4]ข้อมูลราคาวัสดุ!E14/1000</f>
        <v>24.219380000000001</v>
      </c>
      <c r="J85" s="1050" t="s">
        <v>289</v>
      </c>
      <c r="K85" s="1107">
        <f>ROUNDDOWN(D85*H85,2)</f>
        <v>216.03</v>
      </c>
      <c r="L85" s="1050" t="s">
        <v>47</v>
      </c>
      <c r="M85" s="1049"/>
    </row>
    <row r="86" spans="1:13" x14ac:dyDescent="0.5">
      <c r="A86" s="1049" t="s">
        <v>545</v>
      </c>
      <c r="B86" s="1049"/>
      <c r="C86" s="1049"/>
      <c r="D86" s="1105">
        <f>$D$84</f>
        <v>4</v>
      </c>
      <c r="E86" s="1050" t="s">
        <v>212</v>
      </c>
      <c r="F86" s="1050" t="s">
        <v>523</v>
      </c>
      <c r="H86" s="1105">
        <v>24.61</v>
      </c>
      <c r="J86" s="1050" t="s">
        <v>289</v>
      </c>
      <c r="K86" s="1107">
        <f>ROUNDDOWN(D86*H86,2)</f>
        <v>98.44</v>
      </c>
      <c r="L86" s="1050" t="s">
        <v>47</v>
      </c>
      <c r="M86" s="1049"/>
    </row>
    <row r="87" spans="1:13" x14ac:dyDescent="0.5">
      <c r="A87" s="1049" t="s">
        <v>546</v>
      </c>
      <c r="B87" s="1049"/>
      <c r="C87" s="1049"/>
      <c r="D87" s="1105">
        <v>8</v>
      </c>
      <c r="E87" s="1050" t="s">
        <v>40</v>
      </c>
      <c r="F87" s="1050" t="s">
        <v>523</v>
      </c>
      <c r="H87" s="1105">
        <v>4</v>
      </c>
      <c r="J87" s="1050" t="s">
        <v>289</v>
      </c>
      <c r="K87" s="1107">
        <f>ROUNDDOWN(D87*H87,2)</f>
        <v>32</v>
      </c>
      <c r="L87" s="1050" t="s">
        <v>47</v>
      </c>
      <c r="M87" s="1049"/>
    </row>
    <row r="88" spans="1:13" x14ac:dyDescent="0.5">
      <c r="A88" s="1049" t="s">
        <v>539</v>
      </c>
      <c r="B88" s="1049"/>
      <c r="C88" s="1049"/>
      <c r="D88" s="1105">
        <f>ROUNDDOWN(D84*0.01*(0.15/4)*1000,2)</f>
        <v>1.5</v>
      </c>
      <c r="E88" s="1050" t="s">
        <v>540</v>
      </c>
      <c r="F88" s="1050" t="s">
        <v>523</v>
      </c>
      <c r="H88" s="1105">
        <v>45</v>
      </c>
      <c r="J88" s="1050" t="s">
        <v>289</v>
      </c>
      <c r="K88" s="1108">
        <f>ROUNDDOWN(D88*H88,2)</f>
        <v>67.5</v>
      </c>
      <c r="L88" s="1050" t="s">
        <v>47</v>
      </c>
      <c r="M88" s="1049"/>
    </row>
    <row r="89" spans="1:13" x14ac:dyDescent="0.5">
      <c r="A89" s="1049" t="s">
        <v>542</v>
      </c>
      <c r="B89" s="1049"/>
      <c r="C89" s="1049"/>
      <c r="D89" s="1105">
        <f>D84</f>
        <v>4</v>
      </c>
      <c r="E89" s="1050" t="s">
        <v>212</v>
      </c>
      <c r="F89" s="1050" t="s">
        <v>523</v>
      </c>
      <c r="H89" s="1105">
        <v>0</v>
      </c>
      <c r="J89" s="1050" t="s">
        <v>289</v>
      </c>
      <c r="K89" s="1108">
        <f>ROUNDDOWN(D89*H89,2)</f>
        <v>0</v>
      </c>
      <c r="L89" s="1050" t="s">
        <v>47</v>
      </c>
      <c r="M89" s="1049"/>
    </row>
    <row r="90" spans="1:13" x14ac:dyDescent="0.5">
      <c r="A90" s="1049" t="s">
        <v>500</v>
      </c>
      <c r="B90" s="1049"/>
      <c r="C90" s="1049"/>
      <c r="D90" s="1049"/>
      <c r="F90" s="1049"/>
      <c r="G90" s="1049"/>
      <c r="H90" s="1049"/>
      <c r="J90" s="1050" t="s">
        <v>289</v>
      </c>
      <c r="K90" s="1067">
        <f>ROUNDDOWN(SUM(K85:K89),2)</f>
        <v>413.97</v>
      </c>
      <c r="L90" s="1050" t="s">
        <v>47</v>
      </c>
      <c r="M90" s="1049"/>
    </row>
    <row r="91" spans="1:13" ht="16.5" thickBot="1" x14ac:dyDescent="0.55000000000000004">
      <c r="A91" s="1049" t="s">
        <v>493</v>
      </c>
      <c r="B91" s="1049"/>
      <c r="C91" s="1049"/>
      <c r="D91" s="1110">
        <f>$K$90</f>
        <v>413.97</v>
      </c>
      <c r="E91" s="1050" t="s">
        <v>479</v>
      </c>
      <c r="F91" s="1110">
        <f>$D$84</f>
        <v>4</v>
      </c>
      <c r="H91" s="1082"/>
      <c r="J91" s="1050" t="s">
        <v>289</v>
      </c>
      <c r="K91" s="1111">
        <f>ROUNDDOWN(D91/F91,2)</f>
        <v>103.49</v>
      </c>
      <c r="L91" s="1050" t="s">
        <v>543</v>
      </c>
      <c r="M91" s="1049"/>
    </row>
    <row r="92" spans="1:13" ht="16.5" thickTop="1" x14ac:dyDescent="0.5">
      <c r="A92" s="1049"/>
      <c r="B92" s="1049"/>
      <c r="C92" s="1049"/>
      <c r="D92" s="1112"/>
      <c r="E92" s="1050"/>
      <c r="F92" s="1112"/>
      <c r="H92" s="1082"/>
      <c r="J92" s="1050"/>
      <c r="K92" s="1081"/>
      <c r="M92" s="1049"/>
    </row>
    <row r="93" spans="1:13" x14ac:dyDescent="0.5">
      <c r="A93" s="1077"/>
      <c r="B93" s="1049"/>
      <c r="C93" s="1049"/>
      <c r="D93" s="1054"/>
      <c r="E93" s="1104"/>
      <c r="F93" s="1104"/>
      <c r="G93" s="1050"/>
      <c r="H93" s="1053"/>
      <c r="I93" s="1050"/>
      <c r="J93" s="1049"/>
      <c r="K93" s="1049"/>
      <c r="L93" s="1049"/>
      <c r="M93" s="1049"/>
    </row>
    <row r="94" spans="1:13" x14ac:dyDescent="0.5">
      <c r="A94" s="1048" t="s">
        <v>547</v>
      </c>
      <c r="B94" s="1049"/>
      <c r="C94" s="1049"/>
      <c r="D94" s="1049"/>
      <c r="E94" s="1049"/>
      <c r="F94" s="1049"/>
      <c r="G94" s="1049"/>
      <c r="H94" s="1049"/>
      <c r="J94" s="1049"/>
      <c r="L94" s="1072" t="s">
        <v>548</v>
      </c>
    </row>
    <row r="95" spans="1:13" x14ac:dyDescent="0.5">
      <c r="A95" s="1049" t="s">
        <v>549</v>
      </c>
      <c r="B95" s="1076">
        <f>ROUNDDOWN(1.05*1.2*1,2)</f>
        <v>1.26</v>
      </c>
      <c r="C95" s="1049" t="s">
        <v>550</v>
      </c>
      <c r="D95" s="1061" t="s">
        <v>523</v>
      </c>
      <c r="E95" s="1049"/>
      <c r="F95" s="1055">
        <v>18.2</v>
      </c>
      <c r="G95" s="1050" t="s">
        <v>15</v>
      </c>
      <c r="H95" s="1103">
        <f>ROUNDDOWN(B95*F95,2)</f>
        <v>22.93</v>
      </c>
      <c r="I95" s="1050" t="s">
        <v>551</v>
      </c>
    </row>
    <row r="96" spans="1:13" x14ac:dyDescent="0.5">
      <c r="A96" s="1049" t="s">
        <v>552</v>
      </c>
      <c r="B96" s="1050"/>
      <c r="C96" s="1049"/>
      <c r="D96" s="1061"/>
      <c r="E96" s="1049"/>
      <c r="F96" s="1091"/>
      <c r="G96" s="1050" t="s">
        <v>15</v>
      </c>
      <c r="H96" s="1053">
        <f>[4]ข้อมูลราคาวัสดุ!J33</f>
        <v>0</v>
      </c>
      <c r="I96" s="1050" t="s">
        <v>551</v>
      </c>
    </row>
    <row r="97" spans="1:10" x14ac:dyDescent="0.5">
      <c r="A97" s="1049" t="s">
        <v>553</v>
      </c>
      <c r="B97" s="1049"/>
      <c r="C97" s="1054"/>
      <c r="D97" s="1091"/>
      <c r="E97" s="1049"/>
      <c r="F97" s="1049"/>
      <c r="G97" s="1050" t="s">
        <v>15</v>
      </c>
      <c r="H97" s="1057">
        <f>[4]ข้อมูลราคาวัสดุ!J31</f>
        <v>0</v>
      </c>
      <c r="I97" s="1050" t="s">
        <v>551</v>
      </c>
    </row>
    <row r="98" spans="1:10" x14ac:dyDescent="0.5">
      <c r="A98" s="1049" t="s">
        <v>554</v>
      </c>
      <c r="B98" s="1076">
        <f>ROUNDDOWN(0.5*1.05*1,2)</f>
        <v>0.52</v>
      </c>
      <c r="C98" s="1049" t="s">
        <v>550</v>
      </c>
      <c r="D98" s="1061" t="s">
        <v>523</v>
      </c>
      <c r="E98" s="1049"/>
      <c r="F98" s="1055">
        <f>[4]ข้อมูลราคาวัสดุ!J24</f>
        <v>582.84</v>
      </c>
      <c r="G98" s="1050" t="s">
        <v>15</v>
      </c>
      <c r="H98" s="1103">
        <f>ROUNDDOWN(B98*F98,2)</f>
        <v>303.07</v>
      </c>
      <c r="I98" s="1050" t="s">
        <v>551</v>
      </c>
    </row>
    <row r="99" spans="1:10" x14ac:dyDescent="0.5">
      <c r="A99" s="1049" t="s">
        <v>555</v>
      </c>
      <c r="B99" s="1049"/>
      <c r="C99" s="1049"/>
      <c r="D99" s="1049"/>
      <c r="E99" s="1049"/>
      <c r="F99" s="1049"/>
      <c r="G99" s="1050" t="s">
        <v>15</v>
      </c>
      <c r="H99" s="1113"/>
      <c r="I99" s="1050"/>
    </row>
    <row r="100" spans="1:10" x14ac:dyDescent="0.5">
      <c r="A100" s="1049" t="s">
        <v>556</v>
      </c>
      <c r="B100" s="1063"/>
      <c r="C100" s="1114"/>
      <c r="D100" s="1063"/>
      <c r="E100" s="1074"/>
      <c r="F100" s="1115"/>
      <c r="G100" s="1050" t="s">
        <v>15</v>
      </c>
      <c r="H100" s="1116"/>
      <c r="I100" s="1050"/>
    </row>
    <row r="101" spans="1:10" x14ac:dyDescent="0.5">
      <c r="A101" s="1049" t="s">
        <v>557</v>
      </c>
      <c r="B101" s="1076">
        <v>1</v>
      </c>
      <c r="C101" s="1061" t="s">
        <v>558</v>
      </c>
      <c r="D101" s="1076">
        <v>8.1</v>
      </c>
      <c r="E101" s="1049" t="s">
        <v>559</v>
      </c>
      <c r="F101" s="1117" t="s">
        <v>560</v>
      </c>
      <c r="G101" s="1050" t="s">
        <v>15</v>
      </c>
      <c r="H101" s="1118">
        <f>ROUNDDOWN((D101*13)+300,2)</f>
        <v>405.3</v>
      </c>
      <c r="I101" s="1077" t="s">
        <v>561</v>
      </c>
    </row>
    <row r="102" spans="1:10" x14ac:dyDescent="0.5">
      <c r="A102" s="1049" t="s">
        <v>562</v>
      </c>
      <c r="B102" s="1049"/>
      <c r="C102" s="1119" t="s">
        <v>15</v>
      </c>
      <c r="D102" s="1055">
        <f>H101</f>
        <v>405.3</v>
      </c>
      <c r="E102" s="1119" t="s">
        <v>563</v>
      </c>
      <c r="F102" s="1049"/>
      <c r="G102" s="1050" t="s">
        <v>15</v>
      </c>
      <c r="H102" s="1057">
        <f>ROUNDDOWN(H101/32,2)</f>
        <v>12.66</v>
      </c>
      <c r="I102" s="1050" t="s">
        <v>551</v>
      </c>
    </row>
    <row r="103" spans="1:10" x14ac:dyDescent="0.5">
      <c r="A103" s="1049" t="s">
        <v>564</v>
      </c>
      <c r="B103" s="1049"/>
      <c r="C103" s="1049"/>
      <c r="D103" s="1049"/>
      <c r="E103" s="1049"/>
      <c r="F103" s="1049"/>
      <c r="G103" s="1050"/>
      <c r="H103" s="1057">
        <v>140</v>
      </c>
      <c r="I103" s="1050" t="s">
        <v>551</v>
      </c>
    </row>
    <row r="104" spans="1:10" x14ac:dyDescent="0.5">
      <c r="A104" s="1049"/>
      <c r="B104" s="1049"/>
      <c r="C104" s="1049"/>
      <c r="D104" s="1049" t="s">
        <v>500</v>
      </c>
      <c r="E104" s="1049"/>
      <c r="F104" s="1049"/>
      <c r="G104" s="1050" t="s">
        <v>15</v>
      </c>
      <c r="H104" s="1060">
        <f>ROUNDDOWN(SUM(H95+H96+H97+H98+H102+H103),2)</f>
        <v>478.66</v>
      </c>
      <c r="I104" s="1050" t="s">
        <v>551</v>
      </c>
    </row>
    <row r="105" spans="1:10" ht="16.5" thickBot="1" x14ac:dyDescent="0.55000000000000004">
      <c r="A105" s="1049"/>
      <c r="B105" s="1049"/>
      <c r="C105" s="1049"/>
      <c r="D105" s="1049" t="s">
        <v>493</v>
      </c>
      <c r="E105" s="1061"/>
      <c r="F105" s="1049"/>
      <c r="G105" s="1050" t="s">
        <v>15</v>
      </c>
      <c r="H105" s="1062">
        <f>H104</f>
        <v>478.66</v>
      </c>
      <c r="I105" s="1050" t="s">
        <v>551</v>
      </c>
    </row>
    <row r="106" spans="1:10" ht="16.5" thickTop="1" x14ac:dyDescent="0.5">
      <c r="B106" s="1049"/>
      <c r="C106" s="1049"/>
      <c r="D106" s="1049"/>
      <c r="E106" s="1049"/>
      <c r="F106" s="1049"/>
      <c r="G106" s="1049"/>
      <c r="H106" s="1049"/>
      <c r="I106" s="1049"/>
      <c r="J106" s="1049"/>
    </row>
    <row r="107" spans="1:10" x14ac:dyDescent="0.5">
      <c r="B107" s="1049"/>
      <c r="C107" s="1049"/>
      <c r="D107" s="1049"/>
      <c r="E107" s="1049"/>
      <c r="F107" s="1049"/>
      <c r="G107" s="1049"/>
      <c r="H107" s="1049"/>
      <c r="I107" s="1049"/>
      <c r="J107" s="1049"/>
    </row>
    <row r="108" spans="1:10" x14ac:dyDescent="0.5">
      <c r="A108" s="1048" t="s">
        <v>565</v>
      </c>
      <c r="B108" s="1049"/>
      <c r="C108" s="1049"/>
      <c r="D108" s="1049"/>
      <c r="E108" s="1049"/>
      <c r="F108" s="1049"/>
      <c r="G108" s="1049"/>
      <c r="H108" s="1049"/>
      <c r="J108" s="1049"/>
    </row>
    <row r="109" spans="1:10" x14ac:dyDescent="0.5">
      <c r="A109" s="1049" t="s">
        <v>549</v>
      </c>
      <c r="B109" s="1076">
        <v>1.75</v>
      </c>
      <c r="C109" s="1049" t="s">
        <v>550</v>
      </c>
      <c r="D109" s="1061" t="s">
        <v>523</v>
      </c>
      <c r="E109" s="1049"/>
      <c r="F109" s="1055">
        <v>18.2</v>
      </c>
      <c r="G109" s="1050" t="s">
        <v>15</v>
      </c>
      <c r="H109" s="1103">
        <f>ROUNDDOWN(B109*F109,2)</f>
        <v>31.85</v>
      </c>
      <c r="I109" s="1050" t="s">
        <v>551</v>
      </c>
    </row>
    <row r="110" spans="1:10" x14ac:dyDescent="0.5">
      <c r="A110" s="1049" t="s">
        <v>552</v>
      </c>
      <c r="B110" s="1050"/>
      <c r="C110" s="1049"/>
      <c r="D110" s="1061"/>
      <c r="E110" s="1049"/>
      <c r="F110" s="1091"/>
      <c r="G110" s="1050" t="s">
        <v>15</v>
      </c>
      <c r="H110" s="1053">
        <f>[4]ข้อมูลราคาวัสดุ!J33</f>
        <v>0</v>
      </c>
      <c r="I110" s="1050" t="s">
        <v>551</v>
      </c>
    </row>
    <row r="111" spans="1:10" x14ac:dyDescent="0.5">
      <c r="A111" s="1049" t="s">
        <v>553</v>
      </c>
      <c r="B111" s="1049"/>
      <c r="C111" s="1054"/>
      <c r="D111" s="1091"/>
      <c r="E111" s="1049"/>
      <c r="F111" s="1049"/>
      <c r="G111" s="1050" t="s">
        <v>15</v>
      </c>
      <c r="H111" s="1057">
        <f>[4]ข้อมูลราคาวัสดุ!J32</f>
        <v>0</v>
      </c>
      <c r="I111" s="1050" t="s">
        <v>551</v>
      </c>
    </row>
    <row r="112" spans="1:10" x14ac:dyDescent="0.5">
      <c r="A112" s="1049" t="s">
        <v>554</v>
      </c>
      <c r="B112" s="1076">
        <v>1.01</v>
      </c>
      <c r="C112" s="1049" t="s">
        <v>550</v>
      </c>
      <c r="D112" s="1061" t="s">
        <v>523</v>
      </c>
      <c r="E112" s="1049"/>
      <c r="F112" s="1055">
        <f>[4]ข้อมูลราคาวัสดุ!J24</f>
        <v>582.84</v>
      </c>
      <c r="G112" s="1050" t="s">
        <v>15</v>
      </c>
      <c r="H112" s="1103">
        <f>ROUNDDOWN(B112*F112,2)</f>
        <v>588.66</v>
      </c>
      <c r="I112" s="1050" t="s">
        <v>551</v>
      </c>
    </row>
    <row r="113" spans="1:12" x14ac:dyDescent="0.5">
      <c r="A113" s="1049" t="s">
        <v>555</v>
      </c>
      <c r="B113" s="1049"/>
      <c r="C113" s="1049"/>
      <c r="D113" s="1049"/>
      <c r="E113" s="1049"/>
      <c r="F113" s="1049"/>
      <c r="G113" s="1050" t="s">
        <v>15</v>
      </c>
      <c r="H113" s="1113"/>
      <c r="I113" s="1050"/>
    </row>
    <row r="114" spans="1:12" x14ac:dyDescent="0.5">
      <c r="A114" s="1049" t="s">
        <v>556</v>
      </c>
      <c r="B114" s="1063"/>
      <c r="C114" s="1114"/>
      <c r="D114" s="1063"/>
      <c r="E114" s="1074"/>
      <c r="F114" s="1115"/>
      <c r="G114" s="1050" t="s">
        <v>15</v>
      </c>
      <c r="H114" s="1116"/>
      <c r="I114" s="1050"/>
    </row>
    <row r="115" spans="1:12" x14ac:dyDescent="0.5">
      <c r="A115" s="1049" t="s">
        <v>557</v>
      </c>
      <c r="B115" s="1076">
        <v>1</v>
      </c>
      <c r="C115" s="1061" t="s">
        <v>558</v>
      </c>
      <c r="D115" s="1076">
        <v>8.1</v>
      </c>
      <c r="E115" s="1049" t="s">
        <v>559</v>
      </c>
      <c r="F115" s="1117" t="s">
        <v>560</v>
      </c>
      <c r="G115" s="1050" t="s">
        <v>15</v>
      </c>
      <c r="H115" s="1118">
        <f>ROUNDDOWN((D115*13)+300,2)</f>
        <v>405.3</v>
      </c>
      <c r="I115" s="1077" t="s">
        <v>561</v>
      </c>
    </row>
    <row r="116" spans="1:12" x14ac:dyDescent="0.5">
      <c r="A116" s="1049" t="s">
        <v>562</v>
      </c>
      <c r="B116" s="1049"/>
      <c r="C116" s="1119" t="s">
        <v>15</v>
      </c>
      <c r="D116" s="1055">
        <f>H115</f>
        <v>405.3</v>
      </c>
      <c r="E116" s="1119" t="s">
        <v>566</v>
      </c>
      <c r="F116" s="1049"/>
      <c r="G116" s="1050" t="s">
        <v>15</v>
      </c>
      <c r="H116" s="1057">
        <f>ROUNDDOWN(H115/24,2)</f>
        <v>16.88</v>
      </c>
      <c r="I116" s="1050" t="s">
        <v>551</v>
      </c>
    </row>
    <row r="117" spans="1:12" x14ac:dyDescent="0.5">
      <c r="A117" s="1049" t="s">
        <v>567</v>
      </c>
      <c r="B117" s="1049"/>
      <c r="C117" s="1049"/>
      <c r="D117" s="1049"/>
      <c r="E117" s="1049"/>
      <c r="F117" s="1049"/>
      <c r="G117" s="1050"/>
      <c r="H117" s="1057">
        <v>345</v>
      </c>
      <c r="I117" s="1050" t="s">
        <v>551</v>
      </c>
    </row>
    <row r="118" spans="1:12" x14ac:dyDescent="0.5">
      <c r="A118" s="1049"/>
      <c r="B118" s="1049"/>
      <c r="C118" s="1049"/>
      <c r="D118" s="1049" t="s">
        <v>500</v>
      </c>
      <c r="E118" s="1049"/>
      <c r="F118" s="1049"/>
      <c r="G118" s="1050" t="s">
        <v>15</v>
      </c>
      <c r="H118" s="1060">
        <f>ROUNDDOWN(SUM(H109+H110+H111+H112+H116+H117),2)</f>
        <v>982.39</v>
      </c>
      <c r="I118" s="1050" t="s">
        <v>551</v>
      </c>
    </row>
    <row r="119" spans="1:12" ht="16.5" thickBot="1" x14ac:dyDescent="0.55000000000000004">
      <c r="A119" s="1049"/>
      <c r="B119" s="1049"/>
      <c r="C119" s="1049"/>
      <c r="D119" s="1049" t="s">
        <v>493</v>
      </c>
      <c r="E119" s="1061"/>
      <c r="F119" s="1049"/>
      <c r="G119" s="1050" t="s">
        <v>15</v>
      </c>
      <c r="H119" s="1062">
        <f>H118</f>
        <v>982.39</v>
      </c>
      <c r="I119" s="1050" t="s">
        <v>551</v>
      </c>
    </row>
    <row r="120" spans="1:12" ht="16.5" thickTop="1" x14ac:dyDescent="0.5">
      <c r="B120" s="1049"/>
      <c r="C120" s="1049"/>
      <c r="D120" s="1049"/>
      <c r="E120" s="1049"/>
      <c r="F120" s="1049"/>
      <c r="G120" s="1049"/>
      <c r="H120" s="1049"/>
      <c r="I120" s="1049"/>
      <c r="J120" s="1049"/>
    </row>
    <row r="122" spans="1:12" x14ac:dyDescent="0.5">
      <c r="A122" s="1048" t="s">
        <v>568</v>
      </c>
      <c r="B122" s="1049"/>
      <c r="C122" s="1049"/>
      <c r="D122" s="1049"/>
      <c r="E122" s="1049"/>
      <c r="F122" s="1049"/>
      <c r="G122" s="1049"/>
    </row>
    <row r="123" spans="1:12" x14ac:dyDescent="0.5">
      <c r="A123" s="1046" t="s">
        <v>569</v>
      </c>
      <c r="D123" s="1076">
        <f>ROUNDDOWN(2.1*2.1*1.7,2)</f>
        <v>7.49</v>
      </c>
      <c r="E123" s="1080" t="s">
        <v>34</v>
      </c>
      <c r="G123" s="1080" t="s">
        <v>523</v>
      </c>
      <c r="H123" s="1055">
        <v>18.2</v>
      </c>
      <c r="I123" s="1046" t="s">
        <v>4</v>
      </c>
      <c r="J123" s="1050" t="s">
        <v>289</v>
      </c>
      <c r="K123" s="1107">
        <f t="shared" ref="K123:K131" si="1">ROUNDDOWN(D123*H123,2)</f>
        <v>136.31</v>
      </c>
      <c r="L123" s="1050" t="s">
        <v>47</v>
      </c>
    </row>
    <row r="124" spans="1:12" x14ac:dyDescent="0.5">
      <c r="A124" s="1046" t="s">
        <v>456</v>
      </c>
      <c r="D124" s="1076">
        <v>7.0000000000000007E-2</v>
      </c>
      <c r="E124" s="1080" t="s">
        <v>34</v>
      </c>
      <c r="G124" s="1080" t="s">
        <v>523</v>
      </c>
      <c r="H124" s="1055">
        <f>[4]ข้อมูลราคาวัสดุ!J23</f>
        <v>543.62</v>
      </c>
      <c r="I124" s="1046" t="s">
        <v>4</v>
      </c>
      <c r="J124" s="1050" t="s">
        <v>289</v>
      </c>
      <c r="K124" s="1107">
        <f t="shared" si="1"/>
        <v>38.049999999999997</v>
      </c>
      <c r="L124" s="1050" t="s">
        <v>47</v>
      </c>
    </row>
    <row r="125" spans="1:12" x14ac:dyDescent="0.5">
      <c r="A125" s="1046" t="s">
        <v>570</v>
      </c>
      <c r="D125" s="1076">
        <f>ROUNDDOWN(1.1*1.1*0.05,2)</f>
        <v>0.06</v>
      </c>
      <c r="E125" s="1080" t="s">
        <v>34</v>
      </c>
      <c r="G125" s="1080" t="s">
        <v>523</v>
      </c>
      <c r="H125" s="1106">
        <f>[4]ข้อมูลคอนกรีต!M54</f>
        <v>1623.34</v>
      </c>
      <c r="I125" s="1046" t="s">
        <v>4</v>
      </c>
      <c r="J125" s="1050" t="s">
        <v>289</v>
      </c>
      <c r="K125" s="1107">
        <f t="shared" si="1"/>
        <v>97.4</v>
      </c>
      <c r="L125" s="1050" t="s">
        <v>47</v>
      </c>
    </row>
    <row r="126" spans="1:12" x14ac:dyDescent="0.5">
      <c r="A126" s="1046" t="s">
        <v>571</v>
      </c>
      <c r="D126" s="1076">
        <v>1.1000000000000001</v>
      </c>
      <c r="E126" s="1080" t="s">
        <v>34</v>
      </c>
      <c r="G126" s="1080" t="s">
        <v>523</v>
      </c>
      <c r="H126" s="1106">
        <f>[4]ข้อมูลคอนกรีต!K21</f>
        <v>2007.05</v>
      </c>
      <c r="I126" s="1046" t="s">
        <v>4</v>
      </c>
      <c r="J126" s="1050" t="s">
        <v>289</v>
      </c>
      <c r="K126" s="1107">
        <f t="shared" si="1"/>
        <v>2207.75</v>
      </c>
      <c r="L126" s="1050" t="s">
        <v>47</v>
      </c>
    </row>
    <row r="127" spans="1:12" x14ac:dyDescent="0.5">
      <c r="A127" s="1046" t="s">
        <v>572</v>
      </c>
      <c r="D127" s="1055">
        <v>35.380000000000003</v>
      </c>
      <c r="E127" s="1080" t="s">
        <v>399</v>
      </c>
      <c r="G127" s="1080" t="s">
        <v>523</v>
      </c>
      <c r="H127" s="1055">
        <f>ROUNDDOWN([4]ข้อมูลราคาวัสดุ!J13/1000,2)</f>
        <v>30.4</v>
      </c>
      <c r="I127" s="1046" t="s">
        <v>536</v>
      </c>
      <c r="J127" s="1050" t="s">
        <v>289</v>
      </c>
      <c r="K127" s="1107">
        <f>ROUNDDOWN(D127*H127,2)</f>
        <v>1075.55</v>
      </c>
      <c r="L127" s="1050" t="s">
        <v>47</v>
      </c>
    </row>
    <row r="128" spans="1:12" x14ac:dyDescent="0.5">
      <c r="A128" s="1046" t="s">
        <v>448</v>
      </c>
      <c r="D128" s="1076">
        <v>0.88</v>
      </c>
      <c r="E128" s="1080" t="s">
        <v>399</v>
      </c>
      <c r="G128" s="1080" t="s">
        <v>523</v>
      </c>
      <c r="H128" s="1055">
        <f>[4]ข้อมูลราคาวัสดุ!J18</f>
        <v>41.12</v>
      </c>
      <c r="I128" s="1046" t="s">
        <v>536</v>
      </c>
      <c r="J128" s="1050" t="s">
        <v>289</v>
      </c>
      <c r="K128" s="1107">
        <f t="shared" si="1"/>
        <v>36.18</v>
      </c>
      <c r="L128" s="1050" t="s">
        <v>47</v>
      </c>
    </row>
    <row r="129" spans="1:12" x14ac:dyDescent="0.5">
      <c r="A129" s="1046" t="s">
        <v>573</v>
      </c>
      <c r="D129" s="1076">
        <v>11.02</v>
      </c>
      <c r="E129" s="1080" t="s">
        <v>33</v>
      </c>
      <c r="G129" s="1080" t="s">
        <v>523</v>
      </c>
      <c r="H129" s="1120">
        <f>[4]ไม้แบบ!I12</f>
        <v>359.65</v>
      </c>
      <c r="I129" s="1046" t="s">
        <v>126</v>
      </c>
      <c r="J129" s="1050" t="s">
        <v>289</v>
      </c>
      <c r="K129" s="1107">
        <f t="shared" si="1"/>
        <v>3963.34</v>
      </c>
      <c r="L129" s="1050" t="s">
        <v>47</v>
      </c>
    </row>
    <row r="130" spans="1:12" x14ac:dyDescent="0.5">
      <c r="A130" s="1046" t="s">
        <v>574</v>
      </c>
      <c r="D130" s="1076">
        <v>1.5</v>
      </c>
      <c r="E130" s="1080" t="s">
        <v>400</v>
      </c>
      <c r="G130" s="1080" t="s">
        <v>523</v>
      </c>
      <c r="H130" s="1055">
        <f>[4]ข้อมูลราคาวัสดุ!J29</f>
        <v>528.04</v>
      </c>
      <c r="I130" s="1046" t="s">
        <v>575</v>
      </c>
      <c r="J130" s="1050" t="s">
        <v>289</v>
      </c>
      <c r="K130" s="1107">
        <f t="shared" si="1"/>
        <v>792.06</v>
      </c>
      <c r="L130" s="1050" t="s">
        <v>47</v>
      </c>
    </row>
    <row r="131" spans="1:12" x14ac:dyDescent="0.5">
      <c r="A131" s="1046" t="s">
        <v>576</v>
      </c>
      <c r="D131" s="1076">
        <v>0.05</v>
      </c>
      <c r="E131" s="1080" t="s">
        <v>400</v>
      </c>
      <c r="G131" s="1080" t="s">
        <v>523</v>
      </c>
      <c r="H131" s="1055">
        <f>[4]ข้อมูลราคาวัสดุ!J30</f>
        <v>0</v>
      </c>
      <c r="I131" s="1046" t="s">
        <v>575</v>
      </c>
      <c r="J131" s="1050" t="s">
        <v>289</v>
      </c>
      <c r="K131" s="1107">
        <f t="shared" si="1"/>
        <v>0</v>
      </c>
      <c r="L131" s="1050" t="s">
        <v>47</v>
      </c>
    </row>
    <row r="132" spans="1:12" ht="16.5" thickBot="1" x14ac:dyDescent="0.55000000000000004">
      <c r="A132" s="1046" t="s">
        <v>577</v>
      </c>
      <c r="J132" s="1050" t="s">
        <v>289</v>
      </c>
      <c r="K132" s="1062">
        <f>ROUNDDOWN(SUM(K123:K131),2)</f>
        <v>8346.64</v>
      </c>
      <c r="L132" s="1050" t="s">
        <v>47</v>
      </c>
    </row>
    <row r="133" spans="1:12" ht="16.5" thickTop="1" x14ac:dyDescent="0.5">
      <c r="J133" s="1050"/>
      <c r="K133" s="1053"/>
      <c r="L133" s="1050"/>
    </row>
    <row r="134" spans="1:12" x14ac:dyDescent="0.5">
      <c r="J134" s="1050"/>
      <c r="K134" s="1053"/>
      <c r="L134" s="1050"/>
    </row>
    <row r="135" spans="1:12" x14ac:dyDescent="0.5">
      <c r="J135" s="1050"/>
      <c r="K135" s="1053"/>
      <c r="L135" s="1050"/>
    </row>
    <row r="136" spans="1:12" x14ac:dyDescent="0.5">
      <c r="J136" s="1050"/>
      <c r="K136" s="1053"/>
    </row>
    <row r="138" spans="1:12" x14ac:dyDescent="0.5">
      <c r="A138" s="1048" t="s">
        <v>578</v>
      </c>
      <c r="B138" s="1049"/>
      <c r="C138" s="1049"/>
      <c r="D138" s="1049"/>
      <c r="E138" s="1049"/>
      <c r="F138" s="1049"/>
      <c r="G138" s="1049"/>
    </row>
    <row r="139" spans="1:12" x14ac:dyDescent="0.5">
      <c r="A139" s="1046" t="s">
        <v>579</v>
      </c>
      <c r="D139" s="1076">
        <v>0.09</v>
      </c>
      <c r="E139" s="1080" t="s">
        <v>34</v>
      </c>
      <c r="G139" s="1080" t="s">
        <v>523</v>
      </c>
      <c r="H139" s="1106">
        <f>[4]ข้อมูลคอนกรีต!K54</f>
        <v>1738.07</v>
      </c>
      <c r="I139" s="1046" t="s">
        <v>4</v>
      </c>
      <c r="J139" s="1050" t="s">
        <v>289</v>
      </c>
      <c r="K139" s="1107">
        <f t="shared" ref="K139" si="2">ROUNDDOWN(D139*H139,2)</f>
        <v>156.41999999999999</v>
      </c>
      <c r="L139" s="1050" t="s">
        <v>47</v>
      </c>
    </row>
    <row r="140" spans="1:12" x14ac:dyDescent="0.5">
      <c r="A140" s="1046" t="s">
        <v>580</v>
      </c>
      <c r="D140" s="1055">
        <v>4.8</v>
      </c>
      <c r="E140" s="1080" t="s">
        <v>399</v>
      </c>
      <c r="G140" s="1080" t="s">
        <v>523</v>
      </c>
      <c r="H140" s="1055">
        <f>ROUNDDOWN([4]ข้อมูลราคาวัสดุ!J13/1000,2)</f>
        <v>30.4</v>
      </c>
      <c r="I140" s="1046" t="s">
        <v>536</v>
      </c>
      <c r="J140" s="1050" t="s">
        <v>289</v>
      </c>
      <c r="K140" s="1107">
        <f>ROUNDDOWN(D140*H140,2)</f>
        <v>145.91999999999999</v>
      </c>
      <c r="L140" s="1050" t="s">
        <v>47</v>
      </c>
    </row>
    <row r="141" spans="1:12" x14ac:dyDescent="0.5">
      <c r="A141" s="1046" t="s">
        <v>581</v>
      </c>
      <c r="D141" s="1055">
        <v>2.17</v>
      </c>
      <c r="E141" s="1080" t="s">
        <v>399</v>
      </c>
      <c r="G141" s="1080" t="s">
        <v>523</v>
      </c>
      <c r="H141" s="1055">
        <f>ROUNDDOWN([4]ข้อมูลราคาวัสดุ!J13/1000,2)</f>
        <v>30.4</v>
      </c>
      <c r="I141" s="1046" t="s">
        <v>536</v>
      </c>
      <c r="J141" s="1050" t="s">
        <v>289</v>
      </c>
      <c r="K141" s="1107">
        <f>ROUNDDOWN(D141*H141,2)</f>
        <v>65.959999999999994</v>
      </c>
      <c r="L141" s="1050" t="s">
        <v>47</v>
      </c>
    </row>
    <row r="142" spans="1:12" x14ac:dyDescent="0.5">
      <c r="A142" s="1046" t="s">
        <v>448</v>
      </c>
      <c r="D142" s="1076">
        <v>0.17</v>
      </c>
      <c r="E142" s="1080" t="s">
        <v>399</v>
      </c>
      <c r="G142" s="1080" t="s">
        <v>523</v>
      </c>
      <c r="H142" s="1055">
        <f>[4]ข้อมูลราคาวัสดุ!J18</f>
        <v>41.12</v>
      </c>
      <c r="I142" s="1046" t="s">
        <v>536</v>
      </c>
      <c r="J142" s="1050" t="s">
        <v>289</v>
      </c>
      <c r="K142" s="1107">
        <f t="shared" ref="K142:K145" si="3">ROUNDDOWN(D142*H142,2)</f>
        <v>6.99</v>
      </c>
      <c r="L142" s="1050" t="s">
        <v>47</v>
      </c>
    </row>
    <row r="143" spans="1:12" x14ac:dyDescent="0.5">
      <c r="A143" s="1046" t="s">
        <v>573</v>
      </c>
      <c r="D143" s="1076">
        <v>0.15</v>
      </c>
      <c r="E143" s="1080" t="s">
        <v>33</v>
      </c>
      <c r="G143" s="1080" t="s">
        <v>523</v>
      </c>
      <c r="H143" s="1120">
        <f>[4]ไม้แบบ!I24</f>
        <v>316.32</v>
      </c>
      <c r="I143" s="1046" t="s">
        <v>126</v>
      </c>
      <c r="J143" s="1050" t="s">
        <v>289</v>
      </c>
      <c r="K143" s="1107">
        <f t="shared" si="3"/>
        <v>47.44</v>
      </c>
      <c r="L143" s="1050" t="s">
        <v>47</v>
      </c>
    </row>
    <row r="144" spans="1:12" x14ac:dyDescent="0.5">
      <c r="A144" s="1046" t="s">
        <v>582</v>
      </c>
      <c r="D144" s="1055">
        <v>0.96</v>
      </c>
      <c r="E144" s="1080" t="s">
        <v>399</v>
      </c>
      <c r="G144" s="1080" t="s">
        <v>523</v>
      </c>
      <c r="H144" s="1055">
        <f>ROUNDDOWN([4]ข้อมูลราคาวัสดุ!J15/1000,2)</f>
        <v>28.66</v>
      </c>
      <c r="I144" s="1046" t="s">
        <v>536</v>
      </c>
      <c r="J144" s="1050" t="s">
        <v>289</v>
      </c>
      <c r="K144" s="1107">
        <f>ROUNDDOWN(D144*H144,2)</f>
        <v>27.51</v>
      </c>
      <c r="L144" s="1050" t="s">
        <v>47</v>
      </c>
    </row>
    <row r="145" spans="1:12" x14ac:dyDescent="0.5">
      <c r="A145" s="1046" t="s">
        <v>583</v>
      </c>
      <c r="D145" s="1076">
        <v>0.375</v>
      </c>
      <c r="E145" s="1080" t="s">
        <v>540</v>
      </c>
      <c r="G145" s="1080" t="s">
        <v>523</v>
      </c>
      <c r="H145" s="1055">
        <v>45</v>
      </c>
      <c r="I145" s="1046" t="s">
        <v>66</v>
      </c>
      <c r="J145" s="1050" t="s">
        <v>289</v>
      </c>
      <c r="K145" s="1107">
        <f t="shared" si="3"/>
        <v>16.87</v>
      </c>
      <c r="L145" s="1050" t="s">
        <v>47</v>
      </c>
    </row>
    <row r="146" spans="1:12" ht="16.5" thickBot="1" x14ac:dyDescent="0.55000000000000004">
      <c r="A146" s="1046" t="s">
        <v>584</v>
      </c>
      <c r="J146" s="1050" t="s">
        <v>289</v>
      </c>
      <c r="K146" s="1062">
        <f>ROUNDDOWN(SUM(K139:K145),2)</f>
        <v>467.11</v>
      </c>
      <c r="L146" s="1050" t="s">
        <v>47</v>
      </c>
    </row>
    <row r="147" spans="1:12" ht="16.5" thickTop="1" x14ac:dyDescent="0.5"/>
  </sheetData>
  <mergeCells count="6">
    <mergeCell ref="G59:H59"/>
    <mergeCell ref="A1:K1"/>
    <mergeCell ref="D49:E49"/>
    <mergeCell ref="G49:H49"/>
    <mergeCell ref="G55:H55"/>
    <mergeCell ref="G58:H58"/>
  </mergeCells>
  <conditionalFormatting sqref="G46 J46">
    <cfRule type="cellIs" dxfId="0" priority="1" stopIfTrue="1" operator="equal">
      <formula>0</formula>
    </cfRule>
  </conditionalFormatting>
  <dataValidations count="1">
    <dataValidation allowBlank="1" showInputMessage="1" showErrorMessage="1" prompt="จากบัญชีค่าดำเนินการค่าเสื่อมราคา" sqref="D49:D50 H60:H63" xr:uid="{00000000-0002-0000-1200-000000000000}"/>
  </dataValidations>
  <pageMargins left="0.7" right="0.7" top="0.75" bottom="0.75" header="0.3" footer="0.3"/>
  <pageSetup paperSize="9" scale="76" orientation="portrait" horizontalDpi="0" verticalDpi="0" r:id="rId1"/>
  <rowBreaks count="3" manualBreakCount="3">
    <brk id="35" max="11" man="1"/>
    <brk id="70" max="11" man="1"/>
    <brk id="93" max="11" man="1"/>
  </rowBreaks>
  <colBreaks count="1" manualBreakCount="1">
    <brk id="1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06"/>
  <sheetViews>
    <sheetView topLeftCell="I16" workbookViewId="0">
      <selection activeCell="T29" sqref="T29"/>
    </sheetView>
  </sheetViews>
  <sheetFormatPr defaultColWidth="9.140625" defaultRowHeight="21" x14ac:dyDescent="0.45"/>
  <cols>
    <col min="1" max="7" width="9.140625" style="1"/>
    <col min="8" max="21" width="9.140625" style="1" customWidth="1"/>
    <col min="22" max="30" width="9.140625" style="1" hidden="1" customWidth="1"/>
    <col min="31" max="47" width="9.140625" style="1"/>
    <col min="48" max="48" width="9.28515625" style="1" bestFit="1" customWidth="1"/>
    <col min="49" max="16384" width="9.140625" style="1"/>
  </cols>
  <sheetData>
    <row r="1" spans="1:61" ht="24" thickBot="1" x14ac:dyDescent="0.55000000000000004">
      <c r="A1" s="18" t="s">
        <v>162</v>
      </c>
      <c r="H1" s="18"/>
      <c r="I1" s="18"/>
      <c r="J1" s="18"/>
      <c r="K1" s="1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D1" s="2"/>
      <c r="AE1" s="2"/>
      <c r="AF1" s="18" t="s">
        <v>163</v>
      </c>
      <c r="AG1" s="2"/>
      <c r="AH1" s="2"/>
      <c r="AI1" s="2"/>
      <c r="AJ1" s="2"/>
      <c r="AK1" s="2"/>
      <c r="AL1" s="2"/>
      <c r="AM1" s="18"/>
      <c r="AN1" s="18"/>
      <c r="AO1" s="18"/>
      <c r="AP1" s="18"/>
      <c r="AQ1" s="18"/>
      <c r="AR1" s="2"/>
      <c r="AS1" s="2"/>
      <c r="AT1" s="2"/>
      <c r="BE1" s="2"/>
      <c r="BF1" s="2"/>
      <c r="BG1" s="2"/>
      <c r="BH1" s="2"/>
    </row>
    <row r="2" spans="1:61" x14ac:dyDescent="0.45">
      <c r="A2" s="7" t="s">
        <v>64</v>
      </c>
      <c r="B2" s="7" t="s">
        <v>64</v>
      </c>
      <c r="C2" s="7" t="s">
        <v>64</v>
      </c>
      <c r="D2" s="7" t="s">
        <v>64</v>
      </c>
      <c r="E2" s="7" t="s">
        <v>64</v>
      </c>
      <c r="F2" s="7" t="s">
        <v>64</v>
      </c>
      <c r="G2" s="7" t="s">
        <v>64</v>
      </c>
      <c r="H2" s="7" t="s">
        <v>64</v>
      </c>
      <c r="I2" s="8" t="s">
        <v>64</v>
      </c>
      <c r="J2" s="8" t="s">
        <v>64</v>
      </c>
      <c r="K2" s="9" t="s">
        <v>64</v>
      </c>
      <c r="L2" s="8" t="s">
        <v>64</v>
      </c>
      <c r="M2" s="32" t="s">
        <v>64</v>
      </c>
      <c r="N2" s="32" t="s">
        <v>64</v>
      </c>
      <c r="O2" s="32" t="s">
        <v>64</v>
      </c>
      <c r="P2" s="32" t="s">
        <v>64</v>
      </c>
      <c r="Q2" s="32" t="s">
        <v>64</v>
      </c>
      <c r="R2" s="32" t="s">
        <v>64</v>
      </c>
      <c r="S2" s="32" t="s">
        <v>64</v>
      </c>
      <c r="T2" s="8" t="s">
        <v>64</v>
      </c>
      <c r="U2" s="8" t="s">
        <v>64</v>
      </c>
      <c r="V2" s="8" t="s">
        <v>64</v>
      </c>
      <c r="W2" s="8" t="s">
        <v>64</v>
      </c>
      <c r="X2" s="8" t="s">
        <v>64</v>
      </c>
      <c r="Y2" s="30" t="s">
        <v>64</v>
      </c>
      <c r="Z2" s="30" t="s">
        <v>64</v>
      </c>
      <c r="AA2" s="30" t="s">
        <v>64</v>
      </c>
      <c r="AB2" s="30" t="s">
        <v>64</v>
      </c>
      <c r="AC2" s="30" t="s">
        <v>64</v>
      </c>
      <c r="AD2" s="30" t="s">
        <v>64</v>
      </c>
      <c r="AE2" s="3" t="s">
        <v>5</v>
      </c>
      <c r="AF2" s="7" t="s">
        <v>64</v>
      </c>
      <c r="AG2" s="7" t="s">
        <v>64</v>
      </c>
      <c r="AH2" s="7" t="s">
        <v>64</v>
      </c>
      <c r="AI2" s="7" t="s">
        <v>64</v>
      </c>
      <c r="AJ2" s="7" t="s">
        <v>64</v>
      </c>
      <c r="AK2" s="7" t="s">
        <v>64</v>
      </c>
      <c r="AL2" s="7" t="s">
        <v>64</v>
      </c>
      <c r="AM2" s="7" t="s">
        <v>64</v>
      </c>
      <c r="AN2" s="8" t="s">
        <v>64</v>
      </c>
      <c r="AO2" s="8" t="s">
        <v>64</v>
      </c>
      <c r="AP2" s="9" t="s">
        <v>64</v>
      </c>
      <c r="AQ2" s="9" t="s">
        <v>64</v>
      </c>
      <c r="AR2" s="32" t="s">
        <v>64</v>
      </c>
      <c r="AS2" s="32" t="s">
        <v>64</v>
      </c>
      <c r="AT2" s="32" t="s">
        <v>64</v>
      </c>
      <c r="AU2" s="32" t="s">
        <v>64</v>
      </c>
      <c r="AV2" s="32" t="s">
        <v>64</v>
      </c>
      <c r="AW2" s="32" t="s">
        <v>64</v>
      </c>
      <c r="AX2" s="32" t="s">
        <v>64</v>
      </c>
      <c r="AY2" s="8" t="s">
        <v>64</v>
      </c>
      <c r="AZ2" s="8" t="s">
        <v>64</v>
      </c>
      <c r="BA2" s="8" t="s">
        <v>64</v>
      </c>
      <c r="BB2" s="8" t="s">
        <v>64</v>
      </c>
      <c r="BC2" s="8" t="s">
        <v>64</v>
      </c>
      <c r="BD2" s="30" t="s">
        <v>64</v>
      </c>
      <c r="BE2" s="30" t="s">
        <v>64</v>
      </c>
      <c r="BF2" s="30" t="s">
        <v>64</v>
      </c>
      <c r="BG2" s="30" t="s">
        <v>64</v>
      </c>
      <c r="BH2" s="30" t="s">
        <v>64</v>
      </c>
      <c r="BI2" s="30" t="s">
        <v>64</v>
      </c>
    </row>
    <row r="3" spans="1:61" ht="21.75" thickBot="1" x14ac:dyDescent="0.5">
      <c r="A3" s="10" t="s">
        <v>9</v>
      </c>
      <c r="B3" s="10" t="s">
        <v>9</v>
      </c>
      <c r="C3" s="10" t="s">
        <v>9</v>
      </c>
      <c r="D3" s="10" t="s">
        <v>9</v>
      </c>
      <c r="E3" s="10" t="s">
        <v>9</v>
      </c>
      <c r="F3" s="10" t="s">
        <v>9</v>
      </c>
      <c r="G3" s="10" t="s">
        <v>9</v>
      </c>
      <c r="H3" s="10" t="s">
        <v>9</v>
      </c>
      <c r="I3" s="11" t="s">
        <v>9</v>
      </c>
      <c r="J3" s="11" t="s">
        <v>9</v>
      </c>
      <c r="K3" s="12" t="s">
        <v>9</v>
      </c>
      <c r="L3" s="11" t="s">
        <v>9</v>
      </c>
      <c r="M3" s="33" t="s">
        <v>9</v>
      </c>
      <c r="N3" s="33" t="s">
        <v>9</v>
      </c>
      <c r="O3" s="33" t="s">
        <v>9</v>
      </c>
      <c r="P3" s="33" t="s">
        <v>9</v>
      </c>
      <c r="Q3" s="33" t="s">
        <v>9</v>
      </c>
      <c r="R3" s="33" t="s">
        <v>9</v>
      </c>
      <c r="S3" s="33" t="s">
        <v>9</v>
      </c>
      <c r="T3" s="11" t="s">
        <v>9</v>
      </c>
      <c r="U3" s="11" t="s">
        <v>9</v>
      </c>
      <c r="V3" s="11" t="s">
        <v>9</v>
      </c>
      <c r="W3" s="11" t="s">
        <v>9</v>
      </c>
      <c r="X3" s="11" t="s">
        <v>9</v>
      </c>
      <c r="Y3" s="31" t="s">
        <v>9</v>
      </c>
      <c r="Z3" s="31" t="s">
        <v>9</v>
      </c>
      <c r="AA3" s="31" t="s">
        <v>9</v>
      </c>
      <c r="AB3" s="31" t="s">
        <v>9</v>
      </c>
      <c r="AC3" s="31" t="s">
        <v>9</v>
      </c>
      <c r="AD3" s="31" t="s">
        <v>9</v>
      </c>
      <c r="AE3" s="4" t="s">
        <v>44</v>
      </c>
      <c r="AF3" s="10" t="s">
        <v>9</v>
      </c>
      <c r="AG3" s="10" t="s">
        <v>9</v>
      </c>
      <c r="AH3" s="10" t="s">
        <v>9</v>
      </c>
      <c r="AI3" s="10" t="s">
        <v>9</v>
      </c>
      <c r="AJ3" s="10" t="s">
        <v>9</v>
      </c>
      <c r="AK3" s="10" t="s">
        <v>9</v>
      </c>
      <c r="AL3" s="10" t="s">
        <v>9</v>
      </c>
      <c r="AM3" s="10" t="s">
        <v>9</v>
      </c>
      <c r="AN3" s="11" t="s">
        <v>9</v>
      </c>
      <c r="AO3" s="11" t="s">
        <v>9</v>
      </c>
      <c r="AP3" s="12" t="s">
        <v>9</v>
      </c>
      <c r="AQ3" s="12" t="s">
        <v>9</v>
      </c>
      <c r="AR3" s="33" t="s">
        <v>9</v>
      </c>
      <c r="AS3" s="33" t="s">
        <v>9</v>
      </c>
      <c r="AT3" s="33" t="s">
        <v>9</v>
      </c>
      <c r="AU3" s="33" t="s">
        <v>9</v>
      </c>
      <c r="AV3" s="33" t="s">
        <v>9</v>
      </c>
      <c r="AW3" s="33" t="s">
        <v>9</v>
      </c>
      <c r="AX3" s="33" t="s">
        <v>9</v>
      </c>
      <c r="AY3" s="11" t="s">
        <v>9</v>
      </c>
      <c r="AZ3" s="11" t="s">
        <v>9</v>
      </c>
      <c r="BA3" s="11" t="s">
        <v>9</v>
      </c>
      <c r="BB3" s="11" t="s">
        <v>9</v>
      </c>
      <c r="BC3" s="11" t="s">
        <v>9</v>
      </c>
      <c r="BD3" s="31" t="s">
        <v>9</v>
      </c>
      <c r="BE3" s="31" t="s">
        <v>9</v>
      </c>
      <c r="BF3" s="31" t="s">
        <v>9</v>
      </c>
      <c r="BG3" s="31" t="s">
        <v>9</v>
      </c>
      <c r="BH3" s="31" t="s">
        <v>9</v>
      </c>
      <c r="BI3" s="31" t="s">
        <v>9</v>
      </c>
    </row>
    <row r="4" spans="1:61" ht="21.75" thickBot="1" x14ac:dyDescent="0.5">
      <c r="A4" s="34">
        <v>15.5</v>
      </c>
      <c r="B4" s="34">
        <v>16.5</v>
      </c>
      <c r="C4" s="34">
        <v>17.5</v>
      </c>
      <c r="D4" s="34">
        <v>18.5</v>
      </c>
      <c r="E4" s="34">
        <v>19.5</v>
      </c>
      <c r="F4" s="34">
        <v>20.5</v>
      </c>
      <c r="G4" s="34">
        <v>21.5</v>
      </c>
      <c r="H4" s="35">
        <v>22.5</v>
      </c>
      <c r="I4" s="36">
        <v>23.5</v>
      </c>
      <c r="J4" s="49">
        <v>24.5</v>
      </c>
      <c r="K4" s="49">
        <v>25.5</v>
      </c>
      <c r="L4" s="49">
        <v>26.5</v>
      </c>
      <c r="M4" s="49">
        <v>27.5</v>
      </c>
      <c r="N4" s="49">
        <v>28.5</v>
      </c>
      <c r="O4" s="55">
        <v>29.5</v>
      </c>
      <c r="P4" s="35">
        <v>30.5</v>
      </c>
      <c r="Q4" s="36">
        <v>31.5</v>
      </c>
      <c r="R4" s="49">
        <v>32.5</v>
      </c>
      <c r="S4" s="49">
        <v>33.5</v>
      </c>
      <c r="T4" s="49">
        <v>34.5</v>
      </c>
      <c r="U4" s="49">
        <v>35.5</v>
      </c>
      <c r="V4" s="16">
        <v>36.5</v>
      </c>
      <c r="W4" s="16">
        <v>37.5</v>
      </c>
      <c r="X4" s="16">
        <v>38.5</v>
      </c>
      <c r="Y4" s="16">
        <v>39.5</v>
      </c>
      <c r="Z4" s="16">
        <v>21.5</v>
      </c>
      <c r="AA4" s="16">
        <v>20.5</v>
      </c>
      <c r="AB4" s="16">
        <v>19.5</v>
      </c>
      <c r="AC4" s="16">
        <v>18.5</v>
      </c>
      <c r="AD4" s="16">
        <v>17.5</v>
      </c>
      <c r="AE4" s="13"/>
      <c r="AF4" s="35">
        <v>15.5</v>
      </c>
      <c r="AG4" s="35">
        <v>16.5</v>
      </c>
      <c r="AH4" s="35">
        <v>17.5</v>
      </c>
      <c r="AI4" s="35">
        <v>18.5</v>
      </c>
      <c r="AJ4" s="35">
        <v>19.5</v>
      </c>
      <c r="AK4" s="35">
        <v>20.5</v>
      </c>
      <c r="AL4" s="35">
        <v>21.5</v>
      </c>
      <c r="AM4" s="35">
        <v>22.5</v>
      </c>
      <c r="AN4" s="36">
        <v>23.5</v>
      </c>
      <c r="AO4" s="49">
        <v>24.5</v>
      </c>
      <c r="AP4" s="36">
        <v>25.5</v>
      </c>
      <c r="AQ4" s="49">
        <v>26.5</v>
      </c>
      <c r="AR4" s="49">
        <v>27.5</v>
      </c>
      <c r="AS4" s="49">
        <v>28.5</v>
      </c>
      <c r="AT4" s="55">
        <v>29.5</v>
      </c>
      <c r="AU4" s="35">
        <v>30.5</v>
      </c>
      <c r="AV4" s="36">
        <v>31.5</v>
      </c>
      <c r="AW4" s="36">
        <v>32.5</v>
      </c>
      <c r="AX4" s="36">
        <v>33.5</v>
      </c>
      <c r="AY4" s="36">
        <v>34.5</v>
      </c>
      <c r="AZ4" s="36">
        <v>35.5</v>
      </c>
      <c r="BA4" s="15">
        <v>36.5</v>
      </c>
      <c r="BB4" s="15">
        <v>37.5</v>
      </c>
      <c r="BC4" s="15">
        <v>38.5</v>
      </c>
      <c r="BD4" s="15">
        <v>39.5</v>
      </c>
      <c r="BE4" s="15">
        <v>21.5</v>
      </c>
      <c r="BF4" s="15">
        <v>20.5</v>
      </c>
      <c r="BG4" s="15">
        <v>19.5</v>
      </c>
      <c r="BH4" s="15">
        <v>18.5</v>
      </c>
      <c r="BI4" s="15">
        <v>17.5</v>
      </c>
    </row>
    <row r="5" spans="1:61" x14ac:dyDescent="0.45">
      <c r="A5" s="37">
        <v>7.59</v>
      </c>
      <c r="B5" s="37">
        <v>7.63</v>
      </c>
      <c r="C5" s="37">
        <v>7.67</v>
      </c>
      <c r="D5" s="37">
        <v>7.7</v>
      </c>
      <c r="E5" s="37">
        <v>7.74</v>
      </c>
      <c r="F5" s="37">
        <v>7.78</v>
      </c>
      <c r="G5" s="37">
        <v>7.81</v>
      </c>
      <c r="H5" s="37">
        <v>7.85</v>
      </c>
      <c r="I5" s="38">
        <v>7.89</v>
      </c>
      <c r="J5" s="50">
        <v>7.92</v>
      </c>
      <c r="K5" s="50">
        <v>7.96</v>
      </c>
      <c r="L5" s="38">
        <v>7.99</v>
      </c>
      <c r="M5" s="38">
        <v>8.0299999999999994</v>
      </c>
      <c r="N5" s="38">
        <v>8.07</v>
      </c>
      <c r="O5" s="56">
        <v>8.1</v>
      </c>
      <c r="P5" s="62">
        <v>8.14</v>
      </c>
      <c r="Q5" s="62">
        <v>8.18</v>
      </c>
      <c r="R5" s="62">
        <v>8.2100000000000009</v>
      </c>
      <c r="S5" s="62">
        <v>8.25</v>
      </c>
      <c r="T5" s="62">
        <v>8.2899999999999991</v>
      </c>
      <c r="U5" s="62">
        <v>8.32</v>
      </c>
      <c r="V5" s="21">
        <v>5.5</v>
      </c>
      <c r="W5" s="21">
        <v>5.54</v>
      </c>
      <c r="X5" s="21">
        <v>5.58</v>
      </c>
      <c r="Y5" s="21">
        <v>5.61</v>
      </c>
      <c r="Z5" s="21">
        <v>4.96</v>
      </c>
      <c r="AA5" s="21">
        <v>4.92</v>
      </c>
      <c r="AB5" s="21">
        <v>4.8899999999999997</v>
      </c>
      <c r="AC5" s="21">
        <v>4.8499999999999996</v>
      </c>
      <c r="AD5" s="21">
        <v>4.8099999999999996</v>
      </c>
      <c r="AE5" s="14">
        <v>1</v>
      </c>
      <c r="AF5" s="68">
        <v>4.12</v>
      </c>
      <c r="AG5" s="68">
        <v>4.1399999999999997</v>
      </c>
      <c r="AH5" s="68">
        <v>4.17</v>
      </c>
      <c r="AI5" s="68">
        <v>4.1900000000000004</v>
      </c>
      <c r="AJ5" s="68">
        <v>4.22</v>
      </c>
      <c r="AK5" s="68">
        <v>4.24</v>
      </c>
      <c r="AL5" s="68">
        <v>4.2699999999999996</v>
      </c>
      <c r="AM5" s="68">
        <v>4.3</v>
      </c>
      <c r="AN5" s="69">
        <v>4.32</v>
      </c>
      <c r="AO5" s="70">
        <v>4.3499999999999996</v>
      </c>
      <c r="AP5" s="70">
        <v>4.37</v>
      </c>
      <c r="AQ5" s="69">
        <v>4.4000000000000004</v>
      </c>
      <c r="AR5" s="69">
        <v>4.42</v>
      </c>
      <c r="AS5" s="71">
        <v>4.45</v>
      </c>
      <c r="AT5" s="74">
        <v>4.4800000000000004</v>
      </c>
      <c r="AU5" s="62">
        <v>4.5</v>
      </c>
      <c r="AV5" s="62">
        <v>4.53</v>
      </c>
      <c r="AW5" s="62">
        <v>4.55</v>
      </c>
      <c r="AX5" s="62">
        <v>4.58</v>
      </c>
      <c r="AY5" s="62">
        <v>4.5999999999999996</v>
      </c>
      <c r="AZ5" s="62">
        <v>4.63</v>
      </c>
      <c r="BA5" s="21">
        <v>3.29</v>
      </c>
      <c r="BB5" s="21">
        <v>3.32</v>
      </c>
      <c r="BC5" s="21">
        <v>3.35</v>
      </c>
      <c r="BD5" s="21">
        <v>3.37</v>
      </c>
      <c r="BE5" s="21">
        <v>2.91</v>
      </c>
      <c r="BF5" s="21">
        <v>2.88</v>
      </c>
      <c r="BG5" s="21">
        <v>2.86</v>
      </c>
      <c r="BH5" s="21">
        <v>2.83</v>
      </c>
      <c r="BI5" s="21">
        <v>2.81</v>
      </c>
    </row>
    <row r="6" spans="1:61" x14ac:dyDescent="0.45">
      <c r="A6" s="39">
        <v>8.8800000000000008</v>
      </c>
      <c r="B6" s="39">
        <v>8.9499999999999993</v>
      </c>
      <c r="C6" s="39">
        <v>9.0299999999999994</v>
      </c>
      <c r="D6" s="39">
        <v>9.1</v>
      </c>
      <c r="E6" s="39">
        <v>9.17</v>
      </c>
      <c r="F6" s="39">
        <v>9.24</v>
      </c>
      <c r="G6" s="39">
        <v>9.32</v>
      </c>
      <c r="H6" s="39">
        <v>9.39</v>
      </c>
      <c r="I6" s="40">
        <v>9.4600000000000009</v>
      </c>
      <c r="J6" s="51">
        <v>9.5399999999999991</v>
      </c>
      <c r="K6" s="51">
        <v>9.61</v>
      </c>
      <c r="L6" s="40">
        <v>9.68</v>
      </c>
      <c r="M6" s="40">
        <v>9.75</v>
      </c>
      <c r="N6" s="40">
        <v>9.83</v>
      </c>
      <c r="O6" s="57">
        <v>9.9</v>
      </c>
      <c r="P6" s="63">
        <v>9.9700000000000006</v>
      </c>
      <c r="Q6" s="63">
        <v>10.039999999999999</v>
      </c>
      <c r="R6" s="63">
        <v>10.119999999999999</v>
      </c>
      <c r="S6" s="63">
        <v>10.19</v>
      </c>
      <c r="T6" s="63">
        <v>10.26</v>
      </c>
      <c r="U6" s="63">
        <v>10.34</v>
      </c>
      <c r="V6" s="22">
        <v>7.33</v>
      </c>
      <c r="W6" s="22">
        <v>7.4</v>
      </c>
      <c r="X6" s="22">
        <v>7.47</v>
      </c>
      <c r="Y6" s="22">
        <v>7.55</v>
      </c>
      <c r="Z6" s="22">
        <v>6.24</v>
      </c>
      <c r="AA6" s="22">
        <v>6.16</v>
      </c>
      <c r="AB6" s="22">
        <v>6.09</v>
      </c>
      <c r="AC6" s="22">
        <v>6.02</v>
      </c>
      <c r="AD6" s="22">
        <v>5.94</v>
      </c>
      <c r="AE6" s="14">
        <v>2</v>
      </c>
      <c r="AF6" s="39">
        <v>5.12</v>
      </c>
      <c r="AG6" s="39">
        <v>5.17</v>
      </c>
      <c r="AH6" s="39">
        <v>5.22</v>
      </c>
      <c r="AI6" s="39">
        <v>5.27</v>
      </c>
      <c r="AJ6" s="39">
        <v>5.32</v>
      </c>
      <c r="AK6" s="39">
        <v>5.37</v>
      </c>
      <c r="AL6" s="39">
        <v>5.42</v>
      </c>
      <c r="AM6" s="39">
        <v>5.48</v>
      </c>
      <c r="AN6" s="40">
        <v>5.53</v>
      </c>
      <c r="AO6" s="51">
        <v>5.58</v>
      </c>
      <c r="AP6" s="51">
        <v>5.63</v>
      </c>
      <c r="AQ6" s="40">
        <v>5.68</v>
      </c>
      <c r="AR6" s="40">
        <v>5.73</v>
      </c>
      <c r="AS6" s="72">
        <v>5.78</v>
      </c>
      <c r="AT6" s="57">
        <v>5.84</v>
      </c>
      <c r="AU6" s="63">
        <v>5.89</v>
      </c>
      <c r="AV6" s="63">
        <v>5.94</v>
      </c>
      <c r="AW6" s="63">
        <v>5.99</v>
      </c>
      <c r="AX6" s="63">
        <v>6.04</v>
      </c>
      <c r="AY6" s="63">
        <v>6.09</v>
      </c>
      <c r="AZ6" s="63">
        <v>6.14</v>
      </c>
      <c r="BA6" s="22">
        <v>4.6500000000000004</v>
      </c>
      <c r="BB6" s="22">
        <v>4.7</v>
      </c>
      <c r="BC6" s="22">
        <v>4.75</v>
      </c>
      <c r="BD6" s="22">
        <v>4.8</v>
      </c>
      <c r="BE6" s="22">
        <v>3.87</v>
      </c>
      <c r="BF6" s="22">
        <v>3.82</v>
      </c>
      <c r="BG6" s="22">
        <v>3.77</v>
      </c>
      <c r="BH6" s="22">
        <v>3.72</v>
      </c>
      <c r="BI6" s="22">
        <v>3.67</v>
      </c>
    </row>
    <row r="7" spans="1:61" x14ac:dyDescent="0.45">
      <c r="A7" s="39">
        <v>10.17</v>
      </c>
      <c r="B7" s="39">
        <v>10.28</v>
      </c>
      <c r="C7" s="39">
        <v>10.39</v>
      </c>
      <c r="D7" s="39">
        <v>10.5</v>
      </c>
      <c r="E7" s="39">
        <v>10.61</v>
      </c>
      <c r="F7" s="39">
        <v>10.71</v>
      </c>
      <c r="G7" s="39">
        <v>10.82</v>
      </c>
      <c r="H7" s="39">
        <v>10.93</v>
      </c>
      <c r="I7" s="40">
        <v>11.04</v>
      </c>
      <c r="J7" s="51">
        <v>11.15</v>
      </c>
      <c r="K7" s="51">
        <v>11.26</v>
      </c>
      <c r="L7" s="40">
        <v>11.37</v>
      </c>
      <c r="M7" s="40">
        <v>11.48</v>
      </c>
      <c r="N7" s="40">
        <v>11.59</v>
      </c>
      <c r="O7" s="57">
        <v>11.7</v>
      </c>
      <c r="P7" s="64">
        <v>11.81</v>
      </c>
      <c r="Q7" s="64">
        <v>11.92</v>
      </c>
      <c r="R7" s="64">
        <v>12.02</v>
      </c>
      <c r="S7" s="64">
        <v>12.13</v>
      </c>
      <c r="T7" s="64">
        <v>12.24</v>
      </c>
      <c r="U7" s="64">
        <v>12.35</v>
      </c>
      <c r="V7" s="23">
        <v>9.15</v>
      </c>
      <c r="W7" s="23">
        <v>9.26</v>
      </c>
      <c r="X7" s="23">
        <v>9.3699999999999992</v>
      </c>
      <c r="Y7" s="23">
        <v>9.48</v>
      </c>
      <c r="Z7" s="23">
        <v>7.51</v>
      </c>
      <c r="AA7" s="23">
        <v>7.4</v>
      </c>
      <c r="AB7" s="23">
        <v>7.29</v>
      </c>
      <c r="AC7" s="23">
        <v>7.19</v>
      </c>
      <c r="AD7" s="23">
        <v>7.08</v>
      </c>
      <c r="AE7" s="17">
        <v>3</v>
      </c>
      <c r="AF7" s="39">
        <v>6.11</v>
      </c>
      <c r="AG7" s="39">
        <v>6.19</v>
      </c>
      <c r="AH7" s="39">
        <v>6.27</v>
      </c>
      <c r="AI7" s="39">
        <v>6.35</v>
      </c>
      <c r="AJ7" s="39">
        <v>6.42</v>
      </c>
      <c r="AK7" s="39">
        <v>6.5</v>
      </c>
      <c r="AL7" s="39">
        <v>6.58</v>
      </c>
      <c r="AM7" s="39">
        <v>6.65</v>
      </c>
      <c r="AN7" s="40">
        <v>6.73</v>
      </c>
      <c r="AO7" s="51">
        <v>6.81</v>
      </c>
      <c r="AP7" s="51">
        <v>6.89</v>
      </c>
      <c r="AQ7" s="40">
        <v>6.96</v>
      </c>
      <c r="AR7" s="40">
        <v>7.04</v>
      </c>
      <c r="AS7" s="72">
        <v>7.12</v>
      </c>
      <c r="AT7" s="57">
        <v>7.19</v>
      </c>
      <c r="AU7" s="64">
        <v>7.27</v>
      </c>
      <c r="AV7" s="64">
        <v>7.35</v>
      </c>
      <c r="AW7" s="64">
        <v>7.43</v>
      </c>
      <c r="AX7" s="64">
        <v>7.05</v>
      </c>
      <c r="AY7" s="64">
        <v>7.58</v>
      </c>
      <c r="AZ7" s="64">
        <v>7.66</v>
      </c>
      <c r="BA7" s="23">
        <v>6</v>
      </c>
      <c r="BB7" s="23">
        <v>6</v>
      </c>
      <c r="BC7" s="23">
        <v>6.15</v>
      </c>
      <c r="BD7" s="23">
        <v>6.23</v>
      </c>
      <c r="BE7" s="23">
        <v>4.84</v>
      </c>
      <c r="BF7" s="23">
        <v>4.76</v>
      </c>
      <c r="BG7" s="23">
        <v>4.6900000000000004</v>
      </c>
      <c r="BH7" s="23">
        <v>4.6100000000000003</v>
      </c>
      <c r="BI7" s="23">
        <v>4.53</v>
      </c>
    </row>
    <row r="8" spans="1:61" x14ac:dyDescent="0.45">
      <c r="A8" s="39">
        <v>11.46</v>
      </c>
      <c r="B8" s="39">
        <v>11.6</v>
      </c>
      <c r="C8" s="39">
        <v>11.75</v>
      </c>
      <c r="D8" s="39">
        <v>11.89</v>
      </c>
      <c r="E8" s="39">
        <v>12.04</v>
      </c>
      <c r="F8" s="39">
        <v>12.18</v>
      </c>
      <c r="G8" s="39">
        <v>12.33</v>
      </c>
      <c r="H8" s="39">
        <v>12.47</v>
      </c>
      <c r="I8" s="40">
        <v>12.62</v>
      </c>
      <c r="J8" s="51">
        <v>12.77</v>
      </c>
      <c r="K8" s="51">
        <v>12.91</v>
      </c>
      <c r="L8" s="40">
        <v>13.06</v>
      </c>
      <c r="M8" s="40">
        <v>13.2</v>
      </c>
      <c r="N8" s="40">
        <v>13.35</v>
      </c>
      <c r="O8" s="57">
        <v>13.49</v>
      </c>
      <c r="P8" s="65">
        <v>13.64</v>
      </c>
      <c r="Q8" s="65">
        <v>13.78</v>
      </c>
      <c r="R8" s="65">
        <v>13.93</v>
      </c>
      <c r="S8" s="65">
        <v>14.08</v>
      </c>
      <c r="T8" s="65">
        <v>14.22</v>
      </c>
      <c r="U8" s="65">
        <v>14.37</v>
      </c>
      <c r="V8" s="24">
        <v>10.97</v>
      </c>
      <c r="W8" s="24">
        <v>11.12</v>
      </c>
      <c r="X8" s="24">
        <v>11.27</v>
      </c>
      <c r="Y8" s="24">
        <v>11.41</v>
      </c>
      <c r="Z8" s="24">
        <v>8.7899999999999991</v>
      </c>
      <c r="AA8" s="24">
        <v>8.64</v>
      </c>
      <c r="AB8" s="24">
        <v>8.5</v>
      </c>
      <c r="AC8" s="24">
        <v>8.35</v>
      </c>
      <c r="AD8" s="24">
        <v>8.2100000000000009</v>
      </c>
      <c r="AE8" s="5">
        <v>4</v>
      </c>
      <c r="AF8" s="39">
        <v>7.11</v>
      </c>
      <c r="AG8" s="39">
        <v>7.22</v>
      </c>
      <c r="AH8" s="39">
        <v>7.32</v>
      </c>
      <c r="AI8" s="39">
        <v>7.42</v>
      </c>
      <c r="AJ8" s="39">
        <v>7.53</v>
      </c>
      <c r="AK8" s="39">
        <v>7.63</v>
      </c>
      <c r="AL8" s="39">
        <v>7.73</v>
      </c>
      <c r="AM8" s="39">
        <v>7.83</v>
      </c>
      <c r="AN8" s="40">
        <v>7.94</v>
      </c>
      <c r="AO8" s="51">
        <v>8.0399999999999991</v>
      </c>
      <c r="AP8" s="51">
        <v>8.14</v>
      </c>
      <c r="AQ8" s="40">
        <v>8.24</v>
      </c>
      <c r="AR8" s="40">
        <v>8.35</v>
      </c>
      <c r="AS8" s="72">
        <v>8.4499999999999993</v>
      </c>
      <c r="AT8" s="57">
        <v>8.5500000000000007</v>
      </c>
      <c r="AU8" s="65">
        <v>8.66</v>
      </c>
      <c r="AV8" s="65">
        <v>8.76</v>
      </c>
      <c r="AW8" s="65">
        <v>8.86</v>
      </c>
      <c r="AX8" s="65">
        <v>8.9600000000000009</v>
      </c>
      <c r="AY8" s="65">
        <v>9.07</v>
      </c>
      <c r="AZ8" s="65">
        <v>9.17</v>
      </c>
      <c r="BA8" s="24">
        <v>7.35</v>
      </c>
      <c r="BB8" s="24">
        <v>7.45</v>
      </c>
      <c r="BC8" s="24">
        <v>7.55</v>
      </c>
      <c r="BD8" s="24">
        <v>7.66</v>
      </c>
      <c r="BE8" s="24">
        <v>5.8</v>
      </c>
      <c r="BF8" s="24">
        <v>5.7</v>
      </c>
      <c r="BG8" s="24">
        <v>5.6</v>
      </c>
      <c r="BH8" s="24">
        <v>5.5</v>
      </c>
      <c r="BI8" s="23">
        <v>5.39</v>
      </c>
    </row>
    <row r="9" spans="1:61" x14ac:dyDescent="0.45">
      <c r="A9" s="39">
        <v>12.74</v>
      </c>
      <c r="B9" s="39">
        <v>12.93</v>
      </c>
      <c r="C9" s="39">
        <v>13.11</v>
      </c>
      <c r="D9" s="39">
        <v>13.29</v>
      </c>
      <c r="E9" s="39">
        <v>13.47</v>
      </c>
      <c r="F9" s="39">
        <v>13.65</v>
      </c>
      <c r="G9" s="39">
        <v>13.84</v>
      </c>
      <c r="H9" s="39">
        <v>14.02</v>
      </c>
      <c r="I9" s="40">
        <v>14.2</v>
      </c>
      <c r="J9" s="51">
        <v>14.38</v>
      </c>
      <c r="K9" s="51">
        <v>14.56</v>
      </c>
      <c r="L9" s="40">
        <v>14.75</v>
      </c>
      <c r="M9" s="40">
        <v>14.93</v>
      </c>
      <c r="N9" s="40">
        <v>15.11</v>
      </c>
      <c r="O9" s="57">
        <v>15.29</v>
      </c>
      <c r="P9" s="65">
        <v>15.47</v>
      </c>
      <c r="Q9" s="65">
        <v>15.66</v>
      </c>
      <c r="R9" s="65">
        <v>15.84</v>
      </c>
      <c r="S9" s="65">
        <v>16.02</v>
      </c>
      <c r="T9" s="65">
        <v>16.2</v>
      </c>
      <c r="U9" s="65">
        <v>16.38</v>
      </c>
      <c r="V9" s="24">
        <v>12.8</v>
      </c>
      <c r="W9" s="24">
        <v>12.98</v>
      </c>
      <c r="X9" s="24">
        <v>13.16</v>
      </c>
      <c r="Y9" s="24">
        <v>13.34</v>
      </c>
      <c r="Z9" s="24">
        <v>10.07</v>
      </c>
      <c r="AA9" s="24">
        <v>9.89</v>
      </c>
      <c r="AB9" s="24">
        <v>9.6999999999999993</v>
      </c>
      <c r="AC9" s="24">
        <v>9.52</v>
      </c>
      <c r="AD9" s="24">
        <v>9.34</v>
      </c>
      <c r="AE9" s="5">
        <v>5</v>
      </c>
      <c r="AF9" s="39">
        <v>8.11</v>
      </c>
      <c r="AG9" s="39">
        <v>8.24</v>
      </c>
      <c r="AH9" s="39">
        <v>8.3699999999999992</v>
      </c>
      <c r="AI9" s="39">
        <v>8.5</v>
      </c>
      <c r="AJ9" s="39">
        <v>8.6300000000000008</v>
      </c>
      <c r="AK9" s="39">
        <v>8.75</v>
      </c>
      <c r="AL9" s="39">
        <v>8.8800000000000008</v>
      </c>
      <c r="AM9" s="39">
        <v>9.01</v>
      </c>
      <c r="AN9" s="40">
        <v>9.14</v>
      </c>
      <c r="AO9" s="51">
        <v>9.27</v>
      </c>
      <c r="AP9" s="51">
        <v>9.4</v>
      </c>
      <c r="AQ9" s="40">
        <v>9.5299999999999994</v>
      </c>
      <c r="AR9" s="40">
        <v>9.65</v>
      </c>
      <c r="AS9" s="72">
        <v>9.7799999999999994</v>
      </c>
      <c r="AT9" s="57">
        <v>9.91</v>
      </c>
      <c r="AU9" s="65">
        <v>10.039999999999999</v>
      </c>
      <c r="AV9" s="65">
        <v>10.17</v>
      </c>
      <c r="AW9" s="65">
        <v>10.3</v>
      </c>
      <c r="AX9" s="65">
        <v>10.43</v>
      </c>
      <c r="AY9" s="65">
        <v>10.55</v>
      </c>
      <c r="AZ9" s="65">
        <v>10.68</v>
      </c>
      <c r="BA9" s="24">
        <v>8.6999999999999993</v>
      </c>
      <c r="BB9" s="24">
        <v>8.83</v>
      </c>
      <c r="BC9" s="24">
        <v>8.9499999999999993</v>
      </c>
      <c r="BD9" s="24">
        <v>9.08</v>
      </c>
      <c r="BE9" s="24">
        <v>6.77</v>
      </c>
      <c r="BF9" s="24">
        <v>6.64</v>
      </c>
      <c r="BG9" s="24">
        <v>6.51</v>
      </c>
      <c r="BH9" s="24">
        <v>6.38</v>
      </c>
      <c r="BI9" s="23">
        <v>6.26</v>
      </c>
    </row>
    <row r="10" spans="1:61" x14ac:dyDescent="0.45">
      <c r="A10" s="39">
        <v>14.03</v>
      </c>
      <c r="B10" s="39">
        <v>14.25</v>
      </c>
      <c r="C10" s="39">
        <v>14.47</v>
      </c>
      <c r="D10" s="39">
        <v>14.68</v>
      </c>
      <c r="E10" s="39">
        <v>14.9</v>
      </c>
      <c r="F10" s="39">
        <v>15.12</v>
      </c>
      <c r="G10" s="39">
        <v>15.34</v>
      </c>
      <c r="H10" s="39">
        <v>15.56</v>
      </c>
      <c r="I10" s="40">
        <v>15.78</v>
      </c>
      <c r="J10" s="51">
        <v>16</v>
      </c>
      <c r="K10" s="51">
        <v>16.21</v>
      </c>
      <c r="L10" s="40">
        <v>16.43</v>
      </c>
      <c r="M10" s="40">
        <v>16.649999999999999</v>
      </c>
      <c r="N10" s="40">
        <v>16.87</v>
      </c>
      <c r="O10" s="57">
        <v>17.09</v>
      </c>
      <c r="P10" s="65">
        <v>17.309999999999999</v>
      </c>
      <c r="Q10" s="65">
        <v>17.52</v>
      </c>
      <c r="R10" s="65">
        <v>17.739999999999998</v>
      </c>
      <c r="S10" s="65">
        <v>17.96</v>
      </c>
      <c r="T10" s="65">
        <v>18.18</v>
      </c>
      <c r="U10" s="65">
        <v>18.399999999999999</v>
      </c>
      <c r="V10" s="24">
        <v>14.62</v>
      </c>
      <c r="W10" s="24">
        <v>14.84</v>
      </c>
      <c r="X10" s="24">
        <v>15.06</v>
      </c>
      <c r="Y10" s="24">
        <v>15.28</v>
      </c>
      <c r="Z10" s="24">
        <v>11.35</v>
      </c>
      <c r="AA10" s="24">
        <v>11.13</v>
      </c>
      <c r="AB10" s="24">
        <v>10.91</v>
      </c>
      <c r="AC10" s="24">
        <v>10.69</v>
      </c>
      <c r="AD10" s="24">
        <v>10.47</v>
      </c>
      <c r="AE10" s="5">
        <v>6</v>
      </c>
      <c r="AF10" s="39">
        <v>9.11</v>
      </c>
      <c r="AG10" s="39">
        <v>9.27</v>
      </c>
      <c r="AH10" s="39">
        <v>9.42</v>
      </c>
      <c r="AI10" s="39">
        <v>9.58</v>
      </c>
      <c r="AJ10" s="39">
        <v>9.73</v>
      </c>
      <c r="AK10" s="39">
        <v>9.8800000000000008</v>
      </c>
      <c r="AL10" s="39">
        <v>10.039999999999999</v>
      </c>
      <c r="AM10" s="39">
        <v>10.19</v>
      </c>
      <c r="AN10" s="40">
        <v>10.35</v>
      </c>
      <c r="AO10" s="51">
        <v>10.5</v>
      </c>
      <c r="AP10" s="51">
        <v>10.66</v>
      </c>
      <c r="AQ10" s="40">
        <v>10.81</v>
      </c>
      <c r="AR10" s="40">
        <v>10.96</v>
      </c>
      <c r="AS10" s="72">
        <v>11.12</v>
      </c>
      <c r="AT10" s="57">
        <v>11.27</v>
      </c>
      <c r="AU10" s="65">
        <v>11.43</v>
      </c>
      <c r="AV10" s="65">
        <v>11.58</v>
      </c>
      <c r="AW10" s="65">
        <v>11.73</v>
      </c>
      <c r="AX10" s="65">
        <v>11.89</v>
      </c>
      <c r="AY10" s="65">
        <v>12.04</v>
      </c>
      <c r="AZ10" s="65">
        <v>12.2</v>
      </c>
      <c r="BA10" s="24">
        <v>10.050000000000001</v>
      </c>
      <c r="BB10" s="24">
        <v>10.199999999999999</v>
      </c>
      <c r="BC10" s="24">
        <v>10.36</v>
      </c>
      <c r="BD10" s="24">
        <v>10.51</v>
      </c>
      <c r="BE10" s="24">
        <v>7.74</v>
      </c>
      <c r="BF10" s="24">
        <v>7.58</v>
      </c>
      <c r="BG10" s="24">
        <v>7.43</v>
      </c>
      <c r="BH10" s="24">
        <v>7.27</v>
      </c>
      <c r="BI10" s="23">
        <v>7.12</v>
      </c>
    </row>
    <row r="11" spans="1:61" x14ac:dyDescent="0.45">
      <c r="A11" s="39">
        <v>15.32</v>
      </c>
      <c r="B11" s="39">
        <v>15.57</v>
      </c>
      <c r="C11" s="39">
        <v>15.83</v>
      </c>
      <c r="D11" s="39">
        <v>16.079999999999998</v>
      </c>
      <c r="E11" s="39">
        <v>16.34</v>
      </c>
      <c r="F11" s="39">
        <v>16.59</v>
      </c>
      <c r="G11" s="39">
        <v>16.850000000000001</v>
      </c>
      <c r="H11" s="39">
        <v>17.100000000000001</v>
      </c>
      <c r="I11" s="40">
        <v>17.36</v>
      </c>
      <c r="J11" s="51">
        <v>17.61</v>
      </c>
      <c r="K11" s="51">
        <v>17.86</v>
      </c>
      <c r="L11" s="40">
        <v>18.12</v>
      </c>
      <c r="M11" s="40">
        <v>18.37</v>
      </c>
      <c r="N11" s="40">
        <v>18.63</v>
      </c>
      <c r="O11" s="57">
        <v>18.88</v>
      </c>
      <c r="P11" s="65">
        <v>19.14</v>
      </c>
      <c r="Q11" s="65">
        <v>19.39</v>
      </c>
      <c r="R11" s="65">
        <v>19.649999999999999</v>
      </c>
      <c r="S11" s="65">
        <v>19.899999999999999</v>
      </c>
      <c r="T11" s="65">
        <v>20.16</v>
      </c>
      <c r="U11" s="65">
        <v>20.41</v>
      </c>
      <c r="V11" s="24">
        <v>16.440000000000001</v>
      </c>
      <c r="W11" s="24">
        <v>16.7</v>
      </c>
      <c r="X11" s="24">
        <v>16.95</v>
      </c>
      <c r="Y11" s="24">
        <v>17.21</v>
      </c>
      <c r="Z11" s="24">
        <v>12.62</v>
      </c>
      <c r="AA11" s="24">
        <v>12.37</v>
      </c>
      <c r="AB11" s="24">
        <v>12.11</v>
      </c>
      <c r="AC11" s="24">
        <v>11.86</v>
      </c>
      <c r="AD11" s="24">
        <v>11.6</v>
      </c>
      <c r="AE11" s="5">
        <v>7</v>
      </c>
      <c r="AF11" s="39">
        <v>10.11</v>
      </c>
      <c r="AG11" s="39">
        <v>10.29</v>
      </c>
      <c r="AH11" s="39">
        <v>0.47</v>
      </c>
      <c r="AI11" s="39"/>
      <c r="AJ11" s="39">
        <v>10.83</v>
      </c>
      <c r="AK11" s="39">
        <v>11.01</v>
      </c>
      <c r="AL11" s="39">
        <v>11.19</v>
      </c>
      <c r="AM11" s="39">
        <v>11.37</v>
      </c>
      <c r="AN11" s="40">
        <v>11.55</v>
      </c>
      <c r="AO11" s="51">
        <v>11.73</v>
      </c>
      <c r="AP11" s="51">
        <v>11.91</v>
      </c>
      <c r="AQ11" s="40">
        <v>12.09</v>
      </c>
      <c r="AR11" s="40">
        <v>12.27</v>
      </c>
      <c r="AS11" s="72">
        <v>12.45</v>
      </c>
      <c r="AT11" s="57">
        <v>12.63</v>
      </c>
      <c r="AU11" s="65">
        <v>12.81</v>
      </c>
      <c r="AV11" s="65">
        <v>12.99</v>
      </c>
      <c r="AW11" s="65">
        <v>13.17</v>
      </c>
      <c r="AX11" s="65">
        <v>13.35</v>
      </c>
      <c r="AY11" s="65">
        <v>13.53</v>
      </c>
      <c r="AZ11" s="65">
        <v>13.71</v>
      </c>
      <c r="BA11" s="24">
        <v>11.4</v>
      </c>
      <c r="BB11" s="24">
        <v>11.58</v>
      </c>
      <c r="BC11" s="24">
        <v>11.76</v>
      </c>
      <c r="BD11" s="24">
        <v>11.94</v>
      </c>
      <c r="BE11" s="24">
        <v>8.6999999999999993</v>
      </c>
      <c r="BF11" s="24">
        <v>8.52</v>
      </c>
      <c r="BG11" s="24">
        <v>8.34</v>
      </c>
      <c r="BH11" s="24">
        <v>8.16</v>
      </c>
      <c r="BI11" s="23">
        <v>7.98</v>
      </c>
    </row>
    <row r="12" spans="1:61" x14ac:dyDescent="0.45">
      <c r="A12" s="39">
        <v>16.84</v>
      </c>
      <c r="B12" s="39">
        <v>17.13</v>
      </c>
      <c r="C12" s="39">
        <v>17.420000000000002</v>
      </c>
      <c r="D12" s="39">
        <v>17.71</v>
      </c>
      <c r="E12" s="39">
        <v>18.010000000000002</v>
      </c>
      <c r="F12" s="39">
        <v>18.3</v>
      </c>
      <c r="G12" s="39">
        <v>18.59</v>
      </c>
      <c r="H12" s="39">
        <v>18.88</v>
      </c>
      <c r="I12" s="40">
        <v>19.170000000000002</v>
      </c>
      <c r="J12" s="51">
        <v>19.46</v>
      </c>
      <c r="K12" s="51">
        <v>19.75</v>
      </c>
      <c r="L12" s="40">
        <v>20.04</v>
      </c>
      <c r="M12" s="40">
        <v>20.34</v>
      </c>
      <c r="N12" s="40">
        <v>20.63</v>
      </c>
      <c r="O12" s="57">
        <v>20.92</v>
      </c>
      <c r="P12" s="65">
        <v>21.21</v>
      </c>
      <c r="Q12" s="65">
        <v>21.5</v>
      </c>
      <c r="R12" s="65">
        <v>21.79</v>
      </c>
      <c r="S12" s="65">
        <v>22.08</v>
      </c>
      <c r="T12" s="65">
        <v>22.37</v>
      </c>
      <c r="U12" s="65">
        <v>22.66</v>
      </c>
      <c r="V12" s="24">
        <v>18.41</v>
      </c>
      <c r="W12" s="24">
        <v>18.7</v>
      </c>
      <c r="X12" s="24">
        <v>18.989999999999998</v>
      </c>
      <c r="Y12" s="24">
        <v>19.28</v>
      </c>
      <c r="Z12" s="24">
        <v>14.04</v>
      </c>
      <c r="AA12" s="24">
        <v>13.75</v>
      </c>
      <c r="AB12" s="24">
        <v>13.46</v>
      </c>
      <c r="AC12" s="24">
        <v>13.16</v>
      </c>
      <c r="AD12" s="24">
        <v>12.87</v>
      </c>
      <c r="AE12" s="5">
        <v>8</v>
      </c>
      <c r="AF12" s="39">
        <v>11.11</v>
      </c>
      <c r="AG12" s="39">
        <v>11.32</v>
      </c>
      <c r="AH12" s="39">
        <v>11.52</v>
      </c>
      <c r="AI12" s="39">
        <v>10.65</v>
      </c>
      <c r="AJ12" s="39">
        <v>11.93</v>
      </c>
      <c r="AK12" s="39">
        <v>12.14</v>
      </c>
      <c r="AL12" s="39">
        <v>12.35</v>
      </c>
      <c r="AM12" s="39">
        <v>12.55</v>
      </c>
      <c r="AN12" s="40">
        <v>12.76</v>
      </c>
      <c r="AO12" s="51">
        <v>12.96</v>
      </c>
      <c r="AP12" s="51">
        <v>13.17</v>
      </c>
      <c r="AQ12" s="40">
        <v>13.37</v>
      </c>
      <c r="AR12" s="40">
        <v>13.58</v>
      </c>
      <c r="AS12" s="72">
        <v>13.78</v>
      </c>
      <c r="AT12" s="57">
        <v>13.99</v>
      </c>
      <c r="AU12" s="65">
        <v>14.2</v>
      </c>
      <c r="AV12" s="65">
        <v>14.4</v>
      </c>
      <c r="AW12" s="65">
        <v>14.61</v>
      </c>
      <c r="AX12" s="65">
        <v>14.81</v>
      </c>
      <c r="AY12" s="65">
        <v>15.02</v>
      </c>
      <c r="AZ12" s="65">
        <v>15.22</v>
      </c>
      <c r="BA12" s="24">
        <v>12.75</v>
      </c>
      <c r="BB12" s="24">
        <v>12.96</v>
      </c>
      <c r="BC12" s="24">
        <v>13.16</v>
      </c>
      <c r="BD12" s="24">
        <v>13.37</v>
      </c>
      <c r="BE12" s="24">
        <v>9.67</v>
      </c>
      <c r="BF12" s="24">
        <v>9.4600000000000009</v>
      </c>
      <c r="BG12" s="24">
        <v>9.26</v>
      </c>
      <c r="BH12" s="24">
        <v>9.0500000000000007</v>
      </c>
      <c r="BI12" s="23">
        <v>8.84</v>
      </c>
    </row>
    <row r="13" spans="1:61" x14ac:dyDescent="0.45">
      <c r="A13" s="39">
        <v>18.79</v>
      </c>
      <c r="B13" s="39">
        <v>19.12</v>
      </c>
      <c r="C13" s="39">
        <v>19.45</v>
      </c>
      <c r="D13" s="39">
        <v>19.77</v>
      </c>
      <c r="E13" s="39">
        <v>20.100000000000001</v>
      </c>
      <c r="F13" s="39">
        <v>20.43</v>
      </c>
      <c r="G13" s="39">
        <v>20.76</v>
      </c>
      <c r="H13" s="39">
        <v>21.08</v>
      </c>
      <c r="I13" s="40">
        <v>21.41</v>
      </c>
      <c r="J13" s="51">
        <v>21.74</v>
      </c>
      <c r="K13" s="51">
        <v>22.07</v>
      </c>
      <c r="L13" s="40">
        <v>22.39</v>
      </c>
      <c r="M13" s="40">
        <v>22.72</v>
      </c>
      <c r="N13" s="40">
        <v>23.05</v>
      </c>
      <c r="O13" s="57">
        <v>23.38</v>
      </c>
      <c r="P13" s="65">
        <v>23.7</v>
      </c>
      <c r="Q13" s="65">
        <v>24.03</v>
      </c>
      <c r="R13" s="65">
        <v>24.36</v>
      </c>
      <c r="S13" s="65">
        <v>24.69</v>
      </c>
      <c r="T13" s="65">
        <v>25.01</v>
      </c>
      <c r="U13" s="65">
        <v>25.34</v>
      </c>
      <c r="V13" s="24">
        <v>20.62</v>
      </c>
      <c r="W13" s="24">
        <v>20.94</v>
      </c>
      <c r="X13" s="24">
        <v>21.27</v>
      </c>
      <c r="Y13" s="24">
        <v>21.6</v>
      </c>
      <c r="Z13" s="24">
        <v>15.7</v>
      </c>
      <c r="AA13" s="24">
        <v>15.37</v>
      </c>
      <c r="AB13" s="24">
        <v>15.05</v>
      </c>
      <c r="AC13" s="24">
        <v>14.72</v>
      </c>
      <c r="AD13" s="24">
        <v>14.39</v>
      </c>
      <c r="AE13" s="5">
        <v>9</v>
      </c>
      <c r="AF13" s="39">
        <v>12.11</v>
      </c>
      <c r="AG13" s="39">
        <v>12.34</v>
      </c>
      <c r="AH13" s="39">
        <v>12.58</v>
      </c>
      <c r="AI13" s="39">
        <v>11.73</v>
      </c>
      <c r="AJ13" s="39">
        <v>13.04</v>
      </c>
      <c r="AK13" s="39">
        <v>13.27</v>
      </c>
      <c r="AL13" s="39">
        <v>13.5</v>
      </c>
      <c r="AM13" s="39">
        <v>13.73</v>
      </c>
      <c r="AN13" s="40">
        <v>13.96</v>
      </c>
      <c r="AO13" s="51">
        <v>14.19</v>
      </c>
      <c r="AP13" s="51">
        <v>14.43</v>
      </c>
      <c r="AQ13" s="40">
        <v>14.66</v>
      </c>
      <c r="AR13" s="40">
        <v>14.89</v>
      </c>
      <c r="AS13" s="72">
        <v>15.12</v>
      </c>
      <c r="AT13" s="57">
        <v>15.35</v>
      </c>
      <c r="AU13" s="65">
        <v>15.58</v>
      </c>
      <c r="AV13" s="65">
        <v>15.81</v>
      </c>
      <c r="AW13" s="65">
        <v>16.04</v>
      </c>
      <c r="AX13" s="65">
        <v>16.28</v>
      </c>
      <c r="AY13" s="65">
        <v>16.510000000000002</v>
      </c>
      <c r="AZ13" s="65">
        <v>16.739999999999998</v>
      </c>
      <c r="BA13" s="24">
        <v>14.1</v>
      </c>
      <c r="BB13" s="24">
        <v>14.33</v>
      </c>
      <c r="BC13" s="24">
        <v>14.56</v>
      </c>
      <c r="BD13" s="24">
        <v>14.8</v>
      </c>
      <c r="BE13" s="24">
        <v>10.63</v>
      </c>
      <c r="BF13" s="24">
        <v>10.4</v>
      </c>
      <c r="BG13" s="24">
        <v>10.17</v>
      </c>
      <c r="BH13" s="24">
        <v>9.94</v>
      </c>
      <c r="BI13" s="23">
        <v>9.7100000000000009</v>
      </c>
    </row>
    <row r="14" spans="1:61" x14ac:dyDescent="0.45">
      <c r="A14" s="39">
        <v>20.74</v>
      </c>
      <c r="B14" s="39">
        <v>21.1</v>
      </c>
      <c r="C14" s="39">
        <v>21.47</v>
      </c>
      <c r="D14" s="39">
        <v>21.83</v>
      </c>
      <c r="E14" s="39">
        <v>22.19</v>
      </c>
      <c r="F14" s="39">
        <v>22.56</v>
      </c>
      <c r="G14" s="39">
        <v>22.92</v>
      </c>
      <c r="H14" s="39">
        <v>23.29</v>
      </c>
      <c r="I14" s="40">
        <v>23.65</v>
      </c>
      <c r="J14" s="51">
        <v>24.01</v>
      </c>
      <c r="K14" s="51">
        <v>24.38</v>
      </c>
      <c r="L14" s="40">
        <v>24.74</v>
      </c>
      <c r="M14" s="40">
        <v>25.11</v>
      </c>
      <c r="N14" s="40">
        <v>25.47</v>
      </c>
      <c r="O14" s="57">
        <v>25.83</v>
      </c>
      <c r="P14" s="65">
        <v>26.2</v>
      </c>
      <c r="Q14" s="65">
        <v>26.56</v>
      </c>
      <c r="R14" s="65">
        <v>26.93</v>
      </c>
      <c r="S14" s="65">
        <v>27.29</v>
      </c>
      <c r="T14" s="65">
        <v>27.65</v>
      </c>
      <c r="U14" s="65">
        <v>28.02</v>
      </c>
      <c r="V14" s="24">
        <v>22.82</v>
      </c>
      <c r="W14" s="24">
        <v>23.19</v>
      </c>
      <c r="X14" s="24">
        <v>23.55</v>
      </c>
      <c r="Y14" s="24">
        <v>23.92</v>
      </c>
      <c r="Z14" s="24">
        <v>17.36</v>
      </c>
      <c r="AA14" s="24">
        <v>17</v>
      </c>
      <c r="AB14" s="24">
        <v>16.64</v>
      </c>
      <c r="AC14" s="24">
        <v>16.27</v>
      </c>
      <c r="AD14" s="24">
        <v>15.91</v>
      </c>
      <c r="AE14" s="5">
        <v>10</v>
      </c>
      <c r="AF14" s="39">
        <v>13.11</v>
      </c>
      <c r="AG14" s="39">
        <v>13.37</v>
      </c>
      <c r="AH14" s="39">
        <v>13.63</v>
      </c>
      <c r="AI14" s="39">
        <v>12.81</v>
      </c>
      <c r="AJ14" s="39">
        <v>14.14</v>
      </c>
      <c r="AK14" s="39">
        <v>14.4</v>
      </c>
      <c r="AL14" s="39">
        <v>14.65</v>
      </c>
      <c r="AM14" s="39">
        <v>14.91</v>
      </c>
      <c r="AN14" s="40">
        <v>15.17</v>
      </c>
      <c r="AO14" s="51">
        <v>15.42</v>
      </c>
      <c r="AP14" s="51">
        <v>15.68</v>
      </c>
      <c r="AQ14" s="40">
        <v>15.94</v>
      </c>
      <c r="AR14" s="40">
        <v>16.2</v>
      </c>
      <c r="AS14" s="72">
        <v>16.45</v>
      </c>
      <c r="AT14" s="57">
        <v>16.71</v>
      </c>
      <c r="AU14" s="65">
        <v>16.97</v>
      </c>
      <c r="AV14" s="65">
        <v>17.22</v>
      </c>
      <c r="AW14" s="65">
        <v>17.48</v>
      </c>
      <c r="AX14" s="65">
        <v>17.739999999999998</v>
      </c>
      <c r="AY14" s="65">
        <v>17.989999999999998</v>
      </c>
      <c r="AZ14" s="65">
        <v>18.25</v>
      </c>
      <c r="BA14" s="24">
        <v>15.45</v>
      </c>
      <c r="BB14" s="24">
        <v>15.71</v>
      </c>
      <c r="BC14" s="24">
        <v>15.97</v>
      </c>
      <c r="BD14" s="24">
        <v>16.22</v>
      </c>
      <c r="BE14" s="24">
        <v>11.6</v>
      </c>
      <c r="BF14" s="24">
        <v>11.34</v>
      </c>
      <c r="BG14" s="24">
        <v>11.08</v>
      </c>
      <c r="BH14" s="24">
        <v>10.83</v>
      </c>
      <c r="BI14" s="23">
        <v>10.57</v>
      </c>
    </row>
    <row r="15" spans="1:61" x14ac:dyDescent="0.45">
      <c r="A15" s="39">
        <v>22.68</v>
      </c>
      <c r="B15" s="39">
        <v>23.08</v>
      </c>
      <c r="C15" s="39">
        <v>23.49</v>
      </c>
      <c r="D15" s="39">
        <v>23.89</v>
      </c>
      <c r="E15" s="39">
        <v>24.29</v>
      </c>
      <c r="F15" s="39">
        <v>24.69</v>
      </c>
      <c r="G15" s="39">
        <v>25.09</v>
      </c>
      <c r="H15" s="39">
        <v>25.49</v>
      </c>
      <c r="I15" s="40">
        <v>25.89</v>
      </c>
      <c r="J15" s="51">
        <v>26.29</v>
      </c>
      <c r="K15" s="51">
        <v>26.69</v>
      </c>
      <c r="L15" s="40">
        <v>27.09</v>
      </c>
      <c r="M15" s="40">
        <v>27.49</v>
      </c>
      <c r="N15" s="40">
        <v>27.89</v>
      </c>
      <c r="O15" s="57">
        <v>28.29</v>
      </c>
      <c r="P15" s="65">
        <v>28.69</v>
      </c>
      <c r="Q15" s="65">
        <v>29.09</v>
      </c>
      <c r="R15" s="65">
        <v>29.49</v>
      </c>
      <c r="S15" s="65">
        <v>29.89</v>
      </c>
      <c r="T15" s="65">
        <v>30.29</v>
      </c>
      <c r="U15" s="65">
        <v>30.69</v>
      </c>
      <c r="V15" s="24">
        <v>25.03</v>
      </c>
      <c r="W15" s="24">
        <v>25.43</v>
      </c>
      <c r="X15" s="24">
        <v>25.83</v>
      </c>
      <c r="Y15" s="24">
        <v>26.23</v>
      </c>
      <c r="Z15" s="24">
        <v>19.03</v>
      </c>
      <c r="AA15" s="24">
        <v>18.63</v>
      </c>
      <c r="AB15" s="24">
        <v>18.23</v>
      </c>
      <c r="AC15" s="24">
        <v>17.829999999999998</v>
      </c>
      <c r="AD15" s="24">
        <v>17.43</v>
      </c>
      <c r="AE15" s="5">
        <v>11</v>
      </c>
      <c r="AF15" s="39">
        <v>14.11</v>
      </c>
      <c r="AG15" s="39">
        <v>14.39</v>
      </c>
      <c r="AH15" s="39">
        <v>14.68</v>
      </c>
      <c r="AI15" s="39">
        <v>14.96</v>
      </c>
      <c r="AJ15" s="39">
        <v>15.24</v>
      </c>
      <c r="AK15" s="39">
        <v>15.52</v>
      </c>
      <c r="AL15" s="39">
        <v>15.81</v>
      </c>
      <c r="AM15" s="39">
        <v>16.09</v>
      </c>
      <c r="AN15" s="40">
        <v>16.37</v>
      </c>
      <c r="AO15" s="51">
        <v>16.649999999999999</v>
      </c>
      <c r="AP15" s="51">
        <v>16.940000000000001</v>
      </c>
      <c r="AQ15" s="40">
        <v>17.22</v>
      </c>
      <c r="AR15" s="40">
        <v>17.5</v>
      </c>
      <c r="AS15" s="72">
        <v>17.79</v>
      </c>
      <c r="AT15" s="57">
        <v>18.07</v>
      </c>
      <c r="AU15" s="65">
        <v>18.350000000000001</v>
      </c>
      <c r="AV15" s="65">
        <v>18.63</v>
      </c>
      <c r="AW15" s="65">
        <v>18.920000000000002</v>
      </c>
      <c r="AX15" s="65">
        <v>19.2</v>
      </c>
      <c r="AY15" s="65">
        <v>19.48</v>
      </c>
      <c r="AZ15" s="65">
        <v>19.760000000000002</v>
      </c>
      <c r="BA15" s="24">
        <v>16.8</v>
      </c>
      <c r="BB15" s="24">
        <v>17.09</v>
      </c>
      <c r="BC15" s="24">
        <v>17.37</v>
      </c>
      <c r="BD15" s="24">
        <v>17.649999999999999</v>
      </c>
      <c r="BE15" s="24">
        <v>12.56</v>
      </c>
      <c r="BF15" s="24">
        <v>12.28</v>
      </c>
      <c r="BG15" s="24">
        <v>12</v>
      </c>
      <c r="BH15" s="24">
        <v>11.71</v>
      </c>
      <c r="BI15" s="23">
        <v>11.43</v>
      </c>
    </row>
    <row r="16" spans="1:61" x14ac:dyDescent="0.45">
      <c r="A16" s="39">
        <v>24.63</v>
      </c>
      <c r="B16" s="39">
        <v>25.07</v>
      </c>
      <c r="C16" s="39">
        <v>25.5</v>
      </c>
      <c r="D16" s="39">
        <v>25.94</v>
      </c>
      <c r="E16" s="39">
        <v>26.38</v>
      </c>
      <c r="F16" s="39">
        <v>26.81</v>
      </c>
      <c r="G16" s="39">
        <v>27.25</v>
      </c>
      <c r="H16" s="39">
        <v>27.69</v>
      </c>
      <c r="I16" s="40">
        <v>28.12</v>
      </c>
      <c r="J16" s="51">
        <v>28.56</v>
      </c>
      <c r="K16" s="51">
        <v>29</v>
      </c>
      <c r="L16" s="40">
        <v>29.44</v>
      </c>
      <c r="M16" s="40">
        <v>29.87</v>
      </c>
      <c r="N16" s="40">
        <v>30.31</v>
      </c>
      <c r="O16" s="57">
        <v>30.75</v>
      </c>
      <c r="P16" s="65">
        <v>31.18</v>
      </c>
      <c r="Q16" s="65">
        <v>31.62</v>
      </c>
      <c r="R16" s="65">
        <v>32.06</v>
      </c>
      <c r="S16" s="65">
        <v>32.49</v>
      </c>
      <c r="T16" s="65">
        <v>32.93</v>
      </c>
      <c r="U16" s="65">
        <v>33.369999999999997</v>
      </c>
      <c r="V16" s="24">
        <v>27.24</v>
      </c>
      <c r="W16" s="24">
        <v>27.68</v>
      </c>
      <c r="X16" s="24">
        <v>28.11</v>
      </c>
      <c r="Y16" s="24">
        <v>28.55</v>
      </c>
      <c r="Z16" s="24">
        <v>20.69</v>
      </c>
      <c r="AA16" s="24">
        <v>20.25</v>
      </c>
      <c r="AB16" s="24">
        <v>19.82</v>
      </c>
      <c r="AC16" s="24">
        <v>19.38</v>
      </c>
      <c r="AD16" s="24">
        <v>18.940000000000001</v>
      </c>
      <c r="AE16" s="5">
        <v>12</v>
      </c>
      <c r="AF16" s="39">
        <v>15.11</v>
      </c>
      <c r="AG16" s="39">
        <v>15.42</v>
      </c>
      <c r="AH16" s="39">
        <v>15.73</v>
      </c>
      <c r="AI16" s="39">
        <v>16.04</v>
      </c>
      <c r="AJ16" s="39">
        <v>16.34</v>
      </c>
      <c r="AK16" s="39">
        <v>16.649999999999999</v>
      </c>
      <c r="AL16" s="39">
        <v>16.96</v>
      </c>
      <c r="AM16" s="39">
        <v>17.27</v>
      </c>
      <c r="AN16" s="40">
        <v>17.579999999999998</v>
      </c>
      <c r="AO16" s="51">
        <v>17.89</v>
      </c>
      <c r="AP16" s="51">
        <v>18.190000000000001</v>
      </c>
      <c r="AQ16" s="40">
        <v>18.5</v>
      </c>
      <c r="AR16" s="40">
        <v>18.809999999999999</v>
      </c>
      <c r="AS16" s="72">
        <v>19.12</v>
      </c>
      <c r="AT16" s="57">
        <v>19.43</v>
      </c>
      <c r="AU16" s="65">
        <v>19.739999999999998</v>
      </c>
      <c r="AV16" s="65">
        <v>20.04</v>
      </c>
      <c r="AW16" s="65">
        <v>20.350000000000001</v>
      </c>
      <c r="AX16" s="65">
        <v>20.66</v>
      </c>
      <c r="AY16" s="65">
        <v>20.97</v>
      </c>
      <c r="AZ16" s="65">
        <v>21.28</v>
      </c>
      <c r="BA16" s="24">
        <v>18.149999999999999</v>
      </c>
      <c r="BB16" s="24">
        <v>18.46</v>
      </c>
      <c r="BC16" s="24">
        <v>18.77</v>
      </c>
      <c r="BD16" s="24">
        <v>19.079999999999998</v>
      </c>
      <c r="BE16" s="24">
        <v>13.53</v>
      </c>
      <c r="BF16" s="24">
        <v>13.22</v>
      </c>
      <c r="BG16" s="24">
        <v>12.91</v>
      </c>
      <c r="BH16" s="24">
        <v>12.6</v>
      </c>
      <c r="BI16" s="23">
        <v>12.29</v>
      </c>
    </row>
    <row r="17" spans="1:61" x14ac:dyDescent="0.45">
      <c r="A17" s="39">
        <v>26.58</v>
      </c>
      <c r="B17" s="39">
        <v>27.05</v>
      </c>
      <c r="C17" s="39">
        <v>27.53</v>
      </c>
      <c r="D17" s="39">
        <v>28</v>
      </c>
      <c r="E17" s="39">
        <v>28.47</v>
      </c>
      <c r="F17" s="39">
        <v>28.95</v>
      </c>
      <c r="G17" s="39">
        <v>29.42</v>
      </c>
      <c r="H17" s="39">
        <v>29.89</v>
      </c>
      <c r="I17" s="40">
        <v>30.37</v>
      </c>
      <c r="J17" s="51">
        <v>30.84</v>
      </c>
      <c r="K17" s="51">
        <v>31.31</v>
      </c>
      <c r="L17" s="40">
        <v>31.78</v>
      </c>
      <c r="M17" s="40">
        <v>32.26</v>
      </c>
      <c r="N17" s="40">
        <v>32.729999999999997</v>
      </c>
      <c r="O17" s="57">
        <v>33.200000000000003</v>
      </c>
      <c r="P17" s="65">
        <v>33.68</v>
      </c>
      <c r="Q17" s="65">
        <v>34.15</v>
      </c>
      <c r="R17" s="65">
        <v>34.619999999999997</v>
      </c>
      <c r="S17" s="65">
        <v>35.1</v>
      </c>
      <c r="T17" s="65">
        <v>35.57</v>
      </c>
      <c r="U17" s="65">
        <v>36.04</v>
      </c>
      <c r="V17" s="24">
        <v>29.45</v>
      </c>
      <c r="W17" s="24">
        <v>29.92</v>
      </c>
      <c r="X17" s="24">
        <v>30.4</v>
      </c>
      <c r="Y17" s="24">
        <v>30.87</v>
      </c>
      <c r="Z17" s="24">
        <v>22.35</v>
      </c>
      <c r="AA17" s="24">
        <v>21.88</v>
      </c>
      <c r="AB17" s="24">
        <v>21.41</v>
      </c>
      <c r="AC17" s="24">
        <v>20.93</v>
      </c>
      <c r="AD17" s="24">
        <v>20.46</v>
      </c>
      <c r="AE17" s="5">
        <v>13</v>
      </c>
      <c r="AF17" s="39">
        <v>16.11</v>
      </c>
      <c r="AG17" s="39">
        <v>16.440000000000001</v>
      </c>
      <c r="AH17" s="39">
        <v>16.78</v>
      </c>
      <c r="AI17" s="39">
        <v>17.11</v>
      </c>
      <c r="AJ17" s="39">
        <v>17.45</v>
      </c>
      <c r="AK17" s="39">
        <v>17.78</v>
      </c>
      <c r="AL17" s="39">
        <v>18.12</v>
      </c>
      <c r="AM17" s="39">
        <v>18.45</v>
      </c>
      <c r="AN17" s="40">
        <v>18.78</v>
      </c>
      <c r="AO17" s="51">
        <v>19.12</v>
      </c>
      <c r="AP17" s="51">
        <v>19.45</v>
      </c>
      <c r="AQ17" s="40">
        <v>19.79</v>
      </c>
      <c r="AR17" s="40">
        <v>20.12</v>
      </c>
      <c r="AS17" s="72">
        <v>20.45</v>
      </c>
      <c r="AT17" s="57">
        <v>20.79</v>
      </c>
      <c r="AU17" s="65">
        <v>21.12</v>
      </c>
      <c r="AV17" s="65">
        <v>21.46</v>
      </c>
      <c r="AW17" s="65">
        <v>21.79</v>
      </c>
      <c r="AX17" s="65">
        <v>22.12</v>
      </c>
      <c r="AY17" s="65">
        <v>22.46</v>
      </c>
      <c r="AZ17" s="65">
        <v>22.79</v>
      </c>
      <c r="BA17" s="24">
        <v>19.510000000000002</v>
      </c>
      <c r="BB17" s="24">
        <v>19.84</v>
      </c>
      <c r="BC17" s="24">
        <v>20.170000000000002</v>
      </c>
      <c r="BD17" s="24">
        <v>20.51</v>
      </c>
      <c r="BE17" s="24">
        <v>14.49</v>
      </c>
      <c r="BF17" s="24">
        <v>14.16</v>
      </c>
      <c r="BG17" s="24">
        <v>13.83</v>
      </c>
      <c r="BH17" s="24">
        <v>13.49</v>
      </c>
      <c r="BI17" s="23">
        <v>13.16</v>
      </c>
    </row>
    <row r="18" spans="1:61" x14ac:dyDescent="0.45">
      <c r="A18" s="39">
        <v>28.53</v>
      </c>
      <c r="B18" s="39">
        <v>29.04</v>
      </c>
      <c r="C18" s="39">
        <v>29.55</v>
      </c>
      <c r="D18" s="39">
        <v>30.06</v>
      </c>
      <c r="E18" s="39">
        <v>30.57</v>
      </c>
      <c r="F18" s="39">
        <v>31.08</v>
      </c>
      <c r="G18" s="39">
        <v>31.59</v>
      </c>
      <c r="H18" s="39">
        <v>32.1</v>
      </c>
      <c r="I18" s="40">
        <v>32.6</v>
      </c>
      <c r="J18" s="51">
        <v>33.11</v>
      </c>
      <c r="K18" s="51">
        <v>33.619999999999997</v>
      </c>
      <c r="L18" s="40">
        <v>34.130000000000003</v>
      </c>
      <c r="M18" s="40">
        <v>34.64</v>
      </c>
      <c r="N18" s="40">
        <v>35.15</v>
      </c>
      <c r="O18" s="57">
        <v>35.659999999999997</v>
      </c>
      <c r="P18" s="65">
        <v>36.17</v>
      </c>
      <c r="Q18" s="65">
        <v>36.68</v>
      </c>
      <c r="R18" s="65">
        <v>37.19</v>
      </c>
      <c r="S18" s="65">
        <v>37.700000000000003</v>
      </c>
      <c r="T18" s="65">
        <v>38.21</v>
      </c>
      <c r="U18" s="65">
        <v>38.72</v>
      </c>
      <c r="V18" s="24">
        <v>31.66</v>
      </c>
      <c r="W18" s="24">
        <v>32.17</v>
      </c>
      <c r="X18" s="24">
        <v>32.68</v>
      </c>
      <c r="Y18" s="24">
        <v>33.19</v>
      </c>
      <c r="Z18" s="24">
        <v>24.02</v>
      </c>
      <c r="AA18" s="24">
        <v>23.51</v>
      </c>
      <c r="AB18" s="24">
        <v>23</v>
      </c>
      <c r="AC18" s="24">
        <v>22.49</v>
      </c>
      <c r="AD18" s="24">
        <v>21.98</v>
      </c>
      <c r="AE18" s="5">
        <v>14</v>
      </c>
      <c r="AF18" s="39">
        <v>17.11</v>
      </c>
      <c r="AG18" s="39">
        <v>17.47</v>
      </c>
      <c r="AH18" s="39">
        <v>17.829999999999998</v>
      </c>
      <c r="AI18" s="39">
        <v>18.190000000000001</v>
      </c>
      <c r="AJ18" s="39">
        <v>18.55</v>
      </c>
      <c r="AK18" s="39">
        <v>18.91</v>
      </c>
      <c r="AL18" s="39">
        <v>19.27</v>
      </c>
      <c r="AM18" s="39">
        <v>19.63</v>
      </c>
      <c r="AN18" s="40">
        <v>19.989999999999998</v>
      </c>
      <c r="AO18" s="51">
        <v>20.350000000000001</v>
      </c>
      <c r="AP18" s="51">
        <v>20.71</v>
      </c>
      <c r="AQ18" s="40">
        <v>21.07</v>
      </c>
      <c r="AR18" s="40">
        <v>21.43</v>
      </c>
      <c r="AS18" s="72">
        <v>21.79</v>
      </c>
      <c r="AT18" s="57">
        <v>22.15</v>
      </c>
      <c r="AU18" s="65">
        <v>22.51</v>
      </c>
      <c r="AV18" s="65">
        <v>22.87</v>
      </c>
      <c r="AW18" s="65">
        <v>23.23</v>
      </c>
      <c r="AX18" s="65">
        <v>23.59</v>
      </c>
      <c r="AY18" s="65">
        <v>23.95</v>
      </c>
      <c r="AZ18" s="65">
        <v>24.31</v>
      </c>
      <c r="BA18" s="24">
        <v>20.86</v>
      </c>
      <c r="BB18" s="24">
        <v>21.22</v>
      </c>
      <c r="BC18" s="24">
        <v>21.58</v>
      </c>
      <c r="BD18" s="24">
        <v>21.94</v>
      </c>
      <c r="BE18" s="24">
        <v>15.46</v>
      </c>
      <c r="BF18" s="24">
        <v>15.1</v>
      </c>
      <c r="BG18" s="24">
        <v>14.74</v>
      </c>
      <c r="BH18" s="24">
        <v>14.38</v>
      </c>
      <c r="BI18" s="23">
        <v>14.02</v>
      </c>
    </row>
    <row r="19" spans="1:61" x14ac:dyDescent="0.45">
      <c r="A19" s="39">
        <v>30.47</v>
      </c>
      <c r="B19" s="39">
        <v>31.02</v>
      </c>
      <c r="C19" s="39">
        <v>31.57</v>
      </c>
      <c r="D19" s="39">
        <v>32.11</v>
      </c>
      <c r="E19" s="39">
        <v>32.659999999999997</v>
      </c>
      <c r="F19" s="39">
        <v>33.200000000000003</v>
      </c>
      <c r="G19" s="39">
        <v>33.75</v>
      </c>
      <c r="H19" s="39">
        <v>34.299999999999997</v>
      </c>
      <c r="I19" s="40">
        <v>34.840000000000003</v>
      </c>
      <c r="J19" s="51">
        <v>35.39</v>
      </c>
      <c r="K19" s="51">
        <v>35.93</v>
      </c>
      <c r="L19" s="40">
        <v>36.479999999999997</v>
      </c>
      <c r="M19" s="40">
        <v>37.03</v>
      </c>
      <c r="N19" s="40">
        <v>37.57</v>
      </c>
      <c r="O19" s="57">
        <v>38.119999999999997</v>
      </c>
      <c r="P19" s="65">
        <v>38.659999999999997</v>
      </c>
      <c r="Q19" s="65">
        <v>39.21</v>
      </c>
      <c r="R19" s="65">
        <v>39.76</v>
      </c>
      <c r="S19" s="65">
        <v>40.299999999999997</v>
      </c>
      <c r="T19" s="65">
        <v>40.85</v>
      </c>
      <c r="U19" s="65">
        <v>41.39</v>
      </c>
      <c r="V19" s="24">
        <v>33.869999999999997</v>
      </c>
      <c r="W19" s="24">
        <v>34.409999999999997</v>
      </c>
      <c r="X19" s="24">
        <v>34.96</v>
      </c>
      <c r="Y19" s="24">
        <v>35.51</v>
      </c>
      <c r="Z19" s="24">
        <v>25.68</v>
      </c>
      <c r="AA19" s="24">
        <v>25.13</v>
      </c>
      <c r="AB19" s="24">
        <v>24.59</v>
      </c>
      <c r="AC19" s="24">
        <v>24.04</v>
      </c>
      <c r="AD19" s="24">
        <v>23.49</v>
      </c>
      <c r="AE19" s="5">
        <v>15</v>
      </c>
      <c r="AF19" s="39">
        <v>18.170000000000002</v>
      </c>
      <c r="AG19" s="39">
        <v>18.55</v>
      </c>
      <c r="AH19" s="39">
        <v>18.940000000000001</v>
      </c>
      <c r="AI19" s="39">
        <v>19.32</v>
      </c>
      <c r="AJ19" s="39">
        <v>19.71</v>
      </c>
      <c r="AK19" s="39">
        <v>20.09</v>
      </c>
      <c r="AL19" s="39">
        <v>20.48</v>
      </c>
      <c r="AM19" s="39">
        <v>20.87</v>
      </c>
      <c r="AN19" s="40">
        <v>21.25</v>
      </c>
      <c r="AO19" s="51">
        <v>21.64</v>
      </c>
      <c r="AP19" s="51">
        <v>22.02</v>
      </c>
      <c r="AQ19" s="40">
        <v>22.41</v>
      </c>
      <c r="AR19" s="40">
        <v>22.79</v>
      </c>
      <c r="AS19" s="72">
        <v>23.18</v>
      </c>
      <c r="AT19" s="57">
        <v>23.56</v>
      </c>
      <c r="AU19" s="65">
        <v>23.95</v>
      </c>
      <c r="AV19" s="65">
        <v>24.33</v>
      </c>
      <c r="AW19" s="65">
        <v>24.72</v>
      </c>
      <c r="AX19" s="65">
        <v>25.11</v>
      </c>
      <c r="AY19" s="65">
        <v>25.49</v>
      </c>
      <c r="AZ19" s="65">
        <v>25.88</v>
      </c>
      <c r="BA19" s="24">
        <v>22.24</v>
      </c>
      <c r="BB19" s="24">
        <v>22.63</v>
      </c>
      <c r="BC19" s="24">
        <v>23.01</v>
      </c>
      <c r="BD19" s="24">
        <v>23.4</v>
      </c>
      <c r="BE19" s="24">
        <v>16.46</v>
      </c>
      <c r="BF19" s="24">
        <v>16.07</v>
      </c>
      <c r="BG19" s="24">
        <v>15.69</v>
      </c>
      <c r="BH19" s="24">
        <v>15.3</v>
      </c>
      <c r="BI19" s="23">
        <v>14.92</v>
      </c>
    </row>
    <row r="20" spans="1:61" x14ac:dyDescent="0.45">
      <c r="A20" s="39">
        <v>32.42</v>
      </c>
      <c r="B20" s="39">
        <v>33.01</v>
      </c>
      <c r="C20" s="39">
        <v>33.590000000000003</v>
      </c>
      <c r="D20" s="39">
        <v>34.17</v>
      </c>
      <c r="E20" s="39">
        <v>34.74</v>
      </c>
      <c r="F20" s="39">
        <v>35.340000000000003</v>
      </c>
      <c r="G20" s="39">
        <v>35.92</v>
      </c>
      <c r="H20" s="39">
        <v>36.5</v>
      </c>
      <c r="I20" s="40">
        <v>37.08</v>
      </c>
      <c r="J20" s="51">
        <v>37.67</v>
      </c>
      <c r="K20" s="51">
        <v>38.25</v>
      </c>
      <c r="L20" s="40">
        <v>38.83</v>
      </c>
      <c r="M20" s="40">
        <v>39.409999999999997</v>
      </c>
      <c r="N20" s="40">
        <v>40</v>
      </c>
      <c r="O20" s="57">
        <v>40.58</v>
      </c>
      <c r="P20" s="65">
        <v>41.16</v>
      </c>
      <c r="Q20" s="65">
        <v>41.74</v>
      </c>
      <c r="R20" s="65">
        <v>42.33</v>
      </c>
      <c r="S20" s="65">
        <v>42.91</v>
      </c>
      <c r="T20" s="65">
        <v>43.49</v>
      </c>
      <c r="U20" s="65">
        <v>44.07</v>
      </c>
      <c r="V20" s="24">
        <v>36.08</v>
      </c>
      <c r="W20" s="24">
        <v>36.659999999999997</v>
      </c>
      <c r="X20" s="24">
        <v>37.24</v>
      </c>
      <c r="Y20" s="24">
        <v>37.83</v>
      </c>
      <c r="Z20" s="24">
        <v>27.34</v>
      </c>
      <c r="AA20" s="24">
        <v>26.76</v>
      </c>
      <c r="AB20" s="24">
        <v>26.18</v>
      </c>
      <c r="AC20" s="24">
        <v>25.6</v>
      </c>
      <c r="AD20" s="24">
        <v>25.01</v>
      </c>
      <c r="AE20" s="5">
        <v>16</v>
      </c>
      <c r="AF20" s="39">
        <v>19.34</v>
      </c>
      <c r="AG20" s="39">
        <v>19.75</v>
      </c>
      <c r="AH20" s="39">
        <v>20.16</v>
      </c>
      <c r="AI20" s="39">
        <v>20.57</v>
      </c>
      <c r="AJ20" s="39">
        <v>20.98</v>
      </c>
      <c r="AK20" s="39">
        <v>21.39</v>
      </c>
      <c r="AL20" s="39">
        <v>21.8</v>
      </c>
      <c r="AM20" s="39">
        <v>22.21</v>
      </c>
      <c r="AN20" s="40">
        <v>22.63</v>
      </c>
      <c r="AO20" s="51">
        <v>23.04</v>
      </c>
      <c r="AP20" s="51">
        <v>23.45</v>
      </c>
      <c r="AQ20" s="40">
        <v>23.86</v>
      </c>
      <c r="AR20" s="40">
        <v>24.27</v>
      </c>
      <c r="AS20" s="72">
        <v>24.68</v>
      </c>
      <c r="AT20" s="57">
        <v>25.09</v>
      </c>
      <c r="AU20" s="65">
        <v>25.5</v>
      </c>
      <c r="AV20" s="65">
        <v>25.91</v>
      </c>
      <c r="AW20" s="65">
        <v>26.33</v>
      </c>
      <c r="AX20" s="65">
        <v>26.74</v>
      </c>
      <c r="AY20" s="65">
        <v>27.15</v>
      </c>
      <c r="AZ20" s="65">
        <v>27.56</v>
      </c>
      <c r="BA20" s="24">
        <v>23.7</v>
      </c>
      <c r="BB20" s="24">
        <v>24.11</v>
      </c>
      <c r="BC20" s="24">
        <v>24.52</v>
      </c>
      <c r="BD20" s="24">
        <v>24.93</v>
      </c>
      <c r="BE20" s="24">
        <v>17.53</v>
      </c>
      <c r="BF20" s="24">
        <v>17.12</v>
      </c>
      <c r="BG20" s="24">
        <v>16.71</v>
      </c>
      <c r="BH20" s="24">
        <v>16.3</v>
      </c>
      <c r="BI20" s="23">
        <v>15.89</v>
      </c>
    </row>
    <row r="21" spans="1:61" x14ac:dyDescent="0.45">
      <c r="A21" s="39">
        <v>34.369999999999997</v>
      </c>
      <c r="B21" s="39">
        <v>34.99</v>
      </c>
      <c r="C21" s="39">
        <v>35.61</v>
      </c>
      <c r="D21" s="39">
        <v>36.229999999999997</v>
      </c>
      <c r="E21" s="39">
        <v>36.85</v>
      </c>
      <c r="F21" s="39">
        <v>37.46</v>
      </c>
      <c r="G21" s="39">
        <v>38.08</v>
      </c>
      <c r="H21" s="39">
        <v>38.700000000000003</v>
      </c>
      <c r="I21" s="40">
        <v>39.32</v>
      </c>
      <c r="J21" s="51">
        <v>39.94</v>
      </c>
      <c r="K21" s="51">
        <v>40.56</v>
      </c>
      <c r="L21" s="40">
        <v>41.18</v>
      </c>
      <c r="M21" s="40">
        <v>41.8</v>
      </c>
      <c r="N21" s="40">
        <v>42.41</v>
      </c>
      <c r="O21" s="57">
        <v>43.03</v>
      </c>
      <c r="P21" s="65">
        <v>43.65</v>
      </c>
      <c r="Q21" s="65">
        <v>44.27</v>
      </c>
      <c r="R21" s="65">
        <v>44.89</v>
      </c>
      <c r="S21" s="65">
        <v>45.51</v>
      </c>
      <c r="T21" s="65">
        <v>46.13</v>
      </c>
      <c r="U21" s="65">
        <v>46.75</v>
      </c>
      <c r="V21" s="24">
        <v>38.29</v>
      </c>
      <c r="W21" s="24">
        <v>38.909999999999997</v>
      </c>
      <c r="X21" s="24">
        <v>39.520000000000003</v>
      </c>
      <c r="Y21" s="24">
        <v>40.14</v>
      </c>
      <c r="Z21" s="24">
        <v>29</v>
      </c>
      <c r="AA21" s="24">
        <v>28.39</v>
      </c>
      <c r="AB21" s="24">
        <v>27.77</v>
      </c>
      <c r="AC21" s="24">
        <v>27.15</v>
      </c>
      <c r="AD21" s="24">
        <v>26.53</v>
      </c>
      <c r="AE21" s="5">
        <v>17</v>
      </c>
      <c r="AF21" s="39">
        <v>20.51</v>
      </c>
      <c r="AG21" s="39">
        <v>20.94</v>
      </c>
      <c r="AH21" s="39">
        <v>21.38</v>
      </c>
      <c r="AI21" s="39">
        <v>21.82</v>
      </c>
      <c r="AJ21" s="39">
        <v>22.25</v>
      </c>
      <c r="AK21" s="39">
        <v>22.69</v>
      </c>
      <c r="AL21" s="39">
        <v>23.13</v>
      </c>
      <c r="AM21" s="39">
        <v>23.56</v>
      </c>
      <c r="AN21" s="40">
        <v>24</v>
      </c>
      <c r="AO21" s="51">
        <v>24.44</v>
      </c>
      <c r="AP21" s="51">
        <v>24.87</v>
      </c>
      <c r="AQ21" s="40">
        <v>25.31</v>
      </c>
      <c r="AR21" s="40">
        <v>25.75</v>
      </c>
      <c r="AS21" s="72">
        <v>26.19</v>
      </c>
      <c r="AT21" s="57">
        <v>26.62</v>
      </c>
      <c r="AU21" s="65">
        <v>27.06</v>
      </c>
      <c r="AV21" s="65">
        <v>27.5</v>
      </c>
      <c r="AW21" s="65">
        <v>27.93</v>
      </c>
      <c r="AX21" s="65">
        <v>28.37</v>
      </c>
      <c r="AY21" s="65">
        <v>28.81</v>
      </c>
      <c r="AZ21" s="65">
        <v>29.24</v>
      </c>
      <c r="BA21" s="24">
        <v>25.16</v>
      </c>
      <c r="BB21" s="24">
        <v>25.59</v>
      </c>
      <c r="BC21" s="24">
        <v>26.03</v>
      </c>
      <c r="BD21" s="24">
        <v>26.47</v>
      </c>
      <c r="BE21" s="24">
        <v>18.600000000000001</v>
      </c>
      <c r="BF21" s="24">
        <v>18.170000000000002</v>
      </c>
      <c r="BG21" s="24">
        <v>17.73</v>
      </c>
      <c r="BH21" s="24">
        <v>17.29</v>
      </c>
      <c r="BI21" s="24">
        <v>16.850000000000001</v>
      </c>
    </row>
    <row r="22" spans="1:61" x14ac:dyDescent="0.45">
      <c r="A22" s="39">
        <v>36.32</v>
      </c>
      <c r="B22" s="39">
        <v>36.97</v>
      </c>
      <c r="C22" s="39">
        <v>37.630000000000003</v>
      </c>
      <c r="D22" s="39">
        <v>38.28</v>
      </c>
      <c r="E22" s="39">
        <v>38.94</v>
      </c>
      <c r="F22" s="39">
        <v>32.96</v>
      </c>
      <c r="G22" s="39">
        <v>40.25</v>
      </c>
      <c r="H22" s="39">
        <v>40.9</v>
      </c>
      <c r="I22" s="40">
        <v>41.56</v>
      </c>
      <c r="J22" s="51">
        <v>42.21</v>
      </c>
      <c r="K22" s="51">
        <v>42.87</v>
      </c>
      <c r="L22" s="40">
        <v>43.52</v>
      </c>
      <c r="M22" s="40">
        <v>44.18</v>
      </c>
      <c r="N22" s="40">
        <v>44.83</v>
      </c>
      <c r="O22" s="57">
        <v>45.49</v>
      </c>
      <c r="P22" s="65">
        <v>46.14</v>
      </c>
      <c r="Q22" s="65">
        <v>46.8</v>
      </c>
      <c r="R22" s="65">
        <v>47.45</v>
      </c>
      <c r="S22" s="65">
        <v>48.11</v>
      </c>
      <c r="T22" s="65">
        <v>48.76</v>
      </c>
      <c r="U22" s="65">
        <v>49.42</v>
      </c>
      <c r="V22" s="24">
        <v>40.49</v>
      </c>
      <c r="W22" s="24">
        <v>41.15</v>
      </c>
      <c r="X22" s="24">
        <v>41.8</v>
      </c>
      <c r="Y22" s="24">
        <v>42.46</v>
      </c>
      <c r="Z22" s="24">
        <v>30.67</v>
      </c>
      <c r="AA22" s="24">
        <v>30.01</v>
      </c>
      <c r="AB22" s="24">
        <v>29.36</v>
      </c>
      <c r="AC22" s="24">
        <v>28.7</v>
      </c>
      <c r="AD22" s="24">
        <v>28.05</v>
      </c>
      <c r="AE22" s="5">
        <v>18</v>
      </c>
      <c r="AF22" s="39">
        <v>21.68</v>
      </c>
      <c r="AG22" s="39">
        <v>22.14</v>
      </c>
      <c r="AH22" s="39">
        <v>22.6</v>
      </c>
      <c r="AI22" s="39">
        <v>23.06</v>
      </c>
      <c r="AJ22" s="39">
        <v>23.53</v>
      </c>
      <c r="AK22" s="39">
        <v>23.99</v>
      </c>
      <c r="AL22" s="39">
        <v>24.45</v>
      </c>
      <c r="AM22" s="39">
        <v>24.91</v>
      </c>
      <c r="AN22" s="40">
        <v>25.38</v>
      </c>
      <c r="AO22" s="51">
        <v>25.84</v>
      </c>
      <c r="AP22" s="51">
        <v>26.3</v>
      </c>
      <c r="AQ22" s="40">
        <v>26.76</v>
      </c>
      <c r="AR22" s="40">
        <v>27.23</v>
      </c>
      <c r="AS22" s="72">
        <v>27.69</v>
      </c>
      <c r="AT22" s="57">
        <v>28.15</v>
      </c>
      <c r="AU22" s="65">
        <v>28.61</v>
      </c>
      <c r="AV22" s="65">
        <v>29.08</v>
      </c>
      <c r="AW22" s="65">
        <v>29.54</v>
      </c>
      <c r="AX22" s="65">
        <v>30</v>
      </c>
      <c r="AY22" s="65">
        <v>30.46</v>
      </c>
      <c r="AZ22" s="65">
        <v>30.93</v>
      </c>
      <c r="BA22" s="24">
        <v>26.61</v>
      </c>
      <c r="BB22" s="24">
        <v>27.08</v>
      </c>
      <c r="BC22" s="24">
        <v>27.54</v>
      </c>
      <c r="BD22" s="24">
        <v>28</v>
      </c>
      <c r="BE22" s="24">
        <v>19.670000000000002</v>
      </c>
      <c r="BF22" s="24">
        <v>19.21</v>
      </c>
      <c r="BG22" s="24">
        <v>18.75</v>
      </c>
      <c r="BH22" s="24">
        <v>18.29</v>
      </c>
      <c r="BI22" s="24">
        <v>17.82</v>
      </c>
    </row>
    <row r="23" spans="1:61" x14ac:dyDescent="0.45">
      <c r="A23" s="39">
        <v>38.270000000000003</v>
      </c>
      <c r="B23" s="39">
        <v>38.96</v>
      </c>
      <c r="C23" s="39">
        <v>39.65</v>
      </c>
      <c r="D23" s="39">
        <v>40.340000000000003</v>
      </c>
      <c r="E23" s="39">
        <v>41.03</v>
      </c>
      <c r="F23" s="39">
        <v>41.73</v>
      </c>
      <c r="G23" s="39">
        <v>42.42</v>
      </c>
      <c r="H23" s="39">
        <v>43.11</v>
      </c>
      <c r="I23" s="40">
        <v>43.8</v>
      </c>
      <c r="J23" s="51">
        <v>44.49</v>
      </c>
      <c r="K23" s="51">
        <v>45.18</v>
      </c>
      <c r="L23" s="40">
        <v>45.88</v>
      </c>
      <c r="M23" s="40">
        <v>46.57</v>
      </c>
      <c r="N23" s="40">
        <v>47.26</v>
      </c>
      <c r="O23" s="57">
        <v>47.95</v>
      </c>
      <c r="P23" s="65">
        <v>48.64</v>
      </c>
      <c r="Q23" s="65">
        <v>49.33</v>
      </c>
      <c r="R23" s="65">
        <v>50.03</v>
      </c>
      <c r="S23" s="65">
        <v>50.72</v>
      </c>
      <c r="T23" s="65">
        <v>51.41</v>
      </c>
      <c r="U23" s="65">
        <v>52.1</v>
      </c>
      <c r="V23" s="24">
        <v>42.71</v>
      </c>
      <c r="W23" s="24">
        <v>43.4</v>
      </c>
      <c r="X23" s="24">
        <v>44.09</v>
      </c>
      <c r="Y23" s="24">
        <v>44.78</v>
      </c>
      <c r="Z23" s="24">
        <v>32.33</v>
      </c>
      <c r="AA23" s="24">
        <v>31.64</v>
      </c>
      <c r="AB23" s="24">
        <v>30.95</v>
      </c>
      <c r="AC23" s="24">
        <v>30.26</v>
      </c>
      <c r="AD23" s="24">
        <v>29.57</v>
      </c>
      <c r="AE23" s="5">
        <v>19</v>
      </c>
      <c r="AF23" s="39">
        <v>22.85</v>
      </c>
      <c r="AG23" s="39">
        <v>23.33</v>
      </c>
      <c r="AH23" s="39">
        <v>23.82</v>
      </c>
      <c r="AI23" s="39">
        <v>24.31</v>
      </c>
      <c r="AJ23" s="39">
        <v>24.8</v>
      </c>
      <c r="AK23" s="39">
        <v>25.29</v>
      </c>
      <c r="AL23" s="39">
        <v>25.78</v>
      </c>
      <c r="AM23" s="39">
        <v>26.26</v>
      </c>
      <c r="AN23" s="40">
        <v>26.75</v>
      </c>
      <c r="AO23" s="51">
        <v>27.24</v>
      </c>
      <c r="AP23" s="51">
        <v>27.73</v>
      </c>
      <c r="AQ23" s="40">
        <v>28.22</v>
      </c>
      <c r="AR23" s="40">
        <v>28.7</v>
      </c>
      <c r="AS23" s="72">
        <v>29.19</v>
      </c>
      <c r="AT23" s="57">
        <v>29.68</v>
      </c>
      <c r="AU23" s="65">
        <v>30.17</v>
      </c>
      <c r="AV23" s="65">
        <v>30.66</v>
      </c>
      <c r="AW23" s="65">
        <v>31.15</v>
      </c>
      <c r="AX23" s="65">
        <v>31.63</v>
      </c>
      <c r="AY23" s="65">
        <v>32.119999999999997</v>
      </c>
      <c r="AZ23" s="65">
        <v>32.61</v>
      </c>
      <c r="BA23" s="24">
        <v>27.07</v>
      </c>
      <c r="BB23" s="24">
        <v>28.56</v>
      </c>
      <c r="BC23" s="24">
        <v>29.05</v>
      </c>
      <c r="BD23" s="24">
        <v>29.53</v>
      </c>
      <c r="BE23" s="24">
        <v>20.75</v>
      </c>
      <c r="BF23" s="24">
        <v>20.260000000000002</v>
      </c>
      <c r="BG23" s="24">
        <v>19.77</v>
      </c>
      <c r="BH23" s="24">
        <v>19.28</v>
      </c>
      <c r="BI23" s="24">
        <v>18.79</v>
      </c>
    </row>
    <row r="24" spans="1:61" x14ac:dyDescent="0.45">
      <c r="A24" s="39">
        <v>40.22</v>
      </c>
      <c r="B24" s="39">
        <v>40.94</v>
      </c>
      <c r="C24" s="39">
        <v>41.67</v>
      </c>
      <c r="D24" s="39">
        <v>42.4</v>
      </c>
      <c r="E24" s="39">
        <v>43.13</v>
      </c>
      <c r="F24" s="39">
        <v>43.86</v>
      </c>
      <c r="G24" s="39">
        <v>44.58</v>
      </c>
      <c r="H24" s="39">
        <v>45.31</v>
      </c>
      <c r="I24" s="40">
        <v>46.04</v>
      </c>
      <c r="J24" s="51">
        <v>46.77</v>
      </c>
      <c r="K24" s="51">
        <v>47.5</v>
      </c>
      <c r="L24" s="40">
        <v>48.22</v>
      </c>
      <c r="M24" s="40">
        <v>48.95</v>
      </c>
      <c r="N24" s="40">
        <v>49.68</v>
      </c>
      <c r="O24" s="57">
        <v>50.41</v>
      </c>
      <c r="P24" s="65">
        <v>51.14</v>
      </c>
      <c r="Q24" s="65">
        <v>51.86</v>
      </c>
      <c r="R24" s="65">
        <v>52.59</v>
      </c>
      <c r="S24" s="65">
        <v>53.32</v>
      </c>
      <c r="T24" s="65">
        <v>54.05</v>
      </c>
      <c r="U24" s="65">
        <v>54.78</v>
      </c>
      <c r="V24" s="24">
        <v>44.91</v>
      </c>
      <c r="W24" s="24">
        <v>45.64</v>
      </c>
      <c r="X24" s="24">
        <v>46.37</v>
      </c>
      <c r="Y24" s="24">
        <v>47.1</v>
      </c>
      <c r="Z24" s="24">
        <v>33.99</v>
      </c>
      <c r="AA24" s="24">
        <v>33.270000000000003</v>
      </c>
      <c r="AB24" s="24">
        <v>32.54</v>
      </c>
      <c r="AC24" s="24">
        <v>31.81</v>
      </c>
      <c r="AD24" s="24">
        <v>31.08</v>
      </c>
      <c r="AE24" s="5">
        <v>20</v>
      </c>
      <c r="AF24" s="39">
        <v>24.01</v>
      </c>
      <c r="AG24" s="39">
        <v>24.53</v>
      </c>
      <c r="AH24" s="39">
        <v>25.04</v>
      </c>
      <c r="AI24" s="39">
        <v>25.56</v>
      </c>
      <c r="AJ24" s="39">
        <v>26.07</v>
      </c>
      <c r="AK24" s="39">
        <v>26.58</v>
      </c>
      <c r="AL24" s="39">
        <v>27.1</v>
      </c>
      <c r="AM24" s="39">
        <v>27.61</v>
      </c>
      <c r="AN24" s="40">
        <v>28.13</v>
      </c>
      <c r="AO24" s="51">
        <v>28.64</v>
      </c>
      <c r="AP24" s="51">
        <v>29.15</v>
      </c>
      <c r="AQ24" s="40">
        <v>29.67</v>
      </c>
      <c r="AR24" s="40">
        <v>30.18</v>
      </c>
      <c r="AS24" s="72">
        <v>30.7</v>
      </c>
      <c r="AT24" s="57">
        <v>31.21</v>
      </c>
      <c r="AU24" s="65">
        <v>31.72</v>
      </c>
      <c r="AV24" s="65">
        <v>32.24</v>
      </c>
      <c r="AW24" s="65">
        <v>32.75</v>
      </c>
      <c r="AX24" s="65">
        <v>33.270000000000003</v>
      </c>
      <c r="AY24" s="65">
        <v>33.78</v>
      </c>
      <c r="AZ24" s="65">
        <v>34.29</v>
      </c>
      <c r="BA24" s="24">
        <v>29.53</v>
      </c>
      <c r="BB24" s="24">
        <v>30.04</v>
      </c>
      <c r="BC24" s="24">
        <v>30.55</v>
      </c>
      <c r="BD24" s="24">
        <v>31.07</v>
      </c>
      <c r="BE24" s="24">
        <v>21.82</v>
      </c>
      <c r="BF24" s="24">
        <v>21.3</v>
      </c>
      <c r="BG24" s="24">
        <v>20.79</v>
      </c>
      <c r="BH24" s="24">
        <v>20.27</v>
      </c>
      <c r="BI24" s="24">
        <v>19.760000000000002</v>
      </c>
    </row>
    <row r="25" spans="1:61" x14ac:dyDescent="0.45">
      <c r="A25" s="39">
        <v>42.16</v>
      </c>
      <c r="B25" s="39">
        <v>42.92</v>
      </c>
      <c r="C25" s="39">
        <v>43.69</v>
      </c>
      <c r="D25" s="39">
        <v>44.45</v>
      </c>
      <c r="E25" s="39">
        <v>45.22</v>
      </c>
      <c r="F25" s="39">
        <v>45.98</v>
      </c>
      <c r="G25" s="39">
        <v>46.75</v>
      </c>
      <c r="H25" s="39">
        <v>47.51</v>
      </c>
      <c r="I25" s="40">
        <v>48.28</v>
      </c>
      <c r="J25" s="51">
        <v>49.04</v>
      </c>
      <c r="K25" s="51">
        <v>49.8</v>
      </c>
      <c r="L25" s="40">
        <v>50.57</v>
      </c>
      <c r="M25" s="40">
        <v>51.33</v>
      </c>
      <c r="N25" s="40">
        <v>52.1</v>
      </c>
      <c r="O25" s="57">
        <v>52.86</v>
      </c>
      <c r="P25" s="65">
        <v>53.63</v>
      </c>
      <c r="Q25" s="65">
        <v>54.39</v>
      </c>
      <c r="R25" s="65">
        <v>55.16</v>
      </c>
      <c r="S25" s="65">
        <v>55.92</v>
      </c>
      <c r="T25" s="65">
        <v>56.68</v>
      </c>
      <c r="U25" s="65">
        <v>57.45</v>
      </c>
      <c r="V25" s="24">
        <v>47.12</v>
      </c>
      <c r="W25" s="24">
        <v>47.89</v>
      </c>
      <c r="X25" s="24">
        <v>48.65</v>
      </c>
      <c r="Y25" s="24">
        <v>49.41</v>
      </c>
      <c r="Z25" s="24">
        <v>35.659999999999997</v>
      </c>
      <c r="AA25" s="24">
        <v>34.89</v>
      </c>
      <c r="AB25" s="24">
        <v>34.130000000000003</v>
      </c>
      <c r="AC25" s="24">
        <v>33.36</v>
      </c>
      <c r="AD25" s="24">
        <v>32.6</v>
      </c>
      <c r="AE25" s="5">
        <v>21</v>
      </c>
      <c r="AF25" s="39">
        <v>25.19</v>
      </c>
      <c r="AG25" s="39">
        <v>25.73</v>
      </c>
      <c r="AH25" s="39">
        <v>26.26</v>
      </c>
      <c r="AI25" s="39">
        <v>26.8</v>
      </c>
      <c r="AJ25" s="39">
        <v>27.34</v>
      </c>
      <c r="AK25" s="39">
        <v>27.88</v>
      </c>
      <c r="AL25" s="39">
        <v>28.42</v>
      </c>
      <c r="AM25" s="39">
        <v>28.96</v>
      </c>
      <c r="AN25" s="40">
        <v>29.5</v>
      </c>
      <c r="AO25" s="51">
        <v>30.04</v>
      </c>
      <c r="AP25" s="51">
        <v>30.58</v>
      </c>
      <c r="AQ25" s="40">
        <v>31.12</v>
      </c>
      <c r="AR25" s="40">
        <v>31.66</v>
      </c>
      <c r="AS25" s="72">
        <v>32.200000000000003</v>
      </c>
      <c r="AT25" s="57">
        <v>32.74</v>
      </c>
      <c r="AU25" s="65">
        <v>33.28</v>
      </c>
      <c r="AV25" s="65">
        <v>33.82</v>
      </c>
      <c r="AW25" s="65">
        <v>34.36</v>
      </c>
      <c r="AX25" s="65">
        <v>34.9</v>
      </c>
      <c r="AY25" s="65">
        <v>35.44</v>
      </c>
      <c r="AZ25" s="65">
        <v>35.979999999999997</v>
      </c>
      <c r="BA25" s="24">
        <v>30.98</v>
      </c>
      <c r="BB25" s="24">
        <v>31.52</v>
      </c>
      <c r="BC25" s="24">
        <v>32.06</v>
      </c>
      <c r="BD25" s="24">
        <v>32.6</v>
      </c>
      <c r="BE25" s="24">
        <v>22.89</v>
      </c>
      <c r="BF25" s="24">
        <v>22.35</v>
      </c>
      <c r="BG25" s="24">
        <v>21.81</v>
      </c>
      <c r="BH25" s="24">
        <v>21.27</v>
      </c>
      <c r="BI25" s="24">
        <v>20.73</v>
      </c>
    </row>
    <row r="26" spans="1:61" x14ac:dyDescent="0.45">
      <c r="A26" s="39">
        <v>44.11</v>
      </c>
      <c r="B26" s="39">
        <v>44.92</v>
      </c>
      <c r="C26" s="39">
        <v>45.72</v>
      </c>
      <c r="D26" s="39">
        <v>46.522221999999999</v>
      </c>
      <c r="E26" s="39">
        <v>47.32</v>
      </c>
      <c r="F26" s="39">
        <v>48.12</v>
      </c>
      <c r="G26" s="39">
        <v>48.92</v>
      </c>
      <c r="H26" s="39">
        <v>49.72</v>
      </c>
      <c r="I26" s="40">
        <v>50.52</v>
      </c>
      <c r="J26" s="51">
        <v>51.32</v>
      </c>
      <c r="K26" s="51">
        <v>52.12</v>
      </c>
      <c r="L26" s="40">
        <v>52.92</v>
      </c>
      <c r="M26" s="40">
        <v>53.72</v>
      </c>
      <c r="N26" s="40">
        <v>54.52</v>
      </c>
      <c r="O26" s="57">
        <v>55.33</v>
      </c>
      <c r="P26" s="65">
        <v>56.13</v>
      </c>
      <c r="Q26" s="65">
        <v>56.93</v>
      </c>
      <c r="R26" s="65">
        <v>57.73</v>
      </c>
      <c r="S26" s="65">
        <v>58.53</v>
      </c>
      <c r="T26" s="65">
        <v>59.33</v>
      </c>
      <c r="U26" s="65">
        <v>60.13</v>
      </c>
      <c r="V26" s="24">
        <v>49.33</v>
      </c>
      <c r="W26" s="24">
        <v>50.14</v>
      </c>
      <c r="X26" s="24">
        <v>50.94</v>
      </c>
      <c r="Y26" s="24">
        <v>51.74</v>
      </c>
      <c r="Z26" s="24">
        <v>37.32</v>
      </c>
      <c r="AA26" s="24">
        <v>36.520000000000003</v>
      </c>
      <c r="AB26" s="24">
        <v>35.72</v>
      </c>
      <c r="AC26" s="24">
        <v>34.92</v>
      </c>
      <c r="AD26" s="24">
        <v>34.119999999999997</v>
      </c>
      <c r="AE26" s="5">
        <v>22</v>
      </c>
      <c r="AF26" s="39">
        <v>26.35</v>
      </c>
      <c r="AG26" s="39">
        <v>26.92</v>
      </c>
      <c r="AH26" s="39">
        <v>27.48</v>
      </c>
      <c r="AI26" s="39">
        <v>28.05</v>
      </c>
      <c r="AJ26" s="39">
        <v>28.61</v>
      </c>
      <c r="AK26" s="39">
        <v>29.18</v>
      </c>
      <c r="AL26" s="39">
        <v>29.75</v>
      </c>
      <c r="AM26" s="39">
        <v>30.31</v>
      </c>
      <c r="AN26" s="40">
        <v>30.88</v>
      </c>
      <c r="AO26" s="51">
        <v>31.44</v>
      </c>
      <c r="AP26" s="51">
        <v>32.01</v>
      </c>
      <c r="AQ26" s="40">
        <v>32.57</v>
      </c>
      <c r="AR26" s="40">
        <v>33.14</v>
      </c>
      <c r="AS26" s="72">
        <v>33.700000000000003</v>
      </c>
      <c r="AT26" s="57">
        <v>34.270000000000003</v>
      </c>
      <c r="AU26" s="65">
        <v>34.83</v>
      </c>
      <c r="AV26" s="65">
        <v>35.4</v>
      </c>
      <c r="AW26" s="65">
        <v>35.96</v>
      </c>
      <c r="AX26" s="65">
        <v>36.53</v>
      </c>
      <c r="AY26" s="65">
        <v>37.1</v>
      </c>
      <c r="AZ26" s="65">
        <v>37.659999999999997</v>
      </c>
      <c r="BA26" s="24">
        <v>32.44</v>
      </c>
      <c r="BB26" s="24">
        <v>33.01</v>
      </c>
      <c r="BC26" s="24">
        <v>33.57</v>
      </c>
      <c r="BD26" s="24">
        <v>34.14</v>
      </c>
      <c r="BE26" s="24">
        <v>23.96</v>
      </c>
      <c r="BF26" s="24">
        <v>23.39</v>
      </c>
      <c r="BG26" s="24">
        <v>22.83</v>
      </c>
      <c r="BH26" s="24">
        <v>22.26</v>
      </c>
      <c r="BI26" s="24">
        <v>21.7</v>
      </c>
    </row>
    <row r="27" spans="1:61" x14ac:dyDescent="0.45">
      <c r="A27" s="39">
        <v>46.05</v>
      </c>
      <c r="B27" s="39">
        <v>46.89</v>
      </c>
      <c r="C27" s="39">
        <v>47.73</v>
      </c>
      <c r="D27" s="39">
        <v>48.57</v>
      </c>
      <c r="E27" s="39">
        <v>49.4</v>
      </c>
      <c r="F27" s="39">
        <v>50.24</v>
      </c>
      <c r="G27" s="39">
        <v>51.08</v>
      </c>
      <c r="H27" s="39">
        <v>51.91</v>
      </c>
      <c r="I27" s="40">
        <v>52.75</v>
      </c>
      <c r="J27" s="51">
        <v>53.59</v>
      </c>
      <c r="K27" s="51">
        <v>54.43</v>
      </c>
      <c r="L27" s="40">
        <v>55.26</v>
      </c>
      <c r="M27" s="40">
        <v>56.1</v>
      </c>
      <c r="N27" s="40">
        <v>56.94</v>
      </c>
      <c r="O27" s="57">
        <v>57.78</v>
      </c>
      <c r="P27" s="65">
        <v>58.61</v>
      </c>
      <c r="Q27" s="65">
        <v>59.45</v>
      </c>
      <c r="R27" s="65">
        <v>60.29</v>
      </c>
      <c r="S27" s="65">
        <v>61.12</v>
      </c>
      <c r="T27" s="65">
        <v>61.96</v>
      </c>
      <c r="U27" s="65">
        <v>62.8</v>
      </c>
      <c r="V27" s="24">
        <v>51.54</v>
      </c>
      <c r="W27" s="24">
        <v>52.38</v>
      </c>
      <c r="X27" s="24">
        <v>53.21</v>
      </c>
      <c r="Y27" s="24">
        <v>54.05</v>
      </c>
      <c r="Z27" s="24">
        <v>38.979999999999997</v>
      </c>
      <c r="AA27" s="24">
        <v>38.14</v>
      </c>
      <c r="AB27" s="24">
        <v>37.31</v>
      </c>
      <c r="AC27" s="24">
        <v>36.47</v>
      </c>
      <c r="AD27" s="24">
        <v>35.630000000000003</v>
      </c>
      <c r="AE27" s="5">
        <v>23</v>
      </c>
      <c r="AF27" s="39">
        <v>27.53</v>
      </c>
      <c r="AG27" s="39">
        <v>28.12</v>
      </c>
      <c r="AH27" s="39">
        <v>28.71</v>
      </c>
      <c r="AI27" s="39">
        <v>29.3</v>
      </c>
      <c r="AJ27" s="39">
        <v>29.89</v>
      </c>
      <c r="AK27" s="39">
        <v>30.48</v>
      </c>
      <c r="AL27" s="39">
        <v>31.07</v>
      </c>
      <c r="AM27" s="39">
        <v>31.66</v>
      </c>
      <c r="AN27" s="40">
        <v>32.25</v>
      </c>
      <c r="AO27" s="51">
        <v>32.85</v>
      </c>
      <c r="AP27" s="51">
        <v>33.44</v>
      </c>
      <c r="AQ27" s="40">
        <v>34.03</v>
      </c>
      <c r="AR27" s="40">
        <v>34.619999999999997</v>
      </c>
      <c r="AS27" s="72">
        <v>35.21</v>
      </c>
      <c r="AT27" s="57">
        <v>35.799999999999997</v>
      </c>
      <c r="AU27" s="65">
        <v>36.39</v>
      </c>
      <c r="AV27" s="65">
        <v>36.979999999999997</v>
      </c>
      <c r="AW27" s="65">
        <v>37.57</v>
      </c>
      <c r="AX27" s="65">
        <v>38.17</v>
      </c>
      <c r="AY27" s="65">
        <v>38.76</v>
      </c>
      <c r="AZ27" s="65">
        <v>39.35</v>
      </c>
      <c r="BA27" s="24">
        <v>33.9</v>
      </c>
      <c r="BB27" s="24">
        <v>34.49</v>
      </c>
      <c r="BC27" s="24">
        <v>35.08</v>
      </c>
      <c r="BD27" s="24">
        <v>35.67</v>
      </c>
      <c r="BE27" s="24">
        <v>25.03</v>
      </c>
      <c r="BF27" s="24">
        <v>24.44</v>
      </c>
      <c r="BG27" s="24">
        <v>23.85</v>
      </c>
      <c r="BH27" s="24">
        <v>23.26</v>
      </c>
      <c r="BI27" s="24">
        <v>22.67</v>
      </c>
    </row>
    <row r="28" spans="1:61" x14ac:dyDescent="0.45">
      <c r="A28" s="39">
        <v>48.01</v>
      </c>
      <c r="B28" s="39">
        <v>48.88</v>
      </c>
      <c r="C28" s="39">
        <v>49.75</v>
      </c>
      <c r="D28" s="39">
        <v>50.63</v>
      </c>
      <c r="E28" s="39">
        <v>51.5</v>
      </c>
      <c r="F28" s="39">
        <v>52.38</v>
      </c>
      <c r="G28" s="39">
        <v>53.25</v>
      </c>
      <c r="H28" s="39">
        <v>54.12</v>
      </c>
      <c r="I28" s="40">
        <v>55</v>
      </c>
      <c r="J28" s="51">
        <v>55.87</v>
      </c>
      <c r="K28" s="51">
        <v>56.74</v>
      </c>
      <c r="L28" s="40">
        <v>57.62</v>
      </c>
      <c r="M28" s="40">
        <v>58.49</v>
      </c>
      <c r="N28" s="40">
        <v>59.36</v>
      </c>
      <c r="O28" s="57">
        <v>60.24</v>
      </c>
      <c r="P28" s="65">
        <v>61.11</v>
      </c>
      <c r="Q28" s="65">
        <v>61.98</v>
      </c>
      <c r="R28" s="65">
        <v>62.86</v>
      </c>
      <c r="S28" s="65">
        <v>63.73</v>
      </c>
      <c r="T28" s="65">
        <v>64.61</v>
      </c>
      <c r="U28" s="65">
        <v>65.48</v>
      </c>
      <c r="V28" s="24">
        <v>53.75</v>
      </c>
      <c r="W28" s="24">
        <v>54.62</v>
      </c>
      <c r="X28" s="24">
        <v>55.5</v>
      </c>
      <c r="Y28" s="24">
        <v>56.37</v>
      </c>
      <c r="Z28" s="24">
        <v>40.65</v>
      </c>
      <c r="AA28" s="24">
        <v>39.770000000000003</v>
      </c>
      <c r="AB28" s="24">
        <v>38.9</v>
      </c>
      <c r="AC28" s="24">
        <v>38.03</v>
      </c>
      <c r="AD28" s="24">
        <v>37.15</v>
      </c>
      <c r="AE28" s="5">
        <v>24</v>
      </c>
      <c r="AF28" s="39">
        <v>28.69</v>
      </c>
      <c r="AG28" s="39">
        <v>29.31</v>
      </c>
      <c r="AH28" s="39">
        <v>29.93</v>
      </c>
      <c r="AI28" s="39">
        <v>30.54</v>
      </c>
      <c r="AJ28" s="39">
        <v>31.16</v>
      </c>
      <c r="AK28" s="39">
        <v>31.78</v>
      </c>
      <c r="AL28" s="39">
        <v>32.39</v>
      </c>
      <c r="AM28" s="39">
        <v>33.01</v>
      </c>
      <c r="AN28" s="40">
        <v>33.630000000000003</v>
      </c>
      <c r="AO28" s="51">
        <v>34.24</v>
      </c>
      <c r="AP28" s="51">
        <v>34.86</v>
      </c>
      <c r="AQ28" s="40">
        <v>35.479999999999997</v>
      </c>
      <c r="AR28" s="40">
        <v>36.090000000000003</v>
      </c>
      <c r="AS28" s="72">
        <v>36.71</v>
      </c>
      <c r="AT28" s="57">
        <v>37.33</v>
      </c>
      <c r="AU28" s="65">
        <v>37.94</v>
      </c>
      <c r="AV28" s="65">
        <v>38.56</v>
      </c>
      <c r="AW28" s="65">
        <v>39.18</v>
      </c>
      <c r="AX28" s="65">
        <v>39.79</v>
      </c>
      <c r="AY28" s="65">
        <v>40.409999999999997</v>
      </c>
      <c r="AZ28" s="65">
        <v>41.03</v>
      </c>
      <c r="BA28" s="24">
        <v>35.35</v>
      </c>
      <c r="BB28" s="24">
        <v>35.97</v>
      </c>
      <c r="BC28" s="24">
        <v>36.590000000000003</v>
      </c>
      <c r="BD28" s="24">
        <v>37.200000000000003</v>
      </c>
      <c r="BE28" s="24">
        <v>26.1</v>
      </c>
      <c r="BF28" s="24">
        <v>25.49</v>
      </c>
      <c r="BG28" s="24">
        <v>24.87</v>
      </c>
      <c r="BH28" s="24">
        <v>24.25</v>
      </c>
      <c r="BI28" s="24">
        <v>23.63</v>
      </c>
    </row>
    <row r="29" spans="1:61" x14ac:dyDescent="0.45">
      <c r="A29" s="39">
        <v>49.96</v>
      </c>
      <c r="B29" s="39">
        <v>50.87</v>
      </c>
      <c r="C29" s="39">
        <v>51.78</v>
      </c>
      <c r="D29" s="39">
        <v>52.69</v>
      </c>
      <c r="E29" s="39">
        <v>53.6</v>
      </c>
      <c r="F29" s="39">
        <v>54.51</v>
      </c>
      <c r="G29" s="39">
        <v>55.42</v>
      </c>
      <c r="H29" s="39">
        <v>56.33</v>
      </c>
      <c r="I29" s="40">
        <v>57.24</v>
      </c>
      <c r="J29" s="51">
        <v>58.15</v>
      </c>
      <c r="K29" s="51">
        <v>59.06</v>
      </c>
      <c r="L29" s="40">
        <v>59.97</v>
      </c>
      <c r="M29" s="40">
        <v>60.88</v>
      </c>
      <c r="N29" s="40">
        <v>61.79</v>
      </c>
      <c r="O29" s="57">
        <v>62.7</v>
      </c>
      <c r="P29" s="65">
        <v>63.61</v>
      </c>
      <c r="Q29" s="65">
        <v>64.52</v>
      </c>
      <c r="R29" s="65">
        <v>65.430000000000007</v>
      </c>
      <c r="S29" s="65">
        <v>66.34</v>
      </c>
      <c r="T29" s="65">
        <v>67.25</v>
      </c>
      <c r="U29" s="65">
        <v>68.16</v>
      </c>
      <c r="V29" s="24">
        <v>55.96</v>
      </c>
      <c r="W29" s="24">
        <v>56.87</v>
      </c>
      <c r="X29" s="24">
        <v>57.78</v>
      </c>
      <c r="Y29" s="24">
        <v>58.69</v>
      </c>
      <c r="Z29" s="24">
        <v>42.31</v>
      </c>
      <c r="AA29" s="24">
        <v>41.4</v>
      </c>
      <c r="AB29" s="24">
        <v>40.49</v>
      </c>
      <c r="AC29" s="24">
        <v>39.58</v>
      </c>
      <c r="AD29" s="24">
        <v>38.67</v>
      </c>
      <c r="AE29" s="5">
        <v>25</v>
      </c>
      <c r="AF29" s="39">
        <v>29.86</v>
      </c>
      <c r="AG29" s="39">
        <v>30.51</v>
      </c>
      <c r="AH29" s="39">
        <v>31.15</v>
      </c>
      <c r="AI29" s="39">
        <v>31.79</v>
      </c>
      <c r="AJ29" s="39">
        <v>32.43</v>
      </c>
      <c r="AK29" s="39">
        <v>33.08</v>
      </c>
      <c r="AL29" s="39">
        <v>33.72</v>
      </c>
      <c r="AM29" s="39">
        <v>34.36</v>
      </c>
      <c r="AN29" s="40">
        <v>35</v>
      </c>
      <c r="AO29" s="51">
        <v>35.65</v>
      </c>
      <c r="AP29" s="51">
        <v>36.29</v>
      </c>
      <c r="AQ29" s="40">
        <v>36.93</v>
      </c>
      <c r="AR29" s="40">
        <v>37.57</v>
      </c>
      <c r="AS29" s="72">
        <v>38.22</v>
      </c>
      <c r="AT29" s="57">
        <v>38.86</v>
      </c>
      <c r="AU29" s="65">
        <v>39.5</v>
      </c>
      <c r="AV29" s="65">
        <v>40.14</v>
      </c>
      <c r="AW29" s="65">
        <v>40.79</v>
      </c>
      <c r="AX29" s="65">
        <v>41.43</v>
      </c>
      <c r="AY29" s="65">
        <v>42.07</v>
      </c>
      <c r="AZ29" s="65">
        <v>42.71</v>
      </c>
      <c r="BA29" s="24">
        <v>36.81</v>
      </c>
      <c r="BB29" s="24">
        <v>37.450000000000003</v>
      </c>
      <c r="BC29" s="24">
        <v>38.1</v>
      </c>
      <c r="BD29" s="24">
        <v>38.74</v>
      </c>
      <c r="BE29" s="24">
        <v>27.17</v>
      </c>
      <c r="BF29" s="24">
        <v>26.53</v>
      </c>
      <c r="BG29" s="24">
        <v>25.89</v>
      </c>
      <c r="BH29" s="24">
        <v>25.25</v>
      </c>
      <c r="BI29" s="24">
        <v>24.6</v>
      </c>
    </row>
    <row r="30" spans="1:61" x14ac:dyDescent="0.45">
      <c r="A30" s="39">
        <v>51.9</v>
      </c>
      <c r="B30" s="39">
        <v>52.85</v>
      </c>
      <c r="C30" s="39">
        <v>53.8</v>
      </c>
      <c r="D30" s="39">
        <v>54.74</v>
      </c>
      <c r="E30" s="39">
        <v>55.69</v>
      </c>
      <c r="F30" s="39">
        <v>56.64</v>
      </c>
      <c r="G30" s="39">
        <v>57.58</v>
      </c>
      <c r="H30" s="39">
        <v>58.53</v>
      </c>
      <c r="I30" s="40">
        <v>59.48</v>
      </c>
      <c r="J30" s="51">
        <v>60.42</v>
      </c>
      <c r="K30" s="51">
        <v>61.37</v>
      </c>
      <c r="L30" s="40">
        <v>62.31</v>
      </c>
      <c r="M30" s="40">
        <v>63.26</v>
      </c>
      <c r="N30" s="40">
        <v>64.209999999999994</v>
      </c>
      <c r="O30" s="57">
        <v>65.150000000000006</v>
      </c>
      <c r="P30" s="65">
        <v>66.099999999999994</v>
      </c>
      <c r="Q30" s="65">
        <v>67.05</v>
      </c>
      <c r="R30" s="65">
        <v>67.989999999999995</v>
      </c>
      <c r="S30" s="65">
        <v>68.94</v>
      </c>
      <c r="T30" s="65">
        <v>69.89</v>
      </c>
      <c r="U30" s="65">
        <v>70.83</v>
      </c>
      <c r="V30" s="24">
        <v>58.17</v>
      </c>
      <c r="W30" s="24">
        <v>59.12</v>
      </c>
      <c r="X30" s="24">
        <v>60.06</v>
      </c>
      <c r="Y30" s="24">
        <v>61.01</v>
      </c>
      <c r="Z30" s="24">
        <v>43.97</v>
      </c>
      <c r="AA30" s="24">
        <v>43.03</v>
      </c>
      <c r="AB30" s="24">
        <v>42.08</v>
      </c>
      <c r="AC30" s="24">
        <v>41.13</v>
      </c>
      <c r="AD30" s="24">
        <v>40.19</v>
      </c>
      <c r="AE30" s="5">
        <v>26</v>
      </c>
      <c r="AF30" s="39">
        <v>31.03</v>
      </c>
      <c r="AG30" s="39">
        <v>31.7</v>
      </c>
      <c r="AH30" s="39">
        <v>32.369999999999997</v>
      </c>
      <c r="AI30" s="39">
        <v>33.04</v>
      </c>
      <c r="AJ30" s="39">
        <v>33.700000000000003</v>
      </c>
      <c r="AK30" s="39">
        <v>34.369999999999997</v>
      </c>
      <c r="AL30" s="39">
        <v>35.04</v>
      </c>
      <c r="AM30" s="39">
        <v>35.71</v>
      </c>
      <c r="AN30" s="40">
        <v>36.380000000000003</v>
      </c>
      <c r="AO30" s="51">
        <v>37.04</v>
      </c>
      <c r="AP30" s="51">
        <v>37.71</v>
      </c>
      <c r="AQ30" s="40">
        <v>38.380000000000003</v>
      </c>
      <c r="AR30" s="40">
        <v>39.049999999999997</v>
      </c>
      <c r="AS30" s="72">
        <v>39.72</v>
      </c>
      <c r="AT30" s="57">
        <v>40.39</v>
      </c>
      <c r="AU30" s="65">
        <v>41.05</v>
      </c>
      <c r="AV30" s="65">
        <v>41.72</v>
      </c>
      <c r="AW30" s="65">
        <v>42.39</v>
      </c>
      <c r="AX30" s="65">
        <v>43.06</v>
      </c>
      <c r="AY30" s="65">
        <v>43.73</v>
      </c>
      <c r="AZ30" s="65">
        <v>44.39</v>
      </c>
      <c r="BA30" s="24">
        <v>38.270000000000003</v>
      </c>
      <c r="BB30" s="24">
        <v>38.94</v>
      </c>
      <c r="BC30" s="24">
        <v>39.6</v>
      </c>
      <c r="BD30" s="24">
        <v>40.270000000000003</v>
      </c>
      <c r="BE30" s="24">
        <v>28.24</v>
      </c>
      <c r="BF30" s="24">
        <v>27.58</v>
      </c>
      <c r="BG30" s="24">
        <v>26.91</v>
      </c>
      <c r="BH30" s="24">
        <v>26.24</v>
      </c>
      <c r="BI30" s="24">
        <v>25.57</v>
      </c>
    </row>
    <row r="31" spans="1:61" x14ac:dyDescent="0.45">
      <c r="A31" s="39">
        <v>53.85</v>
      </c>
      <c r="B31" s="39">
        <v>54.84</v>
      </c>
      <c r="C31" s="39">
        <v>55.82</v>
      </c>
      <c r="D31" s="39">
        <v>56.8</v>
      </c>
      <c r="E31" s="39">
        <v>57.78</v>
      </c>
      <c r="F31" s="39">
        <v>58.77</v>
      </c>
      <c r="G31" s="39">
        <v>59.75</v>
      </c>
      <c r="H31" s="39">
        <v>60.73</v>
      </c>
      <c r="I31" s="40">
        <v>61.72</v>
      </c>
      <c r="J31" s="51">
        <v>62.7</v>
      </c>
      <c r="K31" s="51">
        <v>63.68</v>
      </c>
      <c r="L31" s="40">
        <v>64.66</v>
      </c>
      <c r="M31" s="40">
        <v>65.650000000000006</v>
      </c>
      <c r="N31" s="40">
        <v>66.63</v>
      </c>
      <c r="O31" s="57">
        <v>67.61</v>
      </c>
      <c r="P31" s="65">
        <v>68.599999999999994</v>
      </c>
      <c r="Q31" s="65">
        <v>69.58</v>
      </c>
      <c r="R31" s="65">
        <v>70.56</v>
      </c>
      <c r="S31" s="65">
        <v>71.540000000000006</v>
      </c>
      <c r="T31" s="65">
        <v>72.53</v>
      </c>
      <c r="U31" s="65">
        <v>73.510000000000005</v>
      </c>
      <c r="V31" s="24">
        <v>60.38</v>
      </c>
      <c r="W31" s="24">
        <v>61.36</v>
      </c>
      <c r="X31" s="24">
        <v>62.35</v>
      </c>
      <c r="Y31" s="24">
        <v>63.33</v>
      </c>
      <c r="Z31" s="24">
        <v>45.64</v>
      </c>
      <c r="AA31" s="24">
        <v>44.65</v>
      </c>
      <c r="AB31" s="24">
        <v>43.67</v>
      </c>
      <c r="AC31" s="24">
        <v>42.69</v>
      </c>
      <c r="AD31" s="24">
        <v>41.71</v>
      </c>
      <c r="AE31" s="5">
        <v>27</v>
      </c>
      <c r="AF31" s="39">
        <v>32.200000000000003</v>
      </c>
      <c r="AG31" s="39">
        <v>32.9</v>
      </c>
      <c r="AH31" s="39">
        <v>33.590000000000003</v>
      </c>
      <c r="AI31" s="39">
        <v>34.28</v>
      </c>
      <c r="AJ31" s="39">
        <v>34.979999999999997</v>
      </c>
      <c r="AK31" s="39">
        <v>35.67</v>
      </c>
      <c r="AL31" s="39">
        <v>36.36</v>
      </c>
      <c r="AM31" s="39">
        <v>37.06</v>
      </c>
      <c r="AN31" s="40">
        <v>37.75</v>
      </c>
      <c r="AO31" s="51">
        <v>38.450000000000003</v>
      </c>
      <c r="AP31" s="51">
        <v>39.14</v>
      </c>
      <c r="AQ31" s="40">
        <v>39.83</v>
      </c>
      <c r="AR31" s="40">
        <v>40.53</v>
      </c>
      <c r="AS31" s="72">
        <v>41.22</v>
      </c>
      <c r="AT31" s="57">
        <v>41.92</v>
      </c>
      <c r="AU31" s="65">
        <v>42.61</v>
      </c>
      <c r="AV31" s="65">
        <v>43.3</v>
      </c>
      <c r="AW31" s="65">
        <v>44</v>
      </c>
      <c r="AX31" s="65">
        <v>44.69</v>
      </c>
      <c r="AY31" s="65">
        <v>45.39</v>
      </c>
      <c r="AZ31" s="65">
        <v>46.08</v>
      </c>
      <c r="BA31" s="24">
        <v>39.72</v>
      </c>
      <c r="BB31" s="24">
        <v>40.42</v>
      </c>
      <c r="BC31" s="24">
        <v>41.11</v>
      </c>
      <c r="BD31" s="24">
        <v>41.81</v>
      </c>
      <c r="BE31" s="24">
        <v>29.32</v>
      </c>
      <c r="BF31" s="24">
        <v>28.62</v>
      </c>
      <c r="BG31" s="24">
        <v>27.93</v>
      </c>
      <c r="BH31" s="24">
        <v>27.23</v>
      </c>
      <c r="BI31" s="24">
        <v>26.54</v>
      </c>
    </row>
    <row r="32" spans="1:61" x14ac:dyDescent="0.45">
      <c r="A32" s="39">
        <v>55.8</v>
      </c>
      <c r="B32" s="39">
        <v>56.82</v>
      </c>
      <c r="C32" s="39">
        <v>57.84</v>
      </c>
      <c r="D32" s="39">
        <v>58.86</v>
      </c>
      <c r="E32" s="39">
        <v>59.88</v>
      </c>
      <c r="F32" s="39">
        <v>60.9</v>
      </c>
      <c r="G32" s="39">
        <v>61.92</v>
      </c>
      <c r="H32" s="39">
        <v>62.94</v>
      </c>
      <c r="I32" s="40">
        <v>63.96</v>
      </c>
      <c r="J32" s="51">
        <v>64.98</v>
      </c>
      <c r="K32" s="51">
        <v>66</v>
      </c>
      <c r="L32" s="40">
        <v>67.02</v>
      </c>
      <c r="M32" s="40">
        <v>68.03</v>
      </c>
      <c r="N32" s="40">
        <v>69.05</v>
      </c>
      <c r="O32" s="57">
        <v>70.069999999999993</v>
      </c>
      <c r="P32" s="65">
        <v>71.09</v>
      </c>
      <c r="Q32" s="65">
        <v>72.11</v>
      </c>
      <c r="R32" s="65">
        <v>73.13</v>
      </c>
      <c r="S32" s="65">
        <v>74.150000000000006</v>
      </c>
      <c r="T32" s="65">
        <v>75.17</v>
      </c>
      <c r="U32" s="65">
        <v>76.19</v>
      </c>
      <c r="V32" s="24">
        <v>62.59</v>
      </c>
      <c r="W32" s="24">
        <v>63.61</v>
      </c>
      <c r="X32" s="24">
        <v>64.63</v>
      </c>
      <c r="Y32" s="24">
        <v>65.650000000000006</v>
      </c>
      <c r="Z32" s="24">
        <v>47.3</v>
      </c>
      <c r="AA32" s="24">
        <v>46.28</v>
      </c>
      <c r="AB32" s="24">
        <v>45.26</v>
      </c>
      <c r="AC32" s="24">
        <v>44.24</v>
      </c>
      <c r="AD32" s="24">
        <v>43.23</v>
      </c>
      <c r="AE32" s="5">
        <v>28</v>
      </c>
      <c r="AF32" s="39">
        <v>33.369999999999997</v>
      </c>
      <c r="AG32" s="39">
        <v>34.090000000000003</v>
      </c>
      <c r="AH32" s="39">
        <v>34.81</v>
      </c>
      <c r="AI32" s="39">
        <v>35.53</v>
      </c>
      <c r="AJ32" s="39">
        <v>36.25</v>
      </c>
      <c r="AK32" s="39">
        <v>36.97</v>
      </c>
      <c r="AL32" s="39">
        <v>37.69</v>
      </c>
      <c r="AM32" s="39">
        <v>38.409999999999997</v>
      </c>
      <c r="AN32" s="40">
        <v>39.130000000000003</v>
      </c>
      <c r="AO32" s="51">
        <v>39.85</v>
      </c>
      <c r="AP32" s="51">
        <v>40.57</v>
      </c>
      <c r="AQ32" s="40">
        <v>41.29</v>
      </c>
      <c r="AR32" s="40">
        <v>42.01</v>
      </c>
      <c r="AS32" s="72">
        <v>42.73</v>
      </c>
      <c r="AT32" s="57">
        <v>43.45</v>
      </c>
      <c r="AU32" s="65">
        <v>44.17</v>
      </c>
      <c r="AV32" s="65">
        <v>44.89</v>
      </c>
      <c r="AW32" s="65">
        <v>45.61</v>
      </c>
      <c r="AX32" s="65">
        <v>46.33</v>
      </c>
      <c r="AY32" s="65">
        <v>47.05</v>
      </c>
      <c r="AZ32" s="65">
        <v>47.77</v>
      </c>
      <c r="BA32" s="24">
        <v>41.18</v>
      </c>
      <c r="BB32" s="24">
        <v>41.9</v>
      </c>
      <c r="BC32" s="24">
        <v>42.62</v>
      </c>
      <c r="BD32" s="24">
        <v>43.34</v>
      </c>
      <c r="BE32" s="24">
        <v>30.39</v>
      </c>
      <c r="BF32" s="24">
        <v>29.67</v>
      </c>
      <c r="BG32" s="24">
        <v>28.95</v>
      </c>
      <c r="BH32" s="24">
        <v>28.23</v>
      </c>
      <c r="BI32" s="24">
        <v>27.51</v>
      </c>
    </row>
    <row r="33" spans="1:61" x14ac:dyDescent="0.45">
      <c r="A33" s="39">
        <v>57.74</v>
      </c>
      <c r="B33" s="39">
        <v>58.79</v>
      </c>
      <c r="C33" s="39">
        <v>59.85</v>
      </c>
      <c r="D33" s="39">
        <v>60.9</v>
      </c>
      <c r="E33" s="39">
        <v>61.96</v>
      </c>
      <c r="F33" s="39">
        <v>63.02</v>
      </c>
      <c r="G33" s="39">
        <v>64.069999999999993</v>
      </c>
      <c r="H33" s="39">
        <v>65.13</v>
      </c>
      <c r="I33" s="40">
        <v>66.180000000000007</v>
      </c>
      <c r="J33" s="51">
        <v>67.239999999999995</v>
      </c>
      <c r="K33" s="51">
        <v>68.290000000000006</v>
      </c>
      <c r="L33" s="40">
        <v>69.349999999999994</v>
      </c>
      <c r="M33" s="40">
        <v>70.400000000000006</v>
      </c>
      <c r="N33" s="40">
        <v>71.459999999999994</v>
      </c>
      <c r="O33" s="57">
        <v>72.52</v>
      </c>
      <c r="P33" s="65">
        <v>73.569999999999993</v>
      </c>
      <c r="Q33" s="65">
        <v>74.63</v>
      </c>
      <c r="R33" s="65">
        <v>75.680000000000007</v>
      </c>
      <c r="S33" s="65">
        <v>76.739999999999995</v>
      </c>
      <c r="T33" s="65">
        <v>77.790000000000006</v>
      </c>
      <c r="U33" s="65">
        <v>78.849999999999994</v>
      </c>
      <c r="V33" s="24">
        <v>64.790000000000006</v>
      </c>
      <c r="W33" s="24">
        <v>65.849999999999994</v>
      </c>
      <c r="X33" s="24">
        <v>66.900000000000006</v>
      </c>
      <c r="Y33" s="24">
        <v>67.959999999999994</v>
      </c>
      <c r="Z33" s="24">
        <v>48.96</v>
      </c>
      <c r="AA33" s="24">
        <v>47.9</v>
      </c>
      <c r="AB33" s="24">
        <v>46.85</v>
      </c>
      <c r="AC33" s="24">
        <v>45.79</v>
      </c>
      <c r="AD33" s="24">
        <v>44.73</v>
      </c>
      <c r="AE33" s="5">
        <v>29</v>
      </c>
      <c r="AF33" s="39">
        <v>34.54</v>
      </c>
      <c r="AG33" s="39">
        <v>35.29</v>
      </c>
      <c r="AH33" s="39">
        <v>36.03</v>
      </c>
      <c r="AI33" s="39">
        <v>36.78</v>
      </c>
      <c r="AJ33" s="39">
        <v>37.520000000000003</v>
      </c>
      <c r="AK33" s="39">
        <v>38.270000000000003</v>
      </c>
      <c r="AL33" s="39">
        <v>39.01</v>
      </c>
      <c r="AM33" s="39">
        <v>39.76</v>
      </c>
      <c r="AN33" s="40">
        <v>40.5</v>
      </c>
      <c r="AO33" s="51">
        <v>41.25</v>
      </c>
      <c r="AP33" s="51">
        <v>41.99</v>
      </c>
      <c r="AQ33" s="40">
        <v>42.74</v>
      </c>
      <c r="AR33" s="40">
        <v>43.48</v>
      </c>
      <c r="AS33" s="72">
        <v>44.23</v>
      </c>
      <c r="AT33" s="57">
        <v>44.97</v>
      </c>
      <c r="AU33" s="65">
        <v>45.72</v>
      </c>
      <c r="AV33" s="65">
        <v>46.46</v>
      </c>
      <c r="AW33" s="65">
        <v>47.21</v>
      </c>
      <c r="AX33" s="65">
        <v>47.96</v>
      </c>
      <c r="AY33" s="65">
        <v>48.7</v>
      </c>
      <c r="AZ33" s="65">
        <v>49.45</v>
      </c>
      <c r="BA33" s="24">
        <v>42.64</v>
      </c>
      <c r="BB33" s="24">
        <v>43.38</v>
      </c>
      <c r="BC33" s="24">
        <v>44.13</v>
      </c>
      <c r="BD33" s="24">
        <v>44.87</v>
      </c>
      <c r="BE33" s="24">
        <v>31.46</v>
      </c>
      <c r="BF33" s="24">
        <v>30.71</v>
      </c>
      <c r="BG33" s="24">
        <v>29.97</v>
      </c>
      <c r="BH33" s="24">
        <v>29.22</v>
      </c>
      <c r="BI33" s="24">
        <v>28.48</v>
      </c>
    </row>
    <row r="34" spans="1:61" x14ac:dyDescent="0.45">
      <c r="A34" s="39">
        <v>59.7</v>
      </c>
      <c r="B34" s="39">
        <v>60.79</v>
      </c>
      <c r="C34" s="39">
        <v>61.88</v>
      </c>
      <c r="D34" s="39">
        <v>62.97</v>
      </c>
      <c r="E34" s="39">
        <v>64.069999999999993</v>
      </c>
      <c r="F34" s="39">
        <v>65.16</v>
      </c>
      <c r="G34" s="39">
        <v>66.25</v>
      </c>
      <c r="H34" s="39">
        <v>67.34</v>
      </c>
      <c r="I34" s="40">
        <v>68.430000000000007</v>
      </c>
      <c r="J34" s="51">
        <v>69.53</v>
      </c>
      <c r="K34" s="51">
        <v>70.62</v>
      </c>
      <c r="L34" s="40">
        <v>71.709999999999994</v>
      </c>
      <c r="M34" s="40">
        <v>72.8</v>
      </c>
      <c r="N34" s="40">
        <v>73.89</v>
      </c>
      <c r="O34" s="57">
        <v>74.989999999999995</v>
      </c>
      <c r="P34" s="65">
        <v>76.08</v>
      </c>
      <c r="Q34" s="65">
        <v>77.17</v>
      </c>
      <c r="R34" s="65">
        <v>78.260000000000005</v>
      </c>
      <c r="S34" s="65">
        <v>79.349999999999994</v>
      </c>
      <c r="T34" s="65">
        <v>80.45</v>
      </c>
      <c r="U34" s="65">
        <v>81.540000000000006</v>
      </c>
      <c r="V34" s="24">
        <v>67.010000000000005</v>
      </c>
      <c r="W34" s="24">
        <v>68.099999999999994</v>
      </c>
      <c r="X34" s="24">
        <v>69.19</v>
      </c>
      <c r="Y34" s="24">
        <v>70.28</v>
      </c>
      <c r="Z34" s="24">
        <v>50.63</v>
      </c>
      <c r="AA34" s="24">
        <v>49.53</v>
      </c>
      <c r="AB34" s="24">
        <v>48.44</v>
      </c>
      <c r="AC34" s="24">
        <v>47.35</v>
      </c>
      <c r="AD34" s="24">
        <v>46.26</v>
      </c>
      <c r="AE34" s="5">
        <v>30</v>
      </c>
      <c r="AF34" s="39">
        <v>35.71</v>
      </c>
      <c r="AG34" s="39">
        <v>36.479999999999997</v>
      </c>
      <c r="AH34" s="39">
        <v>37.25</v>
      </c>
      <c r="AI34" s="39">
        <v>38.03</v>
      </c>
      <c r="AJ34" s="39">
        <v>38.799999999999997</v>
      </c>
      <c r="AK34" s="39">
        <v>39.57</v>
      </c>
      <c r="AL34" s="39">
        <v>40.340000000000003</v>
      </c>
      <c r="AM34" s="39">
        <v>41.11</v>
      </c>
      <c r="AN34" s="40">
        <v>41.88</v>
      </c>
      <c r="AO34" s="51">
        <v>42.65</v>
      </c>
      <c r="AP34" s="51">
        <v>43.42</v>
      </c>
      <c r="AQ34" s="40">
        <v>44.19</v>
      </c>
      <c r="AR34" s="40">
        <v>44.96</v>
      </c>
      <c r="AS34" s="72">
        <v>45.74</v>
      </c>
      <c r="AT34" s="57">
        <v>46.51</v>
      </c>
      <c r="AU34" s="65">
        <v>47.28</v>
      </c>
      <c r="AV34" s="65">
        <v>48.05</v>
      </c>
      <c r="AW34" s="65">
        <v>48.82</v>
      </c>
      <c r="AX34" s="65">
        <v>49.59</v>
      </c>
      <c r="AY34" s="65">
        <v>50.36</v>
      </c>
      <c r="AZ34" s="65">
        <v>51.13</v>
      </c>
      <c r="BA34" s="24">
        <v>44.1</v>
      </c>
      <c r="BB34" s="24">
        <v>44.87</v>
      </c>
      <c r="BC34" s="24">
        <v>45.64</v>
      </c>
      <c r="BD34" s="24">
        <v>46.41</v>
      </c>
      <c r="BE34" s="24">
        <v>32.53</v>
      </c>
      <c r="BF34" s="24">
        <v>31.76</v>
      </c>
      <c r="BG34" s="24">
        <v>30.99</v>
      </c>
      <c r="BH34" s="24">
        <v>30.22</v>
      </c>
      <c r="BI34" s="24">
        <v>29.45</v>
      </c>
    </row>
    <row r="35" spans="1:61" x14ac:dyDescent="0.45">
      <c r="A35" s="39">
        <v>61.63</v>
      </c>
      <c r="B35" s="39">
        <v>62.76</v>
      </c>
      <c r="C35" s="39">
        <v>63.89</v>
      </c>
      <c r="D35" s="39">
        <v>65.02</v>
      </c>
      <c r="E35" s="39">
        <v>66.150000000000006</v>
      </c>
      <c r="F35" s="39">
        <v>67.27</v>
      </c>
      <c r="G35" s="39">
        <v>68.400000000000006</v>
      </c>
      <c r="H35" s="39">
        <v>69.53</v>
      </c>
      <c r="I35" s="40">
        <v>70.66</v>
      </c>
      <c r="J35" s="51">
        <v>71.790000000000006</v>
      </c>
      <c r="K35" s="51">
        <v>72.92</v>
      </c>
      <c r="L35" s="40">
        <v>74.05</v>
      </c>
      <c r="M35" s="40">
        <v>75.17</v>
      </c>
      <c r="N35" s="40">
        <v>76.3</v>
      </c>
      <c r="O35" s="57">
        <v>77.430000000000007</v>
      </c>
      <c r="P35" s="65">
        <v>78.56</v>
      </c>
      <c r="Q35" s="65">
        <v>79.69</v>
      </c>
      <c r="R35" s="65">
        <v>80.819999999999993</v>
      </c>
      <c r="S35" s="65">
        <v>81.94</v>
      </c>
      <c r="T35" s="65">
        <v>83.07</v>
      </c>
      <c r="U35" s="65">
        <v>84.2</v>
      </c>
      <c r="V35" s="24">
        <v>69.209999999999994</v>
      </c>
      <c r="W35" s="24">
        <v>70.34</v>
      </c>
      <c r="X35" s="24">
        <v>71.47</v>
      </c>
      <c r="Y35" s="24">
        <v>72.59</v>
      </c>
      <c r="Z35" s="24">
        <v>52.28</v>
      </c>
      <c r="AA35" s="24">
        <v>51.15</v>
      </c>
      <c r="AB35" s="24">
        <v>50.03</v>
      </c>
      <c r="AC35" s="24">
        <v>48.9</v>
      </c>
      <c r="AD35" s="24">
        <v>47.77</v>
      </c>
      <c r="AE35" s="5">
        <v>31</v>
      </c>
      <c r="AF35" s="39">
        <v>36.880000000000003</v>
      </c>
      <c r="AG35" s="39">
        <v>37.68</v>
      </c>
      <c r="AH35" s="39">
        <v>38.47</v>
      </c>
      <c r="AI35" s="39">
        <v>39.270000000000003</v>
      </c>
      <c r="AJ35" s="39">
        <v>40.07</v>
      </c>
      <c r="AK35" s="39">
        <v>40.86</v>
      </c>
      <c r="AL35" s="39">
        <v>41.66</v>
      </c>
      <c r="AM35" s="39">
        <v>42.46</v>
      </c>
      <c r="AN35" s="40">
        <v>43.25</v>
      </c>
      <c r="AO35" s="51">
        <v>44.05</v>
      </c>
      <c r="AP35" s="51">
        <v>44.85</v>
      </c>
      <c r="AQ35" s="40">
        <v>45.64</v>
      </c>
      <c r="AR35" s="40">
        <v>46.44</v>
      </c>
      <c r="AS35" s="72">
        <v>47.24</v>
      </c>
      <c r="AT35" s="57">
        <v>48.03</v>
      </c>
      <c r="AU35" s="65">
        <v>48.83</v>
      </c>
      <c r="AV35" s="65">
        <v>49.63</v>
      </c>
      <c r="AW35" s="65">
        <v>50.42</v>
      </c>
      <c r="AX35" s="65">
        <v>51.22</v>
      </c>
      <c r="AY35" s="65">
        <v>52.02</v>
      </c>
      <c r="AZ35" s="65">
        <v>52.81</v>
      </c>
      <c r="BA35" s="24">
        <v>45.55</v>
      </c>
      <c r="BB35" s="24">
        <v>46.35</v>
      </c>
      <c r="BC35" s="24">
        <v>47.15</v>
      </c>
      <c r="BD35" s="24">
        <v>47.94</v>
      </c>
      <c r="BE35" s="24">
        <v>33.6</v>
      </c>
      <c r="BF35" s="24">
        <v>32.81</v>
      </c>
      <c r="BG35" s="24">
        <v>32.01</v>
      </c>
      <c r="BH35" s="24">
        <v>31.21</v>
      </c>
      <c r="BI35" s="24">
        <v>30.42</v>
      </c>
    </row>
    <row r="36" spans="1:61" x14ac:dyDescent="0.45">
      <c r="A36" s="41">
        <v>63.59</v>
      </c>
      <c r="B36" s="41">
        <v>64.760000000000005</v>
      </c>
      <c r="C36" s="41">
        <v>65.92</v>
      </c>
      <c r="D36" s="41">
        <v>67.09</v>
      </c>
      <c r="E36" s="41">
        <v>68.25</v>
      </c>
      <c r="F36" s="41">
        <v>69.42</v>
      </c>
      <c r="G36" s="41">
        <v>70.58</v>
      </c>
      <c r="H36" s="41">
        <v>71.75</v>
      </c>
      <c r="I36" s="42">
        <v>72.91</v>
      </c>
      <c r="J36" s="52">
        <v>74.08</v>
      </c>
      <c r="K36" s="52">
        <v>75.239999999999995</v>
      </c>
      <c r="L36" s="42">
        <v>76.41</v>
      </c>
      <c r="M36" s="42">
        <v>77.569999999999993</v>
      </c>
      <c r="N36" s="42">
        <v>78.739999999999995</v>
      </c>
      <c r="O36" s="58">
        <v>79.900000000000006</v>
      </c>
      <c r="P36" s="65">
        <v>81.069999999999993</v>
      </c>
      <c r="Q36" s="65">
        <v>82.23</v>
      </c>
      <c r="R36" s="65">
        <v>83.4</v>
      </c>
      <c r="S36" s="65">
        <v>84.56</v>
      </c>
      <c r="T36" s="65">
        <v>85.73</v>
      </c>
      <c r="U36" s="65">
        <v>86.89</v>
      </c>
      <c r="V36" s="24">
        <v>71.430000000000007</v>
      </c>
      <c r="W36" s="24">
        <v>72.59</v>
      </c>
      <c r="X36" s="24">
        <v>73.75</v>
      </c>
      <c r="Y36" s="24">
        <v>74.92</v>
      </c>
      <c r="Z36" s="24">
        <v>53.95</v>
      </c>
      <c r="AA36" s="24">
        <v>52.79</v>
      </c>
      <c r="AB36" s="24">
        <v>51.62</v>
      </c>
      <c r="AC36" s="24">
        <v>50.46</v>
      </c>
      <c r="AD36" s="24">
        <v>49.29</v>
      </c>
      <c r="AE36" s="5">
        <v>32</v>
      </c>
      <c r="AF36" s="41">
        <v>38.049999999999997</v>
      </c>
      <c r="AG36" s="41">
        <v>38.869999999999997</v>
      </c>
      <c r="AH36" s="41">
        <v>39.69</v>
      </c>
      <c r="AI36" s="41">
        <v>40.520000000000003</v>
      </c>
      <c r="AJ36" s="41">
        <v>41.34</v>
      </c>
      <c r="AK36" s="41">
        <v>42.16</v>
      </c>
      <c r="AL36" s="41">
        <v>42.98</v>
      </c>
      <c r="AM36" s="41">
        <v>43.81</v>
      </c>
      <c r="AN36" s="42">
        <v>44.63</v>
      </c>
      <c r="AO36" s="51">
        <v>45.45</v>
      </c>
      <c r="AP36" s="52">
        <v>46.27</v>
      </c>
      <c r="AQ36" s="42">
        <v>47.1</v>
      </c>
      <c r="AR36" s="42">
        <v>47.92</v>
      </c>
      <c r="AS36" s="72">
        <v>48.74</v>
      </c>
      <c r="AT36" s="58">
        <v>49.56</v>
      </c>
      <c r="AU36" s="65">
        <v>50.39</v>
      </c>
      <c r="AV36" s="65">
        <v>51.21</v>
      </c>
      <c r="AW36" s="65">
        <v>52.03</v>
      </c>
      <c r="AX36" s="65">
        <v>52.85</v>
      </c>
      <c r="AY36" s="65">
        <v>53.68</v>
      </c>
      <c r="AZ36" s="65">
        <v>54.5</v>
      </c>
      <c r="BA36" s="24">
        <v>47.01</v>
      </c>
      <c r="BB36" s="24">
        <v>47.83</v>
      </c>
      <c r="BC36" s="24">
        <v>48.65</v>
      </c>
      <c r="BD36" s="24">
        <v>49.48</v>
      </c>
      <c r="BE36" s="24">
        <v>34.67</v>
      </c>
      <c r="BF36" s="24">
        <v>33.85</v>
      </c>
      <c r="BG36" s="24">
        <v>33.03</v>
      </c>
      <c r="BH36" s="24">
        <v>32.21</v>
      </c>
      <c r="BI36" s="24">
        <v>31.38</v>
      </c>
    </row>
    <row r="37" spans="1:61" x14ac:dyDescent="0.45">
      <c r="A37" s="43">
        <v>65.540000000000006</v>
      </c>
      <c r="B37" s="43">
        <v>66.739999999999995</v>
      </c>
      <c r="C37" s="43">
        <v>67.94</v>
      </c>
      <c r="D37" s="43">
        <v>69.150000000000006</v>
      </c>
      <c r="E37" s="43">
        <v>70.349999999999994</v>
      </c>
      <c r="F37" s="43">
        <v>71.55</v>
      </c>
      <c r="G37" s="43">
        <v>72.75</v>
      </c>
      <c r="H37" s="43">
        <v>73.95</v>
      </c>
      <c r="I37" s="44">
        <v>75.150000000000006</v>
      </c>
      <c r="J37" s="53">
        <v>76.349999999999994</v>
      </c>
      <c r="K37" s="53">
        <v>77.55</v>
      </c>
      <c r="L37" s="44">
        <v>78.760000000000005</v>
      </c>
      <c r="M37" s="44">
        <v>79.959999999999994</v>
      </c>
      <c r="N37" s="44">
        <v>81.16</v>
      </c>
      <c r="O37" s="59">
        <v>82.36</v>
      </c>
      <c r="P37" s="65">
        <v>83.56</v>
      </c>
      <c r="Q37" s="65">
        <v>84.76</v>
      </c>
      <c r="R37" s="65">
        <v>85.96</v>
      </c>
      <c r="S37" s="65">
        <v>87.16</v>
      </c>
      <c r="T37" s="65">
        <v>88.37</v>
      </c>
      <c r="U37" s="65">
        <v>89.57</v>
      </c>
      <c r="V37" s="24">
        <v>73.63</v>
      </c>
      <c r="W37" s="24">
        <v>74.84</v>
      </c>
      <c r="X37" s="24">
        <v>76.040000000000006</v>
      </c>
      <c r="Y37" s="24">
        <v>77.239999999999995</v>
      </c>
      <c r="Z37" s="24">
        <v>55.62</v>
      </c>
      <c r="AA37" s="24">
        <v>54.42</v>
      </c>
      <c r="AB37" s="24">
        <v>53.21</v>
      </c>
      <c r="AC37" s="24">
        <v>52.01</v>
      </c>
      <c r="AD37" s="24">
        <v>50.81</v>
      </c>
      <c r="AE37" s="5">
        <v>33</v>
      </c>
      <c r="AF37" s="43">
        <v>39.22</v>
      </c>
      <c r="AG37" s="43">
        <v>40.07</v>
      </c>
      <c r="AH37" s="43">
        <v>40.92</v>
      </c>
      <c r="AI37" s="43">
        <v>41.76</v>
      </c>
      <c r="AJ37" s="43">
        <v>42.61</v>
      </c>
      <c r="AK37" s="43">
        <v>43.46</v>
      </c>
      <c r="AL37" s="43">
        <v>44.31</v>
      </c>
      <c r="AM37" s="43">
        <v>45.16</v>
      </c>
      <c r="AN37" s="44">
        <v>46</v>
      </c>
      <c r="AO37" s="52">
        <v>46.85</v>
      </c>
      <c r="AP37" s="53">
        <v>47.7</v>
      </c>
      <c r="AQ37" s="44">
        <v>48.55</v>
      </c>
      <c r="AR37" s="44">
        <v>49.4</v>
      </c>
      <c r="AS37" s="72">
        <v>50.24</v>
      </c>
      <c r="AT37" s="59">
        <v>51.09</v>
      </c>
      <c r="AU37" s="65">
        <v>51.94</v>
      </c>
      <c r="AV37" s="65">
        <v>52.79</v>
      </c>
      <c r="AW37" s="65">
        <v>53.64</v>
      </c>
      <c r="AX37" s="65">
        <v>54.49</v>
      </c>
      <c r="AY37" s="65">
        <v>55.33</v>
      </c>
      <c r="AZ37" s="65">
        <v>56.18</v>
      </c>
      <c r="BA37" s="24">
        <v>48.47</v>
      </c>
      <c r="BB37" s="24">
        <v>49.31</v>
      </c>
      <c r="BC37" s="24">
        <v>50.16</v>
      </c>
      <c r="BD37" s="24">
        <v>51.01</v>
      </c>
      <c r="BE37" s="24">
        <v>35.74</v>
      </c>
      <c r="BF37" s="24">
        <v>34.9</v>
      </c>
      <c r="BG37" s="24">
        <v>34.049999999999997</v>
      </c>
      <c r="BH37" s="24">
        <v>33.200000000000003</v>
      </c>
      <c r="BI37" s="24">
        <v>32.35</v>
      </c>
    </row>
    <row r="38" spans="1:61" x14ac:dyDescent="0.45">
      <c r="A38" s="43">
        <v>67.5</v>
      </c>
      <c r="B38" s="43">
        <v>68.73</v>
      </c>
      <c r="C38" s="43">
        <v>69.97</v>
      </c>
      <c r="D38" s="43">
        <v>71.209999999999994</v>
      </c>
      <c r="E38" s="43">
        <v>72.45</v>
      </c>
      <c r="F38" s="43">
        <v>73.680000000000007</v>
      </c>
      <c r="G38" s="43">
        <v>74.92</v>
      </c>
      <c r="H38" s="43">
        <v>76.16</v>
      </c>
      <c r="I38" s="44">
        <v>77.400000000000006</v>
      </c>
      <c r="J38" s="53">
        <v>78.63</v>
      </c>
      <c r="K38" s="53">
        <v>79.87</v>
      </c>
      <c r="L38" s="44">
        <v>81.11</v>
      </c>
      <c r="M38" s="44">
        <v>82.35</v>
      </c>
      <c r="N38" s="44">
        <v>83.58</v>
      </c>
      <c r="O38" s="59">
        <v>84.82</v>
      </c>
      <c r="P38" s="65">
        <v>86.06</v>
      </c>
      <c r="Q38" s="65">
        <v>87.3</v>
      </c>
      <c r="R38" s="65">
        <v>88.53</v>
      </c>
      <c r="S38" s="65">
        <v>89.77</v>
      </c>
      <c r="T38" s="65">
        <v>91.01</v>
      </c>
      <c r="U38" s="65">
        <v>92.25</v>
      </c>
      <c r="V38" s="24">
        <v>75.849999999999994</v>
      </c>
      <c r="W38" s="24">
        <v>77.08</v>
      </c>
      <c r="X38" s="24">
        <v>78.319999999999993</v>
      </c>
      <c r="Y38" s="24">
        <v>79.56</v>
      </c>
      <c r="Z38" s="24">
        <v>57.28</v>
      </c>
      <c r="AA38" s="24">
        <v>56.04</v>
      </c>
      <c r="AB38" s="24">
        <v>54.81</v>
      </c>
      <c r="AC38" s="24">
        <v>53.57</v>
      </c>
      <c r="AD38" s="24">
        <v>52.33</v>
      </c>
      <c r="AE38" s="5">
        <v>34</v>
      </c>
      <c r="AF38" s="43">
        <v>40.39</v>
      </c>
      <c r="AG38" s="43">
        <v>41.26</v>
      </c>
      <c r="AH38" s="43">
        <v>42.14</v>
      </c>
      <c r="AI38" s="43">
        <v>43.01</v>
      </c>
      <c r="AJ38" s="43">
        <v>43.88</v>
      </c>
      <c r="AK38" s="43">
        <v>44.76</v>
      </c>
      <c r="AL38" s="43">
        <v>45.63</v>
      </c>
      <c r="AM38" s="43">
        <v>46.51</v>
      </c>
      <c r="AN38" s="44">
        <v>47.38</v>
      </c>
      <c r="AO38" s="53">
        <v>48.25</v>
      </c>
      <c r="AP38" s="53">
        <v>49.13</v>
      </c>
      <c r="AQ38" s="44">
        <v>50</v>
      </c>
      <c r="AR38" s="44">
        <v>50.87</v>
      </c>
      <c r="AS38" s="72">
        <v>51.75</v>
      </c>
      <c r="AT38" s="59">
        <v>52.62</v>
      </c>
      <c r="AU38" s="65">
        <v>53.5</v>
      </c>
      <c r="AV38" s="65">
        <v>54.37</v>
      </c>
      <c r="AW38" s="65">
        <v>55.24</v>
      </c>
      <c r="AX38" s="65">
        <v>56.12</v>
      </c>
      <c r="AY38" s="65">
        <v>56.99</v>
      </c>
      <c r="AZ38" s="65">
        <v>57.86</v>
      </c>
      <c r="BA38" s="24">
        <v>49.92</v>
      </c>
      <c r="BB38" s="24">
        <v>50.8</v>
      </c>
      <c r="BC38" s="24">
        <v>51.67</v>
      </c>
      <c r="BD38" s="24">
        <v>52.54</v>
      </c>
      <c r="BE38" s="24">
        <v>36.82</v>
      </c>
      <c r="BF38" s="24">
        <v>35.94</v>
      </c>
      <c r="BG38" s="24">
        <v>35.07</v>
      </c>
      <c r="BH38" s="24">
        <v>34.19</v>
      </c>
      <c r="BI38" s="24">
        <v>33.32</v>
      </c>
    </row>
    <row r="39" spans="1:61" x14ac:dyDescent="0.45">
      <c r="A39" s="43">
        <v>69.430000000000007</v>
      </c>
      <c r="B39" s="43">
        <v>70.7</v>
      </c>
      <c r="C39" s="43">
        <v>71.98</v>
      </c>
      <c r="D39" s="43">
        <v>73.25</v>
      </c>
      <c r="E39" s="43">
        <v>74.52</v>
      </c>
      <c r="F39" s="43">
        <v>75.8</v>
      </c>
      <c r="G39" s="43">
        <v>77.069999999999993</v>
      </c>
      <c r="H39" s="43">
        <v>78.349999999999994</v>
      </c>
      <c r="I39" s="44">
        <v>79.62</v>
      </c>
      <c r="J39" s="53">
        <v>80.89</v>
      </c>
      <c r="K39" s="53">
        <v>82.17</v>
      </c>
      <c r="L39" s="44">
        <v>83.44</v>
      </c>
      <c r="M39" s="44">
        <v>84.72</v>
      </c>
      <c r="N39" s="44">
        <v>85.99</v>
      </c>
      <c r="O39" s="59">
        <v>87.26</v>
      </c>
      <c r="P39" s="65">
        <v>88.54</v>
      </c>
      <c r="Q39" s="65">
        <v>89.81</v>
      </c>
      <c r="R39" s="65">
        <v>91.09</v>
      </c>
      <c r="S39" s="65">
        <v>92.36</v>
      </c>
      <c r="T39" s="65">
        <v>93.63</v>
      </c>
      <c r="U39" s="65">
        <v>94.91</v>
      </c>
      <c r="V39" s="24">
        <v>78.05</v>
      </c>
      <c r="W39" s="24">
        <v>79.319999999999993</v>
      </c>
      <c r="X39" s="24">
        <v>80.59</v>
      </c>
      <c r="Y39" s="24">
        <v>81.87</v>
      </c>
      <c r="Z39" s="24">
        <v>58.94</v>
      </c>
      <c r="AA39" s="24">
        <v>57.66</v>
      </c>
      <c r="AB39" s="24">
        <v>56.39</v>
      </c>
      <c r="AC39" s="24">
        <v>55.11</v>
      </c>
      <c r="AD39" s="24">
        <v>53.84</v>
      </c>
      <c r="AE39" s="5">
        <v>35</v>
      </c>
      <c r="AF39" s="43">
        <v>41.56</v>
      </c>
      <c r="AG39" s="43">
        <v>42.46</v>
      </c>
      <c r="AH39" s="43">
        <v>43.36</v>
      </c>
      <c r="AI39" s="43">
        <v>44.26</v>
      </c>
      <c r="AJ39" s="43">
        <v>45.15</v>
      </c>
      <c r="AK39" s="43">
        <v>46.05</v>
      </c>
      <c r="AL39" s="43">
        <v>46.95</v>
      </c>
      <c r="AM39" s="43">
        <v>47.85</v>
      </c>
      <c r="AN39" s="44">
        <v>48.75</v>
      </c>
      <c r="AO39" s="53">
        <v>49.65</v>
      </c>
      <c r="AP39" s="53">
        <v>50.55</v>
      </c>
      <c r="AQ39" s="44">
        <v>51.45</v>
      </c>
      <c r="AR39" s="44">
        <v>52.35</v>
      </c>
      <c r="AS39" s="72">
        <v>53.25</v>
      </c>
      <c r="AT39" s="59">
        <v>54.15</v>
      </c>
      <c r="AU39" s="65">
        <v>55.05</v>
      </c>
      <c r="AV39" s="65">
        <v>55.95</v>
      </c>
      <c r="AW39" s="65">
        <v>56.85</v>
      </c>
      <c r="AX39" s="65">
        <v>57.75</v>
      </c>
      <c r="AY39" s="65">
        <v>58.65</v>
      </c>
      <c r="AZ39" s="65">
        <v>59.55</v>
      </c>
      <c r="BA39" s="24">
        <v>51.38</v>
      </c>
      <c r="BB39" s="24">
        <v>52.28</v>
      </c>
      <c r="BC39" s="24">
        <v>53.18</v>
      </c>
      <c r="BD39" s="24">
        <v>54.08</v>
      </c>
      <c r="BE39" s="24">
        <v>37.89</v>
      </c>
      <c r="BF39" s="24">
        <v>36.99</v>
      </c>
      <c r="BG39" s="24">
        <v>36.090000000000003</v>
      </c>
      <c r="BH39" s="24">
        <v>35.19</v>
      </c>
      <c r="BI39" s="24">
        <v>34.29</v>
      </c>
    </row>
    <row r="40" spans="1:61" x14ac:dyDescent="0.45">
      <c r="A40" s="43">
        <v>71.38</v>
      </c>
      <c r="B40" s="43">
        <v>72.69</v>
      </c>
      <c r="C40" s="43">
        <v>74</v>
      </c>
      <c r="D40" s="43">
        <v>75.31</v>
      </c>
      <c r="E40" s="43">
        <v>76.62</v>
      </c>
      <c r="F40" s="43">
        <v>77.930000000000007</v>
      </c>
      <c r="G40" s="43">
        <v>79.25</v>
      </c>
      <c r="H40" s="43">
        <v>80.56</v>
      </c>
      <c r="I40" s="44">
        <v>81.87</v>
      </c>
      <c r="J40" s="53">
        <v>83.18</v>
      </c>
      <c r="K40" s="53">
        <v>84.49</v>
      </c>
      <c r="L40" s="44">
        <v>85.8</v>
      </c>
      <c r="M40" s="44">
        <v>87.11</v>
      </c>
      <c r="N40" s="44">
        <v>88.42</v>
      </c>
      <c r="O40" s="59">
        <v>89.73</v>
      </c>
      <c r="P40" s="65">
        <v>91.04</v>
      </c>
      <c r="Q40" s="65">
        <v>92.35</v>
      </c>
      <c r="R40" s="65">
        <v>93.66</v>
      </c>
      <c r="S40" s="65">
        <v>94.97</v>
      </c>
      <c r="T40" s="65">
        <v>96.28</v>
      </c>
      <c r="U40" s="65">
        <v>97.59</v>
      </c>
      <c r="V40" s="24">
        <v>80.260000000000005</v>
      </c>
      <c r="W40" s="24">
        <v>81.569999999999993</v>
      </c>
      <c r="X40" s="24">
        <v>82.88</v>
      </c>
      <c r="Y40" s="24">
        <v>84.19</v>
      </c>
      <c r="Z40" s="24">
        <v>60.6</v>
      </c>
      <c r="AA40" s="24">
        <v>59.29</v>
      </c>
      <c r="AB40" s="24">
        <v>57.98</v>
      </c>
      <c r="AC40" s="24">
        <v>56.67</v>
      </c>
      <c r="AD40" s="24">
        <v>55.36</v>
      </c>
      <c r="AE40" s="5">
        <v>36</v>
      </c>
      <c r="AF40" s="43">
        <v>42.73</v>
      </c>
      <c r="AG40" s="43">
        <v>43.66</v>
      </c>
      <c r="AH40" s="43">
        <v>44.58</v>
      </c>
      <c r="AI40" s="43">
        <v>45.51</v>
      </c>
      <c r="AJ40" s="43">
        <v>46.43</v>
      </c>
      <c r="AK40" s="43">
        <v>47.36</v>
      </c>
      <c r="AL40" s="43">
        <v>48.28</v>
      </c>
      <c r="AM40" s="43">
        <v>49.21</v>
      </c>
      <c r="AN40" s="44">
        <v>50.13</v>
      </c>
      <c r="AO40" s="53">
        <v>51.06</v>
      </c>
      <c r="AP40" s="53">
        <v>51.98</v>
      </c>
      <c r="AQ40" s="44">
        <v>52.91</v>
      </c>
      <c r="AR40" s="44">
        <v>53.83</v>
      </c>
      <c r="AS40" s="72">
        <v>54.76</v>
      </c>
      <c r="AT40" s="59">
        <v>55.68</v>
      </c>
      <c r="AU40" s="65">
        <v>56.61</v>
      </c>
      <c r="AV40" s="65">
        <v>57.53</v>
      </c>
      <c r="AW40" s="65">
        <v>58.46</v>
      </c>
      <c r="AX40" s="65">
        <v>59.38</v>
      </c>
      <c r="AY40" s="65">
        <v>60.31</v>
      </c>
      <c r="AZ40" s="65">
        <v>61.23</v>
      </c>
      <c r="BA40" s="24">
        <v>52.84</v>
      </c>
      <c r="BB40" s="24">
        <v>53.76</v>
      </c>
      <c r="BC40" s="24">
        <v>54.69</v>
      </c>
      <c r="BD40" s="24">
        <v>55.61</v>
      </c>
      <c r="BE40" s="24">
        <v>38.96</v>
      </c>
      <c r="BF40" s="24">
        <v>38.04</v>
      </c>
      <c r="BG40" s="24">
        <v>37.11</v>
      </c>
      <c r="BH40" s="24">
        <v>36.19</v>
      </c>
      <c r="BI40" s="24">
        <v>35.26</v>
      </c>
    </row>
    <row r="41" spans="1:61" x14ac:dyDescent="0.45">
      <c r="A41" s="43">
        <v>73.34</v>
      </c>
      <c r="B41" s="43">
        <v>74.680000000000007</v>
      </c>
      <c r="C41" s="43">
        <v>76.03</v>
      </c>
      <c r="D41" s="43">
        <v>77.38</v>
      </c>
      <c r="E41" s="43">
        <v>78.72</v>
      </c>
      <c r="F41" s="43">
        <v>80.069999999999993</v>
      </c>
      <c r="G41" s="43">
        <v>81.42</v>
      </c>
      <c r="H41" s="43">
        <v>82.77</v>
      </c>
      <c r="I41" s="44">
        <v>84.11</v>
      </c>
      <c r="J41" s="53">
        <v>85.46</v>
      </c>
      <c r="K41" s="53">
        <v>86.81</v>
      </c>
      <c r="L41" s="44">
        <v>88.15</v>
      </c>
      <c r="M41" s="44">
        <v>89.5</v>
      </c>
      <c r="N41" s="44">
        <v>90.85</v>
      </c>
      <c r="O41" s="59">
        <v>92.19</v>
      </c>
      <c r="P41" s="65">
        <v>93.54</v>
      </c>
      <c r="Q41" s="65">
        <v>94.89</v>
      </c>
      <c r="R41" s="65">
        <v>96.23</v>
      </c>
      <c r="S41" s="65">
        <v>97.58</v>
      </c>
      <c r="T41" s="65">
        <v>98.93</v>
      </c>
      <c r="U41" s="65">
        <v>100.27</v>
      </c>
      <c r="V41" s="24">
        <v>82.47</v>
      </c>
      <c r="W41" s="24">
        <v>83.82</v>
      </c>
      <c r="X41" s="24">
        <v>85.17</v>
      </c>
      <c r="Y41" s="24">
        <v>86.51</v>
      </c>
      <c r="Z41" s="24">
        <v>62.27</v>
      </c>
      <c r="AA41" s="24">
        <v>60.92</v>
      </c>
      <c r="AB41" s="24">
        <v>59.58</v>
      </c>
      <c r="AC41" s="24">
        <v>58.23</v>
      </c>
      <c r="AD41" s="24">
        <v>56.88</v>
      </c>
      <c r="AE41" s="5">
        <v>37</v>
      </c>
      <c r="AF41" s="43">
        <v>43.9</v>
      </c>
      <c r="AG41" s="43">
        <v>44.85</v>
      </c>
      <c r="AH41" s="43">
        <v>45.8</v>
      </c>
      <c r="AI41" s="43">
        <v>46.75</v>
      </c>
      <c r="AJ41" s="43">
        <v>47.7</v>
      </c>
      <c r="AK41" s="43">
        <v>48.65</v>
      </c>
      <c r="AL41" s="43">
        <v>49.6</v>
      </c>
      <c r="AM41" s="43">
        <v>50.55</v>
      </c>
      <c r="AN41" s="44">
        <v>51.5</v>
      </c>
      <c r="AO41" s="53">
        <v>52.45</v>
      </c>
      <c r="AP41" s="53">
        <v>53.41</v>
      </c>
      <c r="AQ41" s="44">
        <v>54.36</v>
      </c>
      <c r="AR41" s="44">
        <v>55.31</v>
      </c>
      <c r="AS41" s="72">
        <v>56.26</v>
      </c>
      <c r="AT41" s="59">
        <v>57.21</v>
      </c>
      <c r="AU41" s="65">
        <v>58.16</v>
      </c>
      <c r="AV41" s="65">
        <v>59.11</v>
      </c>
      <c r="AW41" s="65">
        <v>60.06</v>
      </c>
      <c r="AX41" s="65">
        <v>61.01</v>
      </c>
      <c r="AY41" s="65">
        <v>61.96</v>
      </c>
      <c r="AZ41" s="65">
        <v>62.91</v>
      </c>
      <c r="BA41" s="24">
        <v>54.29</v>
      </c>
      <c r="BB41" s="24">
        <v>55.24</v>
      </c>
      <c r="BC41" s="24">
        <v>56.19</v>
      </c>
      <c r="BD41" s="24">
        <v>57.15</v>
      </c>
      <c r="BE41" s="24">
        <v>40.03</v>
      </c>
      <c r="BF41" s="24">
        <v>39.08</v>
      </c>
      <c r="BG41" s="24">
        <v>38.130000000000003</v>
      </c>
      <c r="BH41" s="24">
        <v>37.18</v>
      </c>
      <c r="BI41" s="24">
        <v>36.229999999999997</v>
      </c>
    </row>
    <row r="42" spans="1:61" x14ac:dyDescent="0.45">
      <c r="A42" s="43">
        <v>75.290000000000006</v>
      </c>
      <c r="B42" s="43">
        <v>76.67</v>
      </c>
      <c r="C42" s="43">
        <v>78.06</v>
      </c>
      <c r="D42" s="43">
        <v>79.44</v>
      </c>
      <c r="E42" s="43">
        <v>80.8</v>
      </c>
      <c r="F42" s="43">
        <v>82.21</v>
      </c>
      <c r="G42" s="43">
        <v>83.59</v>
      </c>
      <c r="H42" s="43">
        <v>84.97</v>
      </c>
      <c r="I42" s="44">
        <v>86.35</v>
      </c>
      <c r="J42" s="53">
        <v>87.74</v>
      </c>
      <c r="K42" s="53">
        <v>89.12</v>
      </c>
      <c r="L42" s="44">
        <v>90.5</v>
      </c>
      <c r="M42" s="44">
        <v>91.89</v>
      </c>
      <c r="N42" s="44">
        <v>93.27</v>
      </c>
      <c r="O42" s="59">
        <v>94.65</v>
      </c>
      <c r="P42" s="65">
        <v>96.04</v>
      </c>
      <c r="Q42" s="65">
        <v>97.42</v>
      </c>
      <c r="R42" s="65">
        <v>98.8</v>
      </c>
      <c r="S42" s="65">
        <v>100.19</v>
      </c>
      <c r="T42" s="65">
        <v>101.57</v>
      </c>
      <c r="U42" s="65">
        <v>102.95</v>
      </c>
      <c r="V42" s="24">
        <v>84.68</v>
      </c>
      <c r="W42" s="24">
        <v>86.07</v>
      </c>
      <c r="X42" s="24">
        <v>87.45</v>
      </c>
      <c r="Y42" s="24">
        <v>88.83</v>
      </c>
      <c r="Z42" s="24">
        <v>63.94</v>
      </c>
      <c r="AA42" s="24">
        <v>62.55</v>
      </c>
      <c r="AB42" s="24">
        <v>61.17</v>
      </c>
      <c r="AC42" s="24">
        <v>59.79</v>
      </c>
      <c r="AD42" s="24">
        <v>58.4</v>
      </c>
      <c r="AE42" s="5">
        <v>38</v>
      </c>
      <c r="AF42" s="43">
        <v>45.07</v>
      </c>
      <c r="AG42" s="43">
        <v>46.04</v>
      </c>
      <c r="AH42" s="43">
        <v>47.02</v>
      </c>
      <c r="AI42" s="43">
        <v>48</v>
      </c>
      <c r="AJ42" s="43">
        <v>48.97</v>
      </c>
      <c r="AK42" s="43">
        <v>49.95</v>
      </c>
      <c r="AL42" s="43">
        <v>50.93</v>
      </c>
      <c r="AM42" s="43">
        <v>51.9</v>
      </c>
      <c r="AN42" s="44">
        <v>52.88</v>
      </c>
      <c r="AO42" s="53">
        <v>53.86</v>
      </c>
      <c r="AP42" s="53">
        <v>54.83</v>
      </c>
      <c r="AQ42" s="44">
        <v>55.81</v>
      </c>
      <c r="AR42" s="44">
        <v>56.79</v>
      </c>
      <c r="AS42" s="72">
        <v>57.76</v>
      </c>
      <c r="AT42" s="59">
        <v>58.74</v>
      </c>
      <c r="AU42" s="65">
        <v>59.72</v>
      </c>
      <c r="AV42" s="65">
        <v>60.69</v>
      </c>
      <c r="AW42" s="65">
        <v>61.67</v>
      </c>
      <c r="AX42" s="65">
        <v>62.65</v>
      </c>
      <c r="AY42" s="65">
        <v>63.62</v>
      </c>
      <c r="AZ42" s="65">
        <v>64.599999999999994</v>
      </c>
      <c r="BA42" s="24">
        <v>55.75</v>
      </c>
      <c r="BB42" s="24">
        <v>56.73</v>
      </c>
      <c r="BC42" s="24">
        <v>57.7</v>
      </c>
      <c r="BD42" s="24">
        <v>58.68</v>
      </c>
      <c r="BE42" s="24">
        <v>41.1</v>
      </c>
      <c r="BF42" s="24">
        <v>40.130000000000003</v>
      </c>
      <c r="BG42" s="24">
        <v>39.15</v>
      </c>
      <c r="BH42" s="24">
        <v>38.17</v>
      </c>
      <c r="BI42" s="24">
        <v>37.200000000000003</v>
      </c>
    </row>
    <row r="43" spans="1:61" x14ac:dyDescent="0.45">
      <c r="A43" s="43">
        <v>77.239999999999995</v>
      </c>
      <c r="B43" s="43">
        <v>78.66</v>
      </c>
      <c r="C43" s="43">
        <v>80.069999999999993</v>
      </c>
      <c r="D43" s="43">
        <v>81.489999999999995</v>
      </c>
      <c r="E43" s="43">
        <v>82.91</v>
      </c>
      <c r="F43" s="43">
        <v>84.33</v>
      </c>
      <c r="G43" s="43">
        <v>85.75</v>
      </c>
      <c r="H43" s="43">
        <v>87.17</v>
      </c>
      <c r="I43" s="44">
        <v>88.59</v>
      </c>
      <c r="J43" s="53">
        <v>90.01</v>
      </c>
      <c r="K43" s="53">
        <v>91.43</v>
      </c>
      <c r="L43" s="44">
        <v>92.85</v>
      </c>
      <c r="M43" s="44">
        <v>94.27</v>
      </c>
      <c r="N43" s="44">
        <v>95.69</v>
      </c>
      <c r="O43" s="59">
        <v>97.11</v>
      </c>
      <c r="P43" s="65">
        <v>98.53</v>
      </c>
      <c r="Q43" s="65">
        <v>99.95</v>
      </c>
      <c r="R43" s="65">
        <v>101.37</v>
      </c>
      <c r="S43" s="65">
        <v>102.79</v>
      </c>
      <c r="T43" s="65">
        <v>104.21</v>
      </c>
      <c r="U43" s="65">
        <v>105.63</v>
      </c>
      <c r="V43" s="24">
        <v>86.89</v>
      </c>
      <c r="W43" s="24">
        <v>88.31</v>
      </c>
      <c r="X43" s="24">
        <v>89.73</v>
      </c>
      <c r="Y43" s="24">
        <v>91.15</v>
      </c>
      <c r="Z43" s="24">
        <v>95.6</v>
      </c>
      <c r="AA43" s="24">
        <v>64.180000000000007</v>
      </c>
      <c r="AB43" s="24">
        <v>62.76</v>
      </c>
      <c r="AC43" s="24">
        <v>61.34</v>
      </c>
      <c r="AD43" s="24">
        <v>59.92</v>
      </c>
      <c r="AE43" s="5">
        <v>39</v>
      </c>
      <c r="AF43" s="43">
        <v>46.24</v>
      </c>
      <c r="AG43" s="43">
        <v>47.25</v>
      </c>
      <c r="AH43" s="43">
        <v>48.25</v>
      </c>
      <c r="AI43" s="43">
        <v>49.25</v>
      </c>
      <c r="AJ43" s="43">
        <v>50.25</v>
      </c>
      <c r="AK43" s="43">
        <v>51.25</v>
      </c>
      <c r="AL43" s="43">
        <v>52.26</v>
      </c>
      <c r="AM43" s="43">
        <v>53.26</v>
      </c>
      <c r="AN43" s="44">
        <v>54.26</v>
      </c>
      <c r="AO43" s="53">
        <v>55.26</v>
      </c>
      <c r="AP43" s="53">
        <v>56.27</v>
      </c>
      <c r="AQ43" s="44">
        <v>57.27</v>
      </c>
      <c r="AR43" s="44">
        <v>58.27</v>
      </c>
      <c r="AS43" s="72">
        <v>59.27</v>
      </c>
      <c r="AT43" s="59">
        <v>60.28</v>
      </c>
      <c r="AU43" s="65">
        <v>61.28</v>
      </c>
      <c r="AV43" s="65">
        <v>62.28</v>
      </c>
      <c r="AW43" s="65">
        <v>63.28</v>
      </c>
      <c r="AX43" s="65">
        <v>64.28</v>
      </c>
      <c r="AY43" s="65">
        <v>65.290000000000006</v>
      </c>
      <c r="AZ43" s="65">
        <v>66.290000000000006</v>
      </c>
      <c r="BA43" s="24">
        <v>57.21</v>
      </c>
      <c r="BB43" s="24">
        <v>58.21</v>
      </c>
      <c r="BC43" s="24">
        <v>59.22</v>
      </c>
      <c r="BD43" s="24">
        <v>60.22</v>
      </c>
      <c r="BE43" s="24">
        <v>42.18</v>
      </c>
      <c r="BF43" s="24">
        <v>41.17</v>
      </c>
      <c r="BG43" s="24">
        <v>40.17</v>
      </c>
      <c r="BH43" s="24">
        <v>39.17</v>
      </c>
      <c r="BI43" s="24">
        <v>38.17</v>
      </c>
    </row>
    <row r="44" spans="1:61" x14ac:dyDescent="0.45">
      <c r="A44" s="43">
        <v>79.17</v>
      </c>
      <c r="B44" s="43">
        <v>80.63</v>
      </c>
      <c r="C44" s="43">
        <v>82.09</v>
      </c>
      <c r="D44" s="43">
        <v>83.54</v>
      </c>
      <c r="E44" s="43">
        <v>85</v>
      </c>
      <c r="F44" s="43">
        <v>86.45</v>
      </c>
      <c r="G44" s="43">
        <v>87.91</v>
      </c>
      <c r="H44" s="43">
        <v>89.37</v>
      </c>
      <c r="I44" s="44">
        <v>90.82</v>
      </c>
      <c r="J44" s="53">
        <v>92.28</v>
      </c>
      <c r="K44" s="53">
        <v>93.73</v>
      </c>
      <c r="L44" s="44">
        <v>95.19</v>
      </c>
      <c r="M44" s="44">
        <v>96.65</v>
      </c>
      <c r="N44" s="44">
        <v>98.1</v>
      </c>
      <c r="O44" s="59">
        <v>99.56</v>
      </c>
      <c r="P44" s="65">
        <v>101.01</v>
      </c>
      <c r="Q44" s="65">
        <v>102.47</v>
      </c>
      <c r="R44" s="65">
        <v>103.93</v>
      </c>
      <c r="S44" s="65">
        <v>105.38</v>
      </c>
      <c r="T44" s="65">
        <v>106.84</v>
      </c>
      <c r="U44" s="65">
        <v>108.29</v>
      </c>
      <c r="V44" s="24">
        <v>89.1</v>
      </c>
      <c r="W44" s="24">
        <v>90.55</v>
      </c>
      <c r="X44" s="24">
        <v>92.01</v>
      </c>
      <c r="Y44" s="24">
        <v>93.46</v>
      </c>
      <c r="Z44" s="24">
        <v>67.260000000000005</v>
      </c>
      <c r="AA44" s="24">
        <v>65.8</v>
      </c>
      <c r="AB44" s="24">
        <v>64.34</v>
      </c>
      <c r="AC44" s="24">
        <v>62.89</v>
      </c>
      <c r="AD44" s="24">
        <v>61.53</v>
      </c>
      <c r="AE44" s="5">
        <v>40</v>
      </c>
      <c r="AF44" s="43">
        <v>47.41</v>
      </c>
      <c r="AG44" s="43">
        <v>48.44</v>
      </c>
      <c r="AH44" s="43">
        <v>49.46</v>
      </c>
      <c r="AI44" s="43">
        <v>50.49</v>
      </c>
      <c r="AJ44" s="43">
        <v>51.52</v>
      </c>
      <c r="AK44" s="43">
        <v>52.55</v>
      </c>
      <c r="AL44" s="43">
        <v>53.58</v>
      </c>
      <c r="AM44" s="43">
        <v>54.6</v>
      </c>
      <c r="AN44" s="44">
        <v>55.63</v>
      </c>
      <c r="AO44" s="53">
        <v>56.66</v>
      </c>
      <c r="AP44" s="53">
        <v>57.69</v>
      </c>
      <c r="AQ44" s="44">
        <v>58.72</v>
      </c>
      <c r="AR44" s="44">
        <v>59.74</v>
      </c>
      <c r="AS44" s="72">
        <v>60.77</v>
      </c>
      <c r="AT44" s="59">
        <v>61.8</v>
      </c>
      <c r="AU44" s="65">
        <v>62.83</v>
      </c>
      <c r="AV44" s="65">
        <v>63.86</v>
      </c>
      <c r="AW44" s="65">
        <v>64.88</v>
      </c>
      <c r="AX44" s="65">
        <v>65.91</v>
      </c>
      <c r="AY44" s="65">
        <v>66.94</v>
      </c>
      <c r="AZ44" s="65">
        <v>67.97</v>
      </c>
      <c r="BA44" s="24">
        <v>58.67</v>
      </c>
      <c r="BB44" s="24">
        <v>59.69</v>
      </c>
      <c r="BC44" s="24">
        <v>60.72</v>
      </c>
      <c r="BD44" s="24">
        <v>61.75</v>
      </c>
      <c r="BE44" s="24">
        <v>43.25</v>
      </c>
      <c r="BF44" s="24">
        <v>42.22</v>
      </c>
      <c r="BG44" s="24">
        <v>41.19</v>
      </c>
      <c r="BH44" s="24">
        <v>40.159999999999997</v>
      </c>
      <c r="BI44" s="24">
        <v>39.130000000000003</v>
      </c>
    </row>
    <row r="45" spans="1:61" x14ac:dyDescent="0.45">
      <c r="A45" s="43">
        <v>81.13</v>
      </c>
      <c r="B45" s="43">
        <v>82.63</v>
      </c>
      <c r="C45" s="43">
        <v>84.12</v>
      </c>
      <c r="D45" s="43">
        <v>85.61</v>
      </c>
      <c r="E45" s="43">
        <v>87.1</v>
      </c>
      <c r="F45" s="43">
        <v>88.6</v>
      </c>
      <c r="G45" s="43">
        <v>90.09</v>
      </c>
      <c r="H45" s="43">
        <v>91.58</v>
      </c>
      <c r="I45" s="44">
        <v>93.07</v>
      </c>
      <c r="J45" s="53">
        <v>94.57</v>
      </c>
      <c r="K45" s="53">
        <v>96.06</v>
      </c>
      <c r="L45" s="44">
        <v>97.55</v>
      </c>
      <c r="M45" s="44">
        <v>99.04</v>
      </c>
      <c r="N45" s="44">
        <v>100.54</v>
      </c>
      <c r="O45" s="59">
        <v>102.03</v>
      </c>
      <c r="P45" s="65">
        <v>103.52</v>
      </c>
      <c r="Q45" s="65">
        <v>105.01</v>
      </c>
      <c r="R45" s="65">
        <v>106.51</v>
      </c>
      <c r="S45" s="65">
        <v>108</v>
      </c>
      <c r="T45" s="65">
        <v>109.49</v>
      </c>
      <c r="U45" s="65">
        <v>110.98</v>
      </c>
      <c r="V45" s="24">
        <v>91.31</v>
      </c>
      <c r="W45" s="24">
        <v>92.8</v>
      </c>
      <c r="X45" s="24">
        <v>94.3</v>
      </c>
      <c r="Y45" s="24">
        <v>95.79</v>
      </c>
      <c r="Z45" s="24">
        <v>68.930000000000007</v>
      </c>
      <c r="AA45" s="24">
        <v>67.430000000000007</v>
      </c>
      <c r="AB45" s="24">
        <v>65.94</v>
      </c>
      <c r="AC45" s="24">
        <v>64.400000000000006</v>
      </c>
      <c r="AD45" s="24">
        <v>62.96</v>
      </c>
      <c r="AE45" s="5">
        <v>41</v>
      </c>
      <c r="AF45" s="43">
        <v>48.58</v>
      </c>
      <c r="AG45" s="43">
        <v>49.63</v>
      </c>
      <c r="AH45" s="43">
        <v>50.68</v>
      </c>
      <c r="AI45" s="43">
        <v>51.74</v>
      </c>
      <c r="AJ45" s="43">
        <v>52.79</v>
      </c>
      <c r="AK45" s="43">
        <v>53.85</v>
      </c>
      <c r="AL45" s="43">
        <v>54.9</v>
      </c>
      <c r="AM45" s="43">
        <v>55.95</v>
      </c>
      <c r="AN45" s="44">
        <v>57.01</v>
      </c>
      <c r="AO45" s="53">
        <v>58.06</v>
      </c>
      <c r="AP45" s="53">
        <v>59.11</v>
      </c>
      <c r="AQ45" s="44">
        <v>60.17</v>
      </c>
      <c r="AR45" s="44">
        <v>61.22</v>
      </c>
      <c r="AS45" s="72">
        <v>62.28</v>
      </c>
      <c r="AT45" s="59">
        <v>63.33</v>
      </c>
      <c r="AU45" s="65">
        <v>64.38</v>
      </c>
      <c r="AV45" s="65">
        <v>65.44</v>
      </c>
      <c r="AW45" s="65">
        <v>66.489999999999995</v>
      </c>
      <c r="AX45" s="65">
        <v>67.540000000000006</v>
      </c>
      <c r="AY45" s="65">
        <v>68.599999999999994</v>
      </c>
      <c r="AZ45" s="65">
        <v>69.650000000000006</v>
      </c>
      <c r="BA45" s="24">
        <v>60.12</v>
      </c>
      <c r="BB45" s="24">
        <v>61.18</v>
      </c>
      <c r="BC45" s="24">
        <v>62.23</v>
      </c>
      <c r="BD45" s="24">
        <v>63.28</v>
      </c>
      <c r="BE45" s="24">
        <v>44.32</v>
      </c>
      <c r="BF45" s="24">
        <v>43.26</v>
      </c>
      <c r="BG45" s="24">
        <v>42.21</v>
      </c>
      <c r="BH45" s="24">
        <v>41.16</v>
      </c>
      <c r="BI45" s="24">
        <v>40.1</v>
      </c>
    </row>
    <row r="46" spans="1:61" x14ac:dyDescent="0.45">
      <c r="A46" s="43">
        <v>83.08</v>
      </c>
      <c r="B46" s="43">
        <v>84.61</v>
      </c>
      <c r="C46" s="43">
        <v>86.14</v>
      </c>
      <c r="D46" s="43">
        <v>87.67</v>
      </c>
      <c r="E46" s="43">
        <v>89.2</v>
      </c>
      <c r="F46" s="43">
        <v>90.73</v>
      </c>
      <c r="G46" s="43">
        <v>92.26</v>
      </c>
      <c r="H46" s="43">
        <v>93.79</v>
      </c>
      <c r="I46" s="44">
        <v>95.31</v>
      </c>
      <c r="J46" s="53">
        <v>96.84</v>
      </c>
      <c r="K46" s="53">
        <v>98.37</v>
      </c>
      <c r="L46" s="44">
        <v>99.9</v>
      </c>
      <c r="M46" s="44">
        <v>101.43</v>
      </c>
      <c r="N46" s="44">
        <v>102.96</v>
      </c>
      <c r="O46" s="59">
        <v>104.49</v>
      </c>
      <c r="P46" s="65">
        <v>106.02</v>
      </c>
      <c r="Q46" s="65">
        <v>107.54</v>
      </c>
      <c r="R46" s="65">
        <v>109.07</v>
      </c>
      <c r="S46" s="65">
        <v>110.6</v>
      </c>
      <c r="T46" s="65">
        <v>112.13</v>
      </c>
      <c r="U46" s="65">
        <v>113.66</v>
      </c>
      <c r="V46" s="24">
        <v>93.52</v>
      </c>
      <c r="W46" s="24">
        <v>95.05</v>
      </c>
      <c r="X46" s="24">
        <v>96.58</v>
      </c>
      <c r="Y46" s="24">
        <v>98.11</v>
      </c>
      <c r="Z46" s="24">
        <v>70.59</v>
      </c>
      <c r="AA46" s="24">
        <v>69.06</v>
      </c>
      <c r="AB46" s="24">
        <v>67.53</v>
      </c>
      <c r="AC46" s="24">
        <v>66</v>
      </c>
      <c r="AD46" s="24">
        <v>64.47</v>
      </c>
      <c r="AE46" s="5">
        <v>42</v>
      </c>
      <c r="AF46" s="43">
        <v>49.75</v>
      </c>
      <c r="AG46" s="43">
        <v>50.83</v>
      </c>
      <c r="AH46" s="43">
        <v>51.91</v>
      </c>
      <c r="AI46" s="43">
        <v>52.99</v>
      </c>
      <c r="AJ46" s="43">
        <v>54.07</v>
      </c>
      <c r="AK46" s="43">
        <v>55.15</v>
      </c>
      <c r="AL46" s="43">
        <v>56.23</v>
      </c>
      <c r="AM46" s="43">
        <v>57.31</v>
      </c>
      <c r="AN46" s="44">
        <v>58.39</v>
      </c>
      <c r="AO46" s="53">
        <v>59.47</v>
      </c>
      <c r="AP46" s="53">
        <v>60.55</v>
      </c>
      <c r="AQ46" s="44">
        <v>61.63</v>
      </c>
      <c r="AR46" s="44">
        <v>62.71</v>
      </c>
      <c r="AS46" s="72">
        <v>63.78</v>
      </c>
      <c r="AT46" s="59">
        <v>64.86</v>
      </c>
      <c r="AU46" s="65">
        <v>65.94</v>
      </c>
      <c r="AV46" s="65">
        <v>67.02</v>
      </c>
      <c r="AW46" s="65">
        <v>68.099999999999994</v>
      </c>
      <c r="AX46" s="65">
        <v>69.180000000000007</v>
      </c>
      <c r="AY46" s="65">
        <v>70.260000000000005</v>
      </c>
      <c r="AZ46" s="65">
        <v>71.34</v>
      </c>
      <c r="BA46" s="24">
        <v>61.58</v>
      </c>
      <c r="BB46" s="24">
        <v>62.66</v>
      </c>
      <c r="BC46" s="24">
        <v>63.74</v>
      </c>
      <c r="BD46" s="24">
        <v>64.819999999999993</v>
      </c>
      <c r="BE46" s="24">
        <v>45.39</v>
      </c>
      <c r="BF46" s="24">
        <v>44.31</v>
      </c>
      <c r="BG46" s="24">
        <v>43.23</v>
      </c>
      <c r="BH46" s="24">
        <v>42.15</v>
      </c>
      <c r="BI46" s="24">
        <v>41.07</v>
      </c>
    </row>
    <row r="47" spans="1:61" x14ac:dyDescent="0.45">
      <c r="A47" s="43">
        <v>85.02</v>
      </c>
      <c r="B47" s="43">
        <v>86.59</v>
      </c>
      <c r="C47" s="43">
        <v>88.15</v>
      </c>
      <c r="D47" s="43">
        <v>89.72</v>
      </c>
      <c r="E47" s="43">
        <v>91.28</v>
      </c>
      <c r="F47" s="43">
        <v>92.85</v>
      </c>
      <c r="G47" s="43">
        <v>94.41</v>
      </c>
      <c r="H47" s="43">
        <v>95.98</v>
      </c>
      <c r="I47" s="44">
        <v>97.54</v>
      </c>
      <c r="J47" s="53">
        <v>99.11</v>
      </c>
      <c r="K47" s="53">
        <v>100.67</v>
      </c>
      <c r="L47" s="44">
        <v>102.24</v>
      </c>
      <c r="M47" s="44">
        <v>103.8</v>
      </c>
      <c r="N47" s="44">
        <v>105.37</v>
      </c>
      <c r="O47" s="59">
        <v>106.93</v>
      </c>
      <c r="P47" s="65">
        <v>108.5</v>
      </c>
      <c r="Q47" s="65">
        <v>110.06</v>
      </c>
      <c r="R47" s="65">
        <v>111.63</v>
      </c>
      <c r="S47" s="65">
        <v>113.19</v>
      </c>
      <c r="T47" s="65">
        <v>114.76</v>
      </c>
      <c r="U47" s="65">
        <v>116.32</v>
      </c>
      <c r="V47" s="24">
        <v>95.72</v>
      </c>
      <c r="W47" s="24">
        <v>97.29</v>
      </c>
      <c r="X47" s="24">
        <v>98.85</v>
      </c>
      <c r="Y47" s="24">
        <v>100.42</v>
      </c>
      <c r="Z47" s="24">
        <v>72.25</v>
      </c>
      <c r="AA47" s="24">
        <v>70.680000000000007</v>
      </c>
      <c r="AB47" s="24">
        <v>69.12</v>
      </c>
      <c r="AC47" s="24">
        <v>67.55</v>
      </c>
      <c r="AD47" s="24">
        <v>65.989999999999995</v>
      </c>
      <c r="AE47" s="5">
        <v>43</v>
      </c>
      <c r="AF47" s="43">
        <v>50.71</v>
      </c>
      <c r="AG47" s="43">
        <v>52.02</v>
      </c>
      <c r="AH47" s="43">
        <v>53.12</v>
      </c>
      <c r="AI47" s="43">
        <v>54.23</v>
      </c>
      <c r="AJ47" s="43">
        <v>55.33</v>
      </c>
      <c r="AK47" s="43">
        <v>56.44</v>
      </c>
      <c r="AL47" s="43">
        <v>57.54</v>
      </c>
      <c r="AM47" s="43">
        <v>58.65</v>
      </c>
      <c r="AN47" s="44">
        <v>59.75</v>
      </c>
      <c r="AO47" s="53">
        <v>60.86</v>
      </c>
      <c r="AP47" s="53">
        <v>61.96</v>
      </c>
      <c r="AQ47" s="44">
        <v>63.07</v>
      </c>
      <c r="AR47" s="44">
        <v>64.17</v>
      </c>
      <c r="AS47" s="72">
        <v>65.28</v>
      </c>
      <c r="AT47" s="59">
        <v>66.38</v>
      </c>
      <c r="AU47" s="65" t="s">
        <v>309</v>
      </c>
      <c r="AV47" s="65">
        <v>68.59</v>
      </c>
      <c r="AW47" s="65">
        <v>69.7</v>
      </c>
      <c r="AX47" s="65">
        <v>70.81</v>
      </c>
      <c r="AY47" s="65">
        <v>71.91</v>
      </c>
      <c r="AZ47" s="65">
        <v>73.02</v>
      </c>
      <c r="BA47" s="24">
        <v>63.03</v>
      </c>
      <c r="BB47" s="24">
        <v>64.14</v>
      </c>
      <c r="BC47" s="24">
        <v>65.239999999999995</v>
      </c>
      <c r="BD47" s="24">
        <v>66.349999999999994</v>
      </c>
      <c r="BE47" s="24">
        <v>46.46</v>
      </c>
      <c r="BF47" s="24">
        <v>45.35</v>
      </c>
      <c r="BG47" s="24">
        <v>44.25</v>
      </c>
      <c r="BH47" s="24">
        <v>43.14</v>
      </c>
      <c r="BI47" s="24">
        <v>42.04</v>
      </c>
    </row>
    <row r="48" spans="1:61" x14ac:dyDescent="0.45">
      <c r="A48" s="43">
        <v>86.98</v>
      </c>
      <c r="B48" s="43">
        <v>88.58</v>
      </c>
      <c r="C48" s="43">
        <v>90.18</v>
      </c>
      <c r="D48" s="43">
        <v>91.78</v>
      </c>
      <c r="E48" s="43">
        <v>93.38</v>
      </c>
      <c r="F48" s="43">
        <v>94.98</v>
      </c>
      <c r="G48" s="43">
        <v>96.59</v>
      </c>
      <c r="H48" s="43">
        <v>98.19</v>
      </c>
      <c r="I48" s="44">
        <v>99.79</v>
      </c>
      <c r="J48" s="53">
        <v>101.39</v>
      </c>
      <c r="K48" s="53">
        <v>102.99</v>
      </c>
      <c r="L48" s="44">
        <v>104.59</v>
      </c>
      <c r="M48" s="44">
        <v>106.2</v>
      </c>
      <c r="N48" s="44">
        <v>107.8</v>
      </c>
      <c r="O48" s="59">
        <v>109.4</v>
      </c>
      <c r="P48" s="65">
        <v>111</v>
      </c>
      <c r="Q48" s="65">
        <v>112.6</v>
      </c>
      <c r="R48" s="65">
        <v>114.2</v>
      </c>
      <c r="S48" s="65">
        <v>115.81</v>
      </c>
      <c r="T48" s="65">
        <v>117.41</v>
      </c>
      <c r="U48" s="65">
        <v>119.01</v>
      </c>
      <c r="V48" s="24">
        <v>97.94</v>
      </c>
      <c r="W48" s="24">
        <v>99.54</v>
      </c>
      <c r="X48" s="24">
        <v>101.14</v>
      </c>
      <c r="Y48" s="24">
        <v>102.74</v>
      </c>
      <c r="Z48" s="24">
        <v>73.91</v>
      </c>
      <c r="AA48" s="24">
        <v>72.31</v>
      </c>
      <c r="AB48" s="24">
        <v>70.709999999999994</v>
      </c>
      <c r="AC48" s="24">
        <v>69.11</v>
      </c>
      <c r="AD48" s="24">
        <v>67.510000000000005</v>
      </c>
      <c r="AE48" s="5">
        <v>44</v>
      </c>
      <c r="AF48" s="43">
        <v>52.09</v>
      </c>
      <c r="AG48" s="43">
        <v>53.22</v>
      </c>
      <c r="AH48" s="43">
        <v>54.35</v>
      </c>
      <c r="AI48" s="43">
        <v>55.48</v>
      </c>
      <c r="AJ48" s="43">
        <v>56.61</v>
      </c>
      <c r="AK48" s="43">
        <v>57.74</v>
      </c>
      <c r="AL48" s="43">
        <v>58.87</v>
      </c>
      <c r="AM48" s="43">
        <v>60</v>
      </c>
      <c r="AN48" s="44">
        <v>61.13</v>
      </c>
      <c r="AO48" s="53">
        <v>62.27</v>
      </c>
      <c r="AP48" s="53">
        <v>63.4</v>
      </c>
      <c r="AQ48" s="44">
        <v>64.53</v>
      </c>
      <c r="AR48" s="44">
        <v>65.66</v>
      </c>
      <c r="AS48" s="72">
        <v>66.790000000000006</v>
      </c>
      <c r="AT48" s="59">
        <v>67.92</v>
      </c>
      <c r="AU48" s="65">
        <v>69.05</v>
      </c>
      <c r="AV48" s="65">
        <v>70.180000000000007</v>
      </c>
      <c r="AW48" s="65">
        <v>71.31</v>
      </c>
      <c r="AX48" s="65">
        <v>72.44</v>
      </c>
      <c r="AY48" s="65">
        <v>73.569999999999993</v>
      </c>
      <c r="AZ48" s="65">
        <v>74.7</v>
      </c>
      <c r="BA48" s="24">
        <v>64.489999999999995</v>
      </c>
      <c r="BB48" s="24">
        <v>65.63</v>
      </c>
      <c r="BC48" s="24">
        <v>66.760000000000005</v>
      </c>
      <c r="BD48" s="24">
        <v>67.89</v>
      </c>
      <c r="BE48" s="24">
        <v>47.53</v>
      </c>
      <c r="BF48" s="24">
        <v>46.4</v>
      </c>
      <c r="BG48" s="24">
        <v>45.27</v>
      </c>
      <c r="BH48" s="24">
        <v>44.14</v>
      </c>
      <c r="BI48" s="24">
        <v>43.01</v>
      </c>
    </row>
    <row r="49" spans="1:61" x14ac:dyDescent="0.45">
      <c r="A49" s="43">
        <v>88.92</v>
      </c>
      <c r="B49" s="43">
        <v>90.55</v>
      </c>
      <c r="C49" s="43">
        <v>92.19</v>
      </c>
      <c r="D49" s="43">
        <v>93.83</v>
      </c>
      <c r="E49" s="43">
        <v>95.47</v>
      </c>
      <c r="F49" s="43">
        <v>97.11</v>
      </c>
      <c r="G49" s="43">
        <v>98.74</v>
      </c>
      <c r="H49" s="43">
        <v>100.38</v>
      </c>
      <c r="I49" s="44">
        <v>102.02</v>
      </c>
      <c r="J49" s="53">
        <v>103.66</v>
      </c>
      <c r="K49" s="53">
        <v>105.3</v>
      </c>
      <c r="L49" s="44">
        <v>106.93</v>
      </c>
      <c r="M49" s="44">
        <v>108.57</v>
      </c>
      <c r="N49" s="44">
        <v>110.21</v>
      </c>
      <c r="O49" s="59">
        <v>111.85</v>
      </c>
      <c r="P49" s="65">
        <v>113.49</v>
      </c>
      <c r="Q49" s="65">
        <v>115.12</v>
      </c>
      <c r="R49" s="65">
        <v>116.76</v>
      </c>
      <c r="S49" s="65">
        <v>118.4</v>
      </c>
      <c r="T49" s="65">
        <v>120.04</v>
      </c>
      <c r="U49" s="65">
        <v>121.68</v>
      </c>
      <c r="V49" s="24">
        <v>100.14</v>
      </c>
      <c r="W49" s="24">
        <v>101.78</v>
      </c>
      <c r="X49" s="24">
        <v>103.42</v>
      </c>
      <c r="Y49" s="24">
        <v>105.06</v>
      </c>
      <c r="Z49" s="24">
        <v>75.569999999999993</v>
      </c>
      <c r="AA49" s="24">
        <v>73.930000000000007</v>
      </c>
      <c r="AB49" s="24">
        <v>72.3</v>
      </c>
      <c r="AC49" s="24">
        <v>70.66</v>
      </c>
      <c r="AD49" s="24">
        <v>69.02</v>
      </c>
      <c r="AE49" s="5">
        <v>45</v>
      </c>
      <c r="AF49" s="43">
        <v>53.26</v>
      </c>
      <c r="AG49" s="43">
        <v>54.41</v>
      </c>
      <c r="AH49" s="43">
        <v>55.57</v>
      </c>
      <c r="AI49" s="43">
        <v>45.73</v>
      </c>
      <c r="AJ49" s="43">
        <v>57.88</v>
      </c>
      <c r="AK49" s="43">
        <v>59.04</v>
      </c>
      <c r="AL49" s="43">
        <v>60.2</v>
      </c>
      <c r="AM49" s="43">
        <v>61.35</v>
      </c>
      <c r="AN49" s="44">
        <v>62.51</v>
      </c>
      <c r="AO49" s="53">
        <v>63.67</v>
      </c>
      <c r="AP49" s="53">
        <v>64.819999999999993</v>
      </c>
      <c r="AQ49" s="44">
        <v>65.98</v>
      </c>
      <c r="AR49" s="44">
        <v>67.14</v>
      </c>
      <c r="AS49" s="72">
        <v>68.290000000000006</v>
      </c>
      <c r="AT49" s="59">
        <v>69.45</v>
      </c>
      <c r="AU49" s="65">
        <v>70.61</v>
      </c>
      <c r="AV49" s="65">
        <v>71.760000000000005</v>
      </c>
      <c r="AW49" s="65">
        <v>72.92</v>
      </c>
      <c r="AX49" s="65">
        <v>74.08</v>
      </c>
      <c r="AY49" s="65">
        <v>75.23</v>
      </c>
      <c r="AZ49" s="65">
        <v>76.39</v>
      </c>
      <c r="BA49" s="24">
        <v>65.95</v>
      </c>
      <c r="BB49" s="24">
        <v>67.11</v>
      </c>
      <c r="BC49" s="24">
        <v>68.260000000000005</v>
      </c>
      <c r="BD49" s="24">
        <v>69.42</v>
      </c>
      <c r="BE49" s="24">
        <v>48.6</v>
      </c>
      <c r="BF49" s="24">
        <v>47.45</v>
      </c>
      <c r="BG49" s="24">
        <v>46.29</v>
      </c>
      <c r="BH49" s="24">
        <v>45.13</v>
      </c>
      <c r="BI49" s="24">
        <v>43.98</v>
      </c>
    </row>
    <row r="50" spans="1:61" x14ac:dyDescent="0.45">
      <c r="A50" s="43">
        <v>90.87</v>
      </c>
      <c r="B50" s="43">
        <v>92.55</v>
      </c>
      <c r="C50" s="43">
        <v>94.22</v>
      </c>
      <c r="D50" s="43">
        <v>95.9</v>
      </c>
      <c r="E50" s="43">
        <v>97.57</v>
      </c>
      <c r="F50" s="43">
        <v>99.24</v>
      </c>
      <c r="G50" s="43">
        <v>100.92</v>
      </c>
      <c r="H50" s="43">
        <v>102.59</v>
      </c>
      <c r="I50" s="44">
        <v>104.27</v>
      </c>
      <c r="J50" s="53">
        <v>105.94</v>
      </c>
      <c r="K50" s="53">
        <v>107.62</v>
      </c>
      <c r="L50" s="44">
        <v>109.29</v>
      </c>
      <c r="M50" s="44">
        <v>110.97</v>
      </c>
      <c r="N50" s="44">
        <v>112.64</v>
      </c>
      <c r="O50" s="59">
        <v>114.31</v>
      </c>
      <c r="P50" s="65">
        <v>115.99</v>
      </c>
      <c r="Q50" s="65">
        <v>117.66</v>
      </c>
      <c r="R50" s="65">
        <v>119.34</v>
      </c>
      <c r="S50" s="65">
        <v>121.01</v>
      </c>
      <c r="T50" s="65">
        <v>122.69</v>
      </c>
      <c r="U50" s="65">
        <v>124.36</v>
      </c>
      <c r="V50" s="24">
        <v>102.36</v>
      </c>
      <c r="W50" s="24">
        <v>104.03</v>
      </c>
      <c r="X50" s="24">
        <v>105.71</v>
      </c>
      <c r="Y50" s="24">
        <v>107.38</v>
      </c>
      <c r="Z50" s="24">
        <v>77.239999999999995</v>
      </c>
      <c r="AA50" s="24">
        <v>75.569999999999993</v>
      </c>
      <c r="AB50" s="24">
        <v>73.89</v>
      </c>
      <c r="AC50" s="24">
        <v>72.22</v>
      </c>
      <c r="AD50" s="24">
        <v>70.540000000000006</v>
      </c>
      <c r="AE50" s="5">
        <v>46</v>
      </c>
      <c r="AF50" s="43">
        <v>54.43</v>
      </c>
      <c r="AG50" s="43">
        <v>55.61</v>
      </c>
      <c r="AH50" s="43">
        <v>56.8</v>
      </c>
      <c r="AI50" s="43">
        <v>57.98</v>
      </c>
      <c r="AJ50" s="43">
        <v>59.16</v>
      </c>
      <c r="AK50" s="43">
        <v>60.34</v>
      </c>
      <c r="AL50" s="43">
        <v>61.53</v>
      </c>
      <c r="AM50" s="43">
        <v>62.71</v>
      </c>
      <c r="AN50" s="44">
        <v>63.89</v>
      </c>
      <c r="AO50" s="53">
        <v>65.069999999999993</v>
      </c>
      <c r="AP50" s="53">
        <v>66.25</v>
      </c>
      <c r="AQ50" s="44">
        <v>67.44</v>
      </c>
      <c r="AR50" s="44">
        <v>68.62</v>
      </c>
      <c r="AS50" s="72">
        <v>69.8</v>
      </c>
      <c r="AT50" s="59">
        <v>70.98</v>
      </c>
      <c r="AU50" s="65">
        <v>72.17</v>
      </c>
      <c r="AV50" s="65">
        <v>73.349999999999994</v>
      </c>
      <c r="AW50" s="65">
        <v>74.53</v>
      </c>
      <c r="AX50" s="65">
        <v>75.709999999999994</v>
      </c>
      <c r="AY50" s="65">
        <v>76.89</v>
      </c>
      <c r="AZ50" s="65">
        <v>78.08</v>
      </c>
      <c r="BA50" s="24">
        <v>67.41</v>
      </c>
      <c r="BB50" s="24">
        <v>68.59</v>
      </c>
      <c r="BC50" s="24">
        <v>69.78</v>
      </c>
      <c r="BD50" s="24">
        <v>70.959999999999994</v>
      </c>
      <c r="BE50" s="24">
        <v>49.68</v>
      </c>
      <c r="BF50" s="24">
        <v>48.5</v>
      </c>
      <c r="BG50" s="24">
        <v>47.31</v>
      </c>
      <c r="BH50" s="24">
        <v>46.13</v>
      </c>
      <c r="BI50" s="24">
        <v>44.95</v>
      </c>
    </row>
    <row r="51" spans="1:61" x14ac:dyDescent="0.45">
      <c r="A51" s="43">
        <v>92.81</v>
      </c>
      <c r="B51" s="43">
        <v>94.52</v>
      </c>
      <c r="C51" s="43">
        <v>96.23</v>
      </c>
      <c r="D51" s="43">
        <v>97.94</v>
      </c>
      <c r="E51" s="43">
        <v>99.65</v>
      </c>
      <c r="F51" s="43">
        <v>101.36</v>
      </c>
      <c r="G51" s="43">
        <v>103.07</v>
      </c>
      <c r="H51" s="43">
        <v>104.79</v>
      </c>
      <c r="I51" s="44">
        <v>106.5</v>
      </c>
      <c r="J51" s="53">
        <v>108.21</v>
      </c>
      <c r="K51" s="53">
        <v>109.92</v>
      </c>
      <c r="L51" s="44">
        <v>111.63</v>
      </c>
      <c r="M51" s="44">
        <v>113.34</v>
      </c>
      <c r="N51" s="44">
        <v>115.05</v>
      </c>
      <c r="O51" s="59">
        <v>116.76</v>
      </c>
      <c r="P51" s="65">
        <v>118.47</v>
      </c>
      <c r="Q51" s="65">
        <v>120.18</v>
      </c>
      <c r="R51" s="65">
        <v>121.89</v>
      </c>
      <c r="S51" s="65">
        <v>123.6</v>
      </c>
      <c r="T51" s="65">
        <v>125.32</v>
      </c>
      <c r="U51" s="65">
        <v>127.03</v>
      </c>
      <c r="V51" s="24">
        <v>104.56</v>
      </c>
      <c r="W51" s="24">
        <v>106.27</v>
      </c>
      <c r="X51" s="24">
        <v>107.98</v>
      </c>
      <c r="Y51" s="24">
        <v>109.69</v>
      </c>
      <c r="Z51" s="24">
        <v>78.900000000000006</v>
      </c>
      <c r="AA51" s="24">
        <v>77.19</v>
      </c>
      <c r="AB51" s="24">
        <v>75.48</v>
      </c>
      <c r="AC51" s="24">
        <v>73.760000000000005</v>
      </c>
      <c r="AD51" s="24">
        <v>72.05</v>
      </c>
      <c r="AE51" s="5">
        <v>47</v>
      </c>
      <c r="AF51" s="43">
        <v>55.6</v>
      </c>
      <c r="AG51" s="43">
        <v>56.81</v>
      </c>
      <c r="AH51" s="43">
        <v>58.02</v>
      </c>
      <c r="AI51" s="43">
        <v>9.2200000000000006</v>
      </c>
      <c r="AJ51" s="43">
        <v>60.43</v>
      </c>
      <c r="AK51" s="43">
        <v>61.64</v>
      </c>
      <c r="AL51" s="43">
        <v>62.85</v>
      </c>
      <c r="AM51" s="43">
        <v>64.06</v>
      </c>
      <c r="AN51" s="44">
        <v>65.260000000000005</v>
      </c>
      <c r="AO51" s="53">
        <v>66.47</v>
      </c>
      <c r="AP51" s="53">
        <v>67.680000000000007</v>
      </c>
      <c r="AQ51" s="44">
        <v>68.89</v>
      </c>
      <c r="AR51" s="44">
        <v>70.099999999999994</v>
      </c>
      <c r="AS51" s="72">
        <v>71.3</v>
      </c>
      <c r="AT51" s="59">
        <v>72.510000000000005</v>
      </c>
      <c r="AU51" s="65">
        <v>73.72</v>
      </c>
      <c r="AV51" s="65">
        <v>74.930000000000007</v>
      </c>
      <c r="AW51" s="65">
        <v>76.13</v>
      </c>
      <c r="AX51" s="65">
        <v>77.34</v>
      </c>
      <c r="AY51" s="65">
        <v>78.55</v>
      </c>
      <c r="AZ51" s="65">
        <v>79.760000000000005</v>
      </c>
      <c r="BA51" s="24">
        <v>68.87</v>
      </c>
      <c r="BB51" s="24">
        <v>70.08</v>
      </c>
      <c r="BC51" s="24">
        <v>71.28</v>
      </c>
      <c r="BD51" s="24">
        <v>72.489999999999995</v>
      </c>
      <c r="BE51" s="24">
        <v>50.75</v>
      </c>
      <c r="BF51" s="24">
        <v>49.54</v>
      </c>
      <c r="BG51" s="24">
        <v>48.33</v>
      </c>
      <c r="BH51" s="24">
        <v>47.13</v>
      </c>
      <c r="BI51" s="24">
        <v>45.92</v>
      </c>
    </row>
    <row r="52" spans="1:61" x14ac:dyDescent="0.45">
      <c r="A52" s="43">
        <v>94.76</v>
      </c>
      <c r="B52" s="43">
        <v>96.51</v>
      </c>
      <c r="C52" s="43">
        <v>98.26</v>
      </c>
      <c r="D52" s="43">
        <v>100.01</v>
      </c>
      <c r="E52" s="43">
        <v>101.75</v>
      </c>
      <c r="F52" s="43">
        <v>103.5</v>
      </c>
      <c r="G52" s="43">
        <v>105.25</v>
      </c>
      <c r="H52" s="43">
        <v>107</v>
      </c>
      <c r="I52" s="44">
        <v>108.74</v>
      </c>
      <c r="J52" s="53">
        <v>110.49</v>
      </c>
      <c r="K52" s="53">
        <v>112.24</v>
      </c>
      <c r="L52" s="44">
        <v>113.98</v>
      </c>
      <c r="M52" s="44">
        <v>115.73</v>
      </c>
      <c r="N52" s="44">
        <v>117.48</v>
      </c>
      <c r="O52" s="59">
        <v>119.23</v>
      </c>
      <c r="P52" s="65">
        <v>120.97</v>
      </c>
      <c r="Q52" s="65">
        <v>122.72</v>
      </c>
      <c r="R52" s="65">
        <v>124.47</v>
      </c>
      <c r="S52" s="65">
        <v>126.21</v>
      </c>
      <c r="T52" s="65">
        <v>127.96</v>
      </c>
      <c r="U52" s="65">
        <v>129.71</v>
      </c>
      <c r="V52" s="24">
        <v>106.77</v>
      </c>
      <c r="W52" s="24">
        <v>108.52</v>
      </c>
      <c r="X52" s="24">
        <v>110.27</v>
      </c>
      <c r="Y52" s="24">
        <v>112.01</v>
      </c>
      <c r="Z52" s="24">
        <v>80.56</v>
      </c>
      <c r="AA52" s="24">
        <v>78.819999999999993</v>
      </c>
      <c r="AB52" s="24">
        <v>77.069999999999993</v>
      </c>
      <c r="AC52" s="24">
        <v>75.319999999999993</v>
      </c>
      <c r="AD52" s="24">
        <v>73.58</v>
      </c>
      <c r="AE52" s="5">
        <v>48</v>
      </c>
      <c r="AF52" s="43">
        <v>56.76</v>
      </c>
      <c r="AG52" s="43">
        <v>57.99</v>
      </c>
      <c r="AH52" s="43">
        <v>59.23</v>
      </c>
      <c r="AI52" s="43">
        <v>60.46</v>
      </c>
      <c r="AJ52" s="43">
        <v>61.7</v>
      </c>
      <c r="AK52" s="43">
        <v>62.93</v>
      </c>
      <c r="AL52" s="43">
        <v>64.16</v>
      </c>
      <c r="AM52" s="43">
        <v>65.400000000000006</v>
      </c>
      <c r="AN52" s="44">
        <v>66.63</v>
      </c>
      <c r="AO52" s="53">
        <v>67.86</v>
      </c>
      <c r="AP52" s="53">
        <v>69.099999999999994</v>
      </c>
      <c r="AQ52" s="44">
        <v>70.33</v>
      </c>
      <c r="AR52" s="44">
        <v>71.56</v>
      </c>
      <c r="AS52" s="72">
        <v>72.8</v>
      </c>
      <c r="AT52" s="59">
        <v>74.03</v>
      </c>
      <c r="AU52" s="65">
        <v>75.27</v>
      </c>
      <c r="AV52" s="65">
        <v>76.5</v>
      </c>
      <c r="AW52" s="65">
        <v>77.73</v>
      </c>
      <c r="AX52" s="65">
        <v>78.97</v>
      </c>
      <c r="AY52" s="65">
        <v>80.2</v>
      </c>
      <c r="AZ52" s="65">
        <v>81.430000000000007</v>
      </c>
      <c r="BA52" s="24">
        <v>70.319999999999993</v>
      </c>
      <c r="BB52" s="24">
        <v>71.55</v>
      </c>
      <c r="BC52" s="24">
        <v>72.790000000000006</v>
      </c>
      <c r="BD52" s="24">
        <v>74.02</v>
      </c>
      <c r="BE52" s="24">
        <v>51.81</v>
      </c>
      <c r="BF52" s="24">
        <v>50.58</v>
      </c>
      <c r="BG52" s="24">
        <v>49.35</v>
      </c>
      <c r="BH52" s="24">
        <v>48.11</v>
      </c>
      <c r="BI52" s="24">
        <v>46.88</v>
      </c>
    </row>
    <row r="53" spans="1:61" x14ac:dyDescent="0.45">
      <c r="A53" s="43">
        <v>96.7</v>
      </c>
      <c r="B53" s="43">
        <v>98.48</v>
      </c>
      <c r="C53" s="43">
        <v>100.26</v>
      </c>
      <c r="D53" s="43">
        <v>102.05</v>
      </c>
      <c r="E53" s="43">
        <v>103.83</v>
      </c>
      <c r="F53" s="43">
        <v>105.61</v>
      </c>
      <c r="G53" s="43">
        <v>107.4</v>
      </c>
      <c r="H53" s="43">
        <v>109.18</v>
      </c>
      <c r="I53" s="44">
        <v>110.96</v>
      </c>
      <c r="J53" s="53">
        <v>112.75</v>
      </c>
      <c r="K53" s="53">
        <v>114.53</v>
      </c>
      <c r="L53" s="44">
        <v>116.31</v>
      </c>
      <c r="M53" s="44">
        <v>118.1</v>
      </c>
      <c r="N53" s="44">
        <v>119.88</v>
      </c>
      <c r="O53" s="59">
        <v>121.67</v>
      </c>
      <c r="P53" s="65">
        <v>123.45</v>
      </c>
      <c r="Q53" s="65">
        <v>125.23</v>
      </c>
      <c r="R53" s="65">
        <v>127.02</v>
      </c>
      <c r="S53" s="65">
        <v>128.80000000000001</v>
      </c>
      <c r="T53" s="65">
        <v>130.58000000000001</v>
      </c>
      <c r="U53" s="65">
        <v>132.37</v>
      </c>
      <c r="V53" s="24">
        <v>108.97</v>
      </c>
      <c r="W53" s="24">
        <v>110.75</v>
      </c>
      <c r="X53" s="24">
        <v>112.54</v>
      </c>
      <c r="Y53" s="24">
        <v>114.32</v>
      </c>
      <c r="Z53" s="24">
        <v>82.22</v>
      </c>
      <c r="AA53" s="24">
        <v>80.430000000000007</v>
      </c>
      <c r="AB53" s="24">
        <v>78.650000000000006</v>
      </c>
      <c r="AC53" s="24">
        <v>76.87</v>
      </c>
      <c r="AD53" s="24">
        <v>75.08</v>
      </c>
      <c r="AE53" s="5">
        <v>49</v>
      </c>
      <c r="AF53" s="43">
        <v>57.94</v>
      </c>
      <c r="AG53" s="43">
        <v>59.2</v>
      </c>
      <c r="AH53" s="43">
        <v>60.46</v>
      </c>
      <c r="AI53" s="43">
        <v>61.72</v>
      </c>
      <c r="AJ53" s="43">
        <v>62.97</v>
      </c>
      <c r="AK53" s="43">
        <v>64.23</v>
      </c>
      <c r="AL53" s="43">
        <v>65.489999999999995</v>
      </c>
      <c r="AM53" s="43">
        <v>66.75</v>
      </c>
      <c r="AN53" s="44">
        <v>68.010000000000005</v>
      </c>
      <c r="AO53" s="53">
        <v>69.27</v>
      </c>
      <c r="AP53" s="53">
        <v>70.53</v>
      </c>
      <c r="AQ53" s="44">
        <v>71.790000000000006</v>
      </c>
      <c r="AR53" s="44">
        <v>73.5</v>
      </c>
      <c r="AS53" s="72">
        <v>74.31</v>
      </c>
      <c r="AT53" s="59">
        <v>75.569999999999993</v>
      </c>
      <c r="AU53" s="65">
        <v>76.83</v>
      </c>
      <c r="AV53" s="65">
        <v>78.09</v>
      </c>
      <c r="AW53" s="65">
        <v>79.349999999999994</v>
      </c>
      <c r="AX53" s="65">
        <v>80.599999999999994</v>
      </c>
      <c r="AY53" s="65">
        <v>81.86</v>
      </c>
      <c r="AZ53" s="65">
        <v>83.12</v>
      </c>
      <c r="BA53" s="24">
        <v>71.78</v>
      </c>
      <c r="BB53" s="24">
        <v>73.040000000000006</v>
      </c>
      <c r="BC53" s="24">
        <v>74.3</v>
      </c>
      <c r="BD53" s="24">
        <v>75.56</v>
      </c>
      <c r="BE53" s="24">
        <v>52.89</v>
      </c>
      <c r="BF53" s="24">
        <v>51.63</v>
      </c>
      <c r="BG53" s="24">
        <v>50.37</v>
      </c>
      <c r="BH53" s="24">
        <v>49.11</v>
      </c>
      <c r="BI53" s="24">
        <v>47.85</v>
      </c>
    </row>
    <row r="54" spans="1:61" x14ac:dyDescent="0.45">
      <c r="A54" s="43">
        <v>98.64</v>
      </c>
      <c r="B54" s="43">
        <v>100.46</v>
      </c>
      <c r="C54" s="43">
        <v>102.28</v>
      </c>
      <c r="D54" s="43">
        <v>104.1</v>
      </c>
      <c r="E54" s="43">
        <v>105.92</v>
      </c>
      <c r="F54" s="43">
        <v>107.74</v>
      </c>
      <c r="G54" s="43">
        <v>109.56</v>
      </c>
      <c r="H54" s="43">
        <v>111.38</v>
      </c>
      <c r="I54" s="44">
        <v>113.2</v>
      </c>
      <c r="J54" s="53">
        <v>115.02</v>
      </c>
      <c r="K54" s="53">
        <v>116.84</v>
      </c>
      <c r="L54" s="44">
        <v>118.66</v>
      </c>
      <c r="M54" s="44">
        <v>120.48</v>
      </c>
      <c r="N54" s="44">
        <v>122.3</v>
      </c>
      <c r="O54" s="59">
        <v>124.12</v>
      </c>
      <c r="P54" s="65">
        <v>125.94</v>
      </c>
      <c r="Q54" s="65">
        <v>127.76</v>
      </c>
      <c r="R54" s="65">
        <v>129.58000000000001</v>
      </c>
      <c r="S54" s="65">
        <v>131.4</v>
      </c>
      <c r="T54" s="65">
        <v>133.22</v>
      </c>
      <c r="U54" s="65">
        <v>135.04</v>
      </c>
      <c r="V54" s="24">
        <v>111.18</v>
      </c>
      <c r="W54" s="24">
        <v>113</v>
      </c>
      <c r="X54" s="24">
        <v>114.82</v>
      </c>
      <c r="Y54" s="24">
        <v>116.64</v>
      </c>
      <c r="Z54" s="24">
        <v>83.88</v>
      </c>
      <c r="AA54" s="24">
        <v>82.06</v>
      </c>
      <c r="AB54" s="24">
        <v>80.239999999999995</v>
      </c>
      <c r="AC54" s="24">
        <v>78.42</v>
      </c>
      <c r="AD54" s="24">
        <v>76.599999999999994</v>
      </c>
      <c r="AE54" s="5">
        <v>50</v>
      </c>
      <c r="AF54" s="43">
        <v>59.11</v>
      </c>
      <c r="AG54" s="43">
        <v>60.39</v>
      </c>
      <c r="AH54" s="43">
        <v>61.68</v>
      </c>
      <c r="AI54" s="43">
        <v>62.96</v>
      </c>
      <c r="AJ54" s="43">
        <v>64.25</v>
      </c>
      <c r="AK54" s="43">
        <v>65.53</v>
      </c>
      <c r="AL54" s="43">
        <v>66.819999999999993</v>
      </c>
      <c r="AM54" s="43">
        <v>68.099999999999994</v>
      </c>
      <c r="AN54" s="44">
        <v>69.39</v>
      </c>
      <c r="AO54" s="53">
        <v>70.67</v>
      </c>
      <c r="AP54" s="53">
        <v>71.959999999999994</v>
      </c>
      <c r="AQ54" s="44">
        <v>73.239999999999995</v>
      </c>
      <c r="AR54" s="44">
        <v>74.53</v>
      </c>
      <c r="AS54" s="72">
        <v>75.81</v>
      </c>
      <c r="AT54" s="59">
        <v>77.099999999999994</v>
      </c>
      <c r="AU54" s="65">
        <v>78.38</v>
      </c>
      <c r="AV54" s="65">
        <v>79.67</v>
      </c>
      <c r="AW54" s="65">
        <v>80.95</v>
      </c>
      <c r="AX54" s="65">
        <v>82.24</v>
      </c>
      <c r="AY54" s="65">
        <v>83.52</v>
      </c>
      <c r="AZ54" s="65">
        <v>84.81</v>
      </c>
      <c r="BA54" s="24">
        <v>73.239999999999995</v>
      </c>
      <c r="BB54" s="24">
        <v>74.52</v>
      </c>
      <c r="BC54" s="24">
        <v>75.81</v>
      </c>
      <c r="BD54" s="24">
        <v>77.09</v>
      </c>
      <c r="BE54" s="24">
        <v>53.96</v>
      </c>
      <c r="BF54" s="24">
        <v>52.68</v>
      </c>
      <c r="BG54" s="24">
        <v>51.39</v>
      </c>
      <c r="BH54" s="24">
        <v>50.11</v>
      </c>
      <c r="BI54" s="24">
        <v>48.82</v>
      </c>
    </row>
    <row r="55" spans="1:61" x14ac:dyDescent="0.45">
      <c r="A55" s="43">
        <v>100.61</v>
      </c>
      <c r="B55" s="43">
        <v>102.46</v>
      </c>
      <c r="C55" s="43">
        <v>104.32</v>
      </c>
      <c r="D55" s="43">
        <v>106.17</v>
      </c>
      <c r="E55" s="43">
        <v>108.03</v>
      </c>
      <c r="F55" s="43">
        <v>109.89</v>
      </c>
      <c r="G55" s="43">
        <v>111.74</v>
      </c>
      <c r="H55" s="43">
        <v>113.6</v>
      </c>
      <c r="I55" s="44">
        <v>115.46</v>
      </c>
      <c r="J55" s="53">
        <v>117.31</v>
      </c>
      <c r="K55" s="53">
        <v>119.17</v>
      </c>
      <c r="L55" s="44">
        <v>121.03</v>
      </c>
      <c r="M55" s="44">
        <v>122.88</v>
      </c>
      <c r="N55" s="44">
        <v>124.74</v>
      </c>
      <c r="O55" s="59">
        <v>126.59</v>
      </c>
      <c r="P55" s="65">
        <v>128.44999999999999</v>
      </c>
      <c r="Q55" s="65">
        <v>130.31</v>
      </c>
      <c r="R55" s="65">
        <v>132.16</v>
      </c>
      <c r="S55" s="65">
        <v>134.02000000000001</v>
      </c>
      <c r="T55" s="65">
        <v>135.88</v>
      </c>
      <c r="U55" s="65">
        <v>137.72999999999999</v>
      </c>
      <c r="V55" s="24">
        <v>113.4</v>
      </c>
      <c r="W55" s="24">
        <v>115.25</v>
      </c>
      <c r="X55" s="24">
        <v>117.11</v>
      </c>
      <c r="Y55" s="24">
        <v>118.97</v>
      </c>
      <c r="Z55" s="24">
        <v>85.55</v>
      </c>
      <c r="AA55" s="24">
        <v>83.7</v>
      </c>
      <c r="AB55" s="24">
        <v>81.84</v>
      </c>
      <c r="AC55" s="24">
        <v>79.98</v>
      </c>
      <c r="AD55" s="24">
        <v>78.13</v>
      </c>
      <c r="AE55" s="5">
        <v>51</v>
      </c>
      <c r="AF55" s="43">
        <v>60.28</v>
      </c>
      <c r="AG55" s="43">
        <v>61.59</v>
      </c>
      <c r="AH55" s="43">
        <v>62.9</v>
      </c>
      <c r="AI55" s="43">
        <v>64.209999999999994</v>
      </c>
      <c r="AJ55" s="43">
        <v>65.52</v>
      </c>
      <c r="AK55" s="43">
        <v>66.83</v>
      </c>
      <c r="AL55" s="43">
        <v>68.14</v>
      </c>
      <c r="AM55" s="43">
        <v>69.45</v>
      </c>
      <c r="AN55" s="44">
        <v>70.760000000000005</v>
      </c>
      <c r="AO55" s="53">
        <v>72.08</v>
      </c>
      <c r="AP55" s="53">
        <v>73.39</v>
      </c>
      <c r="AQ55" s="44">
        <v>74.7</v>
      </c>
      <c r="AR55" s="44">
        <v>76.010000000000005</v>
      </c>
      <c r="AS55" s="72">
        <v>77.319999999999993</v>
      </c>
      <c r="AT55" s="59">
        <v>78.63</v>
      </c>
      <c r="AU55" s="65">
        <v>79.94</v>
      </c>
      <c r="AV55" s="65">
        <v>81.25</v>
      </c>
      <c r="AW55" s="65">
        <v>82.56</v>
      </c>
      <c r="AX55" s="65">
        <v>83.87</v>
      </c>
      <c r="AY55" s="65">
        <v>85.18</v>
      </c>
      <c r="AZ55" s="65">
        <v>86.49</v>
      </c>
      <c r="BA55" s="24">
        <v>74.7</v>
      </c>
      <c r="BB55" s="24">
        <v>76.010000000000005</v>
      </c>
      <c r="BC55" s="24">
        <v>77.319999999999993</v>
      </c>
      <c r="BD55" s="24">
        <v>78.63</v>
      </c>
      <c r="BE55" s="24">
        <v>55.03</v>
      </c>
      <c r="BF55" s="24">
        <v>53.72</v>
      </c>
      <c r="BG55" s="24">
        <v>52.41</v>
      </c>
      <c r="BH55" s="24">
        <v>51.1</v>
      </c>
      <c r="BI55" s="24">
        <v>49.79</v>
      </c>
    </row>
    <row r="56" spans="1:61" x14ac:dyDescent="0.45">
      <c r="A56" s="43">
        <v>102.54</v>
      </c>
      <c r="B56" s="43">
        <v>104.43</v>
      </c>
      <c r="C56" s="43">
        <v>106.32</v>
      </c>
      <c r="D56" s="43">
        <v>108.22</v>
      </c>
      <c r="E56" s="43">
        <v>110.11</v>
      </c>
      <c r="F56" s="43">
        <v>112</v>
      </c>
      <c r="G56" s="43">
        <v>113.9</v>
      </c>
      <c r="H56" s="43">
        <v>115.79</v>
      </c>
      <c r="I56" s="44">
        <v>117.68</v>
      </c>
      <c r="J56" s="53">
        <v>119.57</v>
      </c>
      <c r="K56" s="53">
        <v>121.47</v>
      </c>
      <c r="L56" s="44">
        <v>123.36</v>
      </c>
      <c r="M56" s="44">
        <v>125.25</v>
      </c>
      <c r="N56" s="44">
        <v>127.15</v>
      </c>
      <c r="O56" s="59" t="s">
        <v>307</v>
      </c>
      <c r="P56" s="65">
        <v>130.93</v>
      </c>
      <c r="Q56" s="65">
        <v>132.82</v>
      </c>
      <c r="R56" s="65">
        <v>134.72</v>
      </c>
      <c r="S56" s="65">
        <v>136.61000000000001</v>
      </c>
      <c r="T56" s="65">
        <v>138.5</v>
      </c>
      <c r="U56" s="65">
        <v>140.38999999999999</v>
      </c>
      <c r="V56" s="24">
        <v>115.6</v>
      </c>
      <c r="W56" s="24">
        <v>117.49</v>
      </c>
      <c r="X56" s="24">
        <v>119.38</v>
      </c>
      <c r="Y56" s="24">
        <v>121.28</v>
      </c>
      <c r="Z56" s="24">
        <v>87.21</v>
      </c>
      <c r="AA56" s="24">
        <v>85.31</v>
      </c>
      <c r="AB56" s="24">
        <v>83.42</v>
      </c>
      <c r="AC56" s="24">
        <v>81.53</v>
      </c>
      <c r="AD56" s="24">
        <v>79.63</v>
      </c>
      <c r="AE56" s="5">
        <v>52</v>
      </c>
      <c r="AF56" s="43">
        <v>41.44</v>
      </c>
      <c r="AG56" s="43">
        <v>62.78</v>
      </c>
      <c r="AH56" s="43">
        <v>64.12</v>
      </c>
      <c r="AI56" s="43">
        <v>65.45</v>
      </c>
      <c r="AJ56" s="43">
        <v>66.790000000000006</v>
      </c>
      <c r="AK56" s="43">
        <v>68.12</v>
      </c>
      <c r="AL56" s="43">
        <v>69.459999999999994</v>
      </c>
      <c r="AM56" s="43">
        <v>70.8</v>
      </c>
      <c r="AN56" s="44">
        <v>72.13</v>
      </c>
      <c r="AO56" s="53">
        <v>73.47</v>
      </c>
      <c r="AP56" s="53">
        <v>74.81</v>
      </c>
      <c r="AQ56" s="44">
        <v>76.14</v>
      </c>
      <c r="AR56" s="44">
        <v>77.48</v>
      </c>
      <c r="AS56" s="72">
        <v>78.819999999999993</v>
      </c>
      <c r="AT56" s="59">
        <v>80.150000000000006</v>
      </c>
      <c r="AU56" s="65">
        <v>81.489999999999995</v>
      </c>
      <c r="AV56" s="65">
        <v>82.82</v>
      </c>
      <c r="AW56" s="65">
        <v>84.16</v>
      </c>
      <c r="AX56" s="65">
        <v>85.5</v>
      </c>
      <c r="AY56" s="65">
        <v>86.83</v>
      </c>
      <c r="AZ56" s="65">
        <v>88.17</v>
      </c>
      <c r="BA56" s="24">
        <v>76.150000000000006</v>
      </c>
      <c r="BB56" s="24">
        <v>77.48</v>
      </c>
      <c r="BC56" s="24">
        <v>78.819999999999993</v>
      </c>
      <c r="BD56" s="24">
        <v>80.16</v>
      </c>
      <c r="BE56" s="24">
        <v>56.1</v>
      </c>
      <c r="BF56" s="24">
        <v>54.77</v>
      </c>
      <c r="BG56" s="24">
        <v>53.43</v>
      </c>
      <c r="BH56" s="24">
        <v>52.09</v>
      </c>
      <c r="BI56" s="24">
        <v>50.76</v>
      </c>
    </row>
    <row r="57" spans="1:61" x14ac:dyDescent="0.45">
      <c r="A57" s="43">
        <v>104.49</v>
      </c>
      <c r="B57" s="43">
        <v>106.42</v>
      </c>
      <c r="C57" s="43">
        <v>108.35</v>
      </c>
      <c r="D57" s="43">
        <v>110.28</v>
      </c>
      <c r="E57" s="43">
        <v>112.21</v>
      </c>
      <c r="F57" s="43">
        <v>114.13</v>
      </c>
      <c r="G57" s="43">
        <v>116.06</v>
      </c>
      <c r="H57" s="43">
        <v>117.99</v>
      </c>
      <c r="I57" s="44">
        <v>119.92</v>
      </c>
      <c r="J57" s="53">
        <v>121.85</v>
      </c>
      <c r="K57" s="53">
        <v>123.78</v>
      </c>
      <c r="L57" s="44">
        <v>125.71</v>
      </c>
      <c r="M57" s="44">
        <v>127.64</v>
      </c>
      <c r="N57" s="44">
        <v>129.57</v>
      </c>
      <c r="O57" s="59">
        <v>131.5</v>
      </c>
      <c r="P57" s="65">
        <v>133.43</v>
      </c>
      <c r="Q57" s="65">
        <v>135.36000000000001</v>
      </c>
      <c r="R57" s="65">
        <v>137.28</v>
      </c>
      <c r="S57" s="65">
        <v>139.21</v>
      </c>
      <c r="T57" s="65">
        <v>141.13999999999999</v>
      </c>
      <c r="U57" s="65">
        <v>143.07</v>
      </c>
      <c r="V57" s="24">
        <v>117.81</v>
      </c>
      <c r="W57" s="24">
        <v>119.74</v>
      </c>
      <c r="X57" s="24">
        <v>121.67</v>
      </c>
      <c r="Y57" s="24">
        <v>123.6</v>
      </c>
      <c r="Z57" s="24">
        <v>88.87</v>
      </c>
      <c r="AA57" s="24">
        <v>86.94</v>
      </c>
      <c r="AB57" s="24">
        <v>85.01</v>
      </c>
      <c r="AC57" s="24">
        <v>83.08</v>
      </c>
      <c r="AD57" s="24">
        <v>81.150000000000006</v>
      </c>
      <c r="AE57" s="5">
        <v>53</v>
      </c>
      <c r="AF57" s="43">
        <v>62.61</v>
      </c>
      <c r="AG57" s="43">
        <v>63.97</v>
      </c>
      <c r="AH57" s="43">
        <v>65.33</v>
      </c>
      <c r="AI57" s="43">
        <v>66.7</v>
      </c>
      <c r="AJ57" s="43">
        <v>68.06</v>
      </c>
      <c r="AK57" s="43">
        <v>69.42</v>
      </c>
      <c r="AL57" s="43">
        <v>70.78</v>
      </c>
      <c r="AM57" s="43">
        <v>72.14</v>
      </c>
      <c r="AN57" s="44">
        <v>73.510000000000005</v>
      </c>
      <c r="AO57" s="53">
        <v>74.87</v>
      </c>
      <c r="AP57" s="53">
        <v>76.23</v>
      </c>
      <c r="AQ57" s="44">
        <v>77.59</v>
      </c>
      <c r="AR57" s="44">
        <v>78.95</v>
      </c>
      <c r="AS57" s="72">
        <v>80.319999999999993</v>
      </c>
      <c r="AT57" s="59">
        <v>81.680000000000007</v>
      </c>
      <c r="AU57" s="65">
        <v>83.04</v>
      </c>
      <c r="AV57" s="65">
        <v>84.4</v>
      </c>
      <c r="AW57" s="65">
        <v>85.77</v>
      </c>
      <c r="AX57" s="65">
        <v>87.13</v>
      </c>
      <c r="AY57" s="65">
        <v>88.49</v>
      </c>
      <c r="AZ57" s="65">
        <v>89.85</v>
      </c>
      <c r="BA57" s="24">
        <v>77.599999999999994</v>
      </c>
      <c r="BB57" s="24">
        <v>78.97</v>
      </c>
      <c r="BC57" s="24">
        <v>80.33</v>
      </c>
      <c r="BD57" s="24">
        <v>81.69</v>
      </c>
      <c r="BE57" s="24">
        <v>57.17</v>
      </c>
      <c r="BF57" s="24">
        <v>55.81</v>
      </c>
      <c r="BG57" s="24">
        <v>54.45</v>
      </c>
      <c r="BH57" s="24">
        <v>53.09</v>
      </c>
      <c r="BI57" s="24">
        <v>51.72</v>
      </c>
    </row>
    <row r="58" spans="1:61" x14ac:dyDescent="0.45">
      <c r="A58" s="43">
        <v>106.45</v>
      </c>
      <c r="B58" s="43">
        <v>108.42</v>
      </c>
      <c r="C58" s="43">
        <v>110.39</v>
      </c>
      <c r="D58" s="43">
        <v>112.35</v>
      </c>
      <c r="E58" s="43">
        <v>114.32</v>
      </c>
      <c r="F58" s="43">
        <v>116.28</v>
      </c>
      <c r="G58" s="43">
        <v>118.25</v>
      </c>
      <c r="H58" s="43">
        <v>120.21</v>
      </c>
      <c r="I58" s="44">
        <v>122.18</v>
      </c>
      <c r="J58" s="53">
        <v>124.14</v>
      </c>
      <c r="K58" s="53">
        <v>126.11</v>
      </c>
      <c r="L58" s="44">
        <v>128.08000000000001</v>
      </c>
      <c r="M58" s="44">
        <v>130.04</v>
      </c>
      <c r="N58" s="44">
        <v>132.01</v>
      </c>
      <c r="O58" s="59">
        <v>133.97</v>
      </c>
      <c r="P58" s="65">
        <v>135.94</v>
      </c>
      <c r="Q58" s="65">
        <v>137.9</v>
      </c>
      <c r="R58" s="65">
        <v>139.87</v>
      </c>
      <c r="S58" s="65">
        <v>141.83000000000001</v>
      </c>
      <c r="T58" s="65">
        <v>143.80000000000001</v>
      </c>
      <c r="U58" s="65">
        <v>145.77000000000001</v>
      </c>
      <c r="V58" s="24">
        <v>120.03</v>
      </c>
      <c r="W58" s="24">
        <v>121.99</v>
      </c>
      <c r="X58" s="24">
        <v>123.96</v>
      </c>
      <c r="Y58" s="24">
        <v>125.92</v>
      </c>
      <c r="Z58" s="24">
        <v>90.54</v>
      </c>
      <c r="AA58" s="24">
        <v>88.58</v>
      </c>
      <c r="AB58" s="24">
        <v>86.61</v>
      </c>
      <c r="AC58" s="24">
        <v>84.65</v>
      </c>
      <c r="AD58" s="24">
        <v>82.68</v>
      </c>
      <c r="AE58" s="5">
        <v>54</v>
      </c>
      <c r="AF58" s="43">
        <v>63.78</v>
      </c>
      <c r="AG58" s="43">
        <v>65.17</v>
      </c>
      <c r="AH58" s="43">
        <v>66.56</v>
      </c>
      <c r="AI58" s="43">
        <v>67.94</v>
      </c>
      <c r="AJ58" s="43">
        <v>69.33</v>
      </c>
      <c r="AK58" s="43">
        <v>70.72</v>
      </c>
      <c r="AL58" s="43">
        <v>72.11</v>
      </c>
      <c r="AM58" s="43">
        <v>73.5</v>
      </c>
      <c r="AN58" s="44">
        <v>74.88</v>
      </c>
      <c r="AO58" s="53">
        <v>76.27</v>
      </c>
      <c r="AP58" s="53">
        <v>77.66</v>
      </c>
      <c r="AQ58" s="44">
        <v>79.05</v>
      </c>
      <c r="AR58" s="44">
        <v>80.430000000000007</v>
      </c>
      <c r="AS58" s="72">
        <v>81.819999999999993</v>
      </c>
      <c r="AT58" s="59">
        <v>83.21</v>
      </c>
      <c r="AU58" s="65">
        <v>84.6</v>
      </c>
      <c r="AV58" s="65">
        <v>85.99</v>
      </c>
      <c r="AW58" s="65">
        <v>87.37</v>
      </c>
      <c r="AX58" s="65">
        <v>88.76</v>
      </c>
      <c r="AY58" s="65">
        <v>90.15</v>
      </c>
      <c r="AZ58" s="65">
        <v>91.54</v>
      </c>
      <c r="BA58" s="24">
        <v>79.06</v>
      </c>
      <c r="BB58" s="24">
        <v>80.45</v>
      </c>
      <c r="BC58" s="24">
        <v>81.84</v>
      </c>
      <c r="BD58" s="24">
        <v>83.22</v>
      </c>
      <c r="BE58" s="24">
        <v>58.24</v>
      </c>
      <c r="BF58" s="24">
        <v>56.86</v>
      </c>
      <c r="BG58" s="24">
        <v>55.47</v>
      </c>
      <c r="BH58" s="24">
        <v>54.08</v>
      </c>
      <c r="BI58" s="24">
        <v>52.69</v>
      </c>
    </row>
    <row r="59" spans="1:61" x14ac:dyDescent="0.45">
      <c r="A59" s="43">
        <v>108.38</v>
      </c>
      <c r="B59" s="43">
        <v>110.39</v>
      </c>
      <c r="C59" s="43">
        <v>112.39</v>
      </c>
      <c r="D59" s="43">
        <v>114.39</v>
      </c>
      <c r="E59" s="43">
        <v>116.39</v>
      </c>
      <c r="F59" s="43">
        <v>118.39</v>
      </c>
      <c r="G59" s="43">
        <v>120.4</v>
      </c>
      <c r="H59" s="43">
        <v>122.4</v>
      </c>
      <c r="I59" s="44">
        <v>124.4</v>
      </c>
      <c r="J59" s="53">
        <v>126.4</v>
      </c>
      <c r="K59" s="53">
        <v>128.4</v>
      </c>
      <c r="L59" s="44">
        <v>130.41</v>
      </c>
      <c r="M59" s="44">
        <v>132.41</v>
      </c>
      <c r="N59" s="44">
        <v>134.41</v>
      </c>
      <c r="O59" s="59">
        <v>136.41</v>
      </c>
      <c r="P59" s="65">
        <v>138.41</v>
      </c>
      <c r="Q59" s="65">
        <v>140.41999999999999</v>
      </c>
      <c r="R59" s="65">
        <v>142.41999999999999</v>
      </c>
      <c r="S59" s="65">
        <v>144.41999999999999</v>
      </c>
      <c r="T59" s="65">
        <v>146.41999999999999</v>
      </c>
      <c r="U59" s="65">
        <v>148.41999999999999</v>
      </c>
      <c r="V59" s="24">
        <v>122.23</v>
      </c>
      <c r="W59" s="24">
        <v>124.23</v>
      </c>
      <c r="X59" s="24">
        <v>126.23</v>
      </c>
      <c r="Y59" s="24">
        <v>128.22999999999999</v>
      </c>
      <c r="Z59" s="24">
        <v>92.2</v>
      </c>
      <c r="AA59" s="24">
        <v>90.19</v>
      </c>
      <c r="AB59" s="24">
        <v>88.19</v>
      </c>
      <c r="AC59" s="24">
        <v>86.19</v>
      </c>
      <c r="AD59" s="24">
        <v>84.19</v>
      </c>
      <c r="AE59" s="5">
        <v>55</v>
      </c>
      <c r="AF59" s="43">
        <v>64.959999999999994</v>
      </c>
      <c r="AG59" s="43">
        <v>66.37</v>
      </c>
      <c r="AH59" s="43">
        <v>67.78</v>
      </c>
      <c r="AI59" s="43">
        <v>69.2</v>
      </c>
      <c r="AJ59" s="43">
        <v>70.61</v>
      </c>
      <c r="AK59" s="43">
        <v>72.02</v>
      </c>
      <c r="AL59" s="43">
        <v>73.44</v>
      </c>
      <c r="AM59" s="43">
        <v>74.849999999999994</v>
      </c>
      <c r="AN59" s="44">
        <v>76.260000000000005</v>
      </c>
      <c r="AO59" s="53">
        <v>77.680000000000007</v>
      </c>
      <c r="AP59" s="53">
        <v>79.09</v>
      </c>
      <c r="AQ59" s="44">
        <v>80.5</v>
      </c>
      <c r="AR59" s="44">
        <v>81.92</v>
      </c>
      <c r="AS59" s="72">
        <v>83.33</v>
      </c>
      <c r="AT59" s="59">
        <v>84.74</v>
      </c>
      <c r="AU59" s="65">
        <v>86.16</v>
      </c>
      <c r="AV59" s="65">
        <v>87.57</v>
      </c>
      <c r="AW59" s="65">
        <v>88.99</v>
      </c>
      <c r="AX59" s="65">
        <v>90.4</v>
      </c>
      <c r="AY59" s="65">
        <v>91.81</v>
      </c>
      <c r="AZ59" s="65">
        <v>93.23</v>
      </c>
      <c r="BA59" s="24">
        <v>80.52</v>
      </c>
      <c r="BB59" s="24">
        <v>81.94</v>
      </c>
      <c r="BC59" s="24">
        <v>83.35</v>
      </c>
      <c r="BD59" s="24">
        <v>84.76</v>
      </c>
      <c r="BE59" s="24">
        <v>59.32</v>
      </c>
      <c r="BF59" s="24">
        <v>57.91</v>
      </c>
      <c r="BG59" s="24">
        <v>56.49</v>
      </c>
      <c r="BH59" s="24">
        <v>55.08</v>
      </c>
      <c r="BI59" s="24">
        <v>53.67</v>
      </c>
    </row>
    <row r="60" spans="1:61" x14ac:dyDescent="0.45">
      <c r="A60" s="43">
        <v>110.33</v>
      </c>
      <c r="B60" s="43">
        <v>112.37</v>
      </c>
      <c r="C60" s="43">
        <v>114.4</v>
      </c>
      <c r="D60" s="43">
        <v>116.44</v>
      </c>
      <c r="E60" s="43">
        <v>118.48</v>
      </c>
      <c r="F60" s="43">
        <v>120.52</v>
      </c>
      <c r="G60" s="43">
        <v>122.56</v>
      </c>
      <c r="H60" s="43">
        <v>124.6</v>
      </c>
      <c r="I60" s="44">
        <v>126.63</v>
      </c>
      <c r="J60" s="53">
        <v>128.66999999999999</v>
      </c>
      <c r="K60" s="53">
        <v>130.71</v>
      </c>
      <c r="L60" s="44">
        <v>132.75</v>
      </c>
      <c r="M60" s="44">
        <v>134.79</v>
      </c>
      <c r="N60" s="44">
        <v>136.83000000000001</v>
      </c>
      <c r="O60" s="59">
        <v>138.86000000000001</v>
      </c>
      <c r="P60" s="65">
        <v>140.9</v>
      </c>
      <c r="Q60" s="65">
        <v>142.94</v>
      </c>
      <c r="R60" s="65">
        <v>144.97999999999999</v>
      </c>
      <c r="S60" s="65">
        <v>147.02000000000001</v>
      </c>
      <c r="T60" s="65">
        <v>149.06</v>
      </c>
      <c r="U60" s="65">
        <v>151.1</v>
      </c>
      <c r="V60" s="24">
        <v>124.43</v>
      </c>
      <c r="W60" s="24">
        <v>126.47</v>
      </c>
      <c r="X60" s="24">
        <v>128.51</v>
      </c>
      <c r="Y60" s="24">
        <v>130.55000000000001</v>
      </c>
      <c r="Z60" s="24">
        <v>93.86</v>
      </c>
      <c r="AA60" s="24">
        <v>91.82</v>
      </c>
      <c r="AB60" s="24">
        <v>89.78</v>
      </c>
      <c r="AC60" s="24">
        <v>87.74</v>
      </c>
      <c r="AD60" s="24">
        <v>85.7</v>
      </c>
      <c r="AE60" s="5">
        <v>56</v>
      </c>
      <c r="AF60" s="43">
        <v>66.12</v>
      </c>
      <c r="AG60" s="43">
        <v>67.56</v>
      </c>
      <c r="AH60" s="43">
        <v>69</v>
      </c>
      <c r="AI60" s="43">
        <v>70.44</v>
      </c>
      <c r="AJ60" s="43">
        <v>72.88</v>
      </c>
      <c r="AK60" s="43">
        <v>73.319999999999993</v>
      </c>
      <c r="AL60" s="43">
        <v>74.75</v>
      </c>
      <c r="AM60" s="43">
        <v>76.19</v>
      </c>
      <c r="AN60" s="44">
        <v>77.63</v>
      </c>
      <c r="AO60" s="53">
        <v>79.069999999999993</v>
      </c>
      <c r="AP60" s="53">
        <v>80.510000000000005</v>
      </c>
      <c r="AQ60" s="44">
        <v>81.95</v>
      </c>
      <c r="AR60" s="44">
        <v>83.39</v>
      </c>
      <c r="AS60" s="72">
        <v>84.83</v>
      </c>
      <c r="AT60" s="59">
        <v>86.27</v>
      </c>
      <c r="AU60" s="65">
        <v>87.71</v>
      </c>
      <c r="AV60" s="65">
        <v>89.15</v>
      </c>
      <c r="AW60" s="65">
        <v>90.59</v>
      </c>
      <c r="AX60" s="65">
        <v>92.03</v>
      </c>
      <c r="AY60" s="65">
        <v>93.46</v>
      </c>
      <c r="AZ60" s="65">
        <v>94.9</v>
      </c>
      <c r="BA60" s="24">
        <v>81.98</v>
      </c>
      <c r="BB60" s="24">
        <v>83.41</v>
      </c>
      <c r="BC60" s="24">
        <v>84.85</v>
      </c>
      <c r="BD60" s="24">
        <v>86.29</v>
      </c>
      <c r="BE60" s="24">
        <v>60.39</v>
      </c>
      <c r="BF60" s="24">
        <v>58.95</v>
      </c>
      <c r="BG60" s="24">
        <v>57.51</v>
      </c>
      <c r="BH60" s="24">
        <v>56.07</v>
      </c>
      <c r="BI60" s="24">
        <v>54.63</v>
      </c>
    </row>
    <row r="61" spans="1:61" x14ac:dyDescent="0.45">
      <c r="A61" s="43">
        <v>112.29</v>
      </c>
      <c r="B61" s="43">
        <v>114.36</v>
      </c>
      <c r="C61" s="43">
        <v>116.44</v>
      </c>
      <c r="D61" s="43">
        <v>118.51</v>
      </c>
      <c r="E61" s="43">
        <v>120.59</v>
      </c>
      <c r="F61" s="43">
        <v>122.66</v>
      </c>
      <c r="G61" s="43">
        <v>124.73</v>
      </c>
      <c r="H61" s="43">
        <v>126.81</v>
      </c>
      <c r="I61" s="44">
        <v>128.88</v>
      </c>
      <c r="J61" s="53">
        <v>130.96</v>
      </c>
      <c r="K61" s="53">
        <v>133.03</v>
      </c>
      <c r="L61" s="44">
        <v>135.11000000000001</v>
      </c>
      <c r="M61" s="44">
        <v>137.18</v>
      </c>
      <c r="N61" s="44">
        <v>139.26</v>
      </c>
      <c r="O61" s="59">
        <v>141.33000000000001</v>
      </c>
      <c r="P61" s="65">
        <v>143.41</v>
      </c>
      <c r="Q61" s="65">
        <v>145.47999999999999</v>
      </c>
      <c r="R61" s="65">
        <v>147.56</v>
      </c>
      <c r="S61" s="65">
        <v>149.63</v>
      </c>
      <c r="T61" s="65">
        <v>151.71</v>
      </c>
      <c r="U61" s="65">
        <v>153.78</v>
      </c>
      <c r="V61" s="24">
        <v>126.65</v>
      </c>
      <c r="W61" s="24">
        <v>128.72</v>
      </c>
      <c r="X61" s="24">
        <v>130.80000000000001</v>
      </c>
      <c r="Y61" s="24">
        <v>132.87</v>
      </c>
      <c r="Z61" s="24">
        <v>95.53</v>
      </c>
      <c r="AA61" s="24">
        <v>93.45</v>
      </c>
      <c r="AB61" s="24">
        <v>91.38</v>
      </c>
      <c r="AC61" s="24">
        <v>89.3</v>
      </c>
      <c r="AD61" s="24">
        <v>87.23</v>
      </c>
      <c r="AE61" s="5">
        <v>57</v>
      </c>
      <c r="AF61" s="43">
        <v>67.290000000000006</v>
      </c>
      <c r="AG61" s="43">
        <v>68.75</v>
      </c>
      <c r="AH61" s="43">
        <v>70.22</v>
      </c>
      <c r="AI61" s="43">
        <v>71.680000000000007</v>
      </c>
      <c r="AJ61" s="43">
        <v>73.150000000000006</v>
      </c>
      <c r="AK61" s="43">
        <v>74.61</v>
      </c>
      <c r="AL61" s="43">
        <v>76.08</v>
      </c>
      <c r="AM61" s="43">
        <v>77.540000000000006</v>
      </c>
      <c r="AN61" s="44">
        <v>79.010000000000005</v>
      </c>
      <c r="AO61" s="53">
        <v>80.47</v>
      </c>
      <c r="AP61" s="53">
        <v>81.94</v>
      </c>
      <c r="AQ61" s="44">
        <v>83.4</v>
      </c>
      <c r="AR61" s="44">
        <v>84.87</v>
      </c>
      <c r="AS61" s="72">
        <v>86.33</v>
      </c>
      <c r="AT61" s="59">
        <v>87.8</v>
      </c>
      <c r="AU61" s="65">
        <v>89.26</v>
      </c>
      <c r="AV61" s="65">
        <v>90.73</v>
      </c>
      <c r="AW61" s="65">
        <v>92.19</v>
      </c>
      <c r="AX61" s="65">
        <v>93.65</v>
      </c>
      <c r="AY61" s="65">
        <v>95.12</v>
      </c>
      <c r="AZ61" s="65">
        <v>96.58</v>
      </c>
      <c r="BA61" s="24">
        <v>83.43</v>
      </c>
      <c r="BB61" s="24">
        <v>84.9</v>
      </c>
      <c r="BC61" s="24">
        <v>86.36</v>
      </c>
      <c r="BD61" s="24">
        <v>87.83</v>
      </c>
      <c r="BE61" s="24">
        <v>61.46</v>
      </c>
      <c r="BF61" s="24">
        <v>59.99</v>
      </c>
      <c r="BG61" s="24">
        <v>58.53</v>
      </c>
      <c r="BH61" s="24">
        <v>57.06</v>
      </c>
      <c r="BI61" s="24">
        <v>55.6</v>
      </c>
    </row>
    <row r="62" spans="1:61" x14ac:dyDescent="0.45">
      <c r="A62" s="43">
        <v>114.26</v>
      </c>
      <c r="B62" s="43">
        <v>116.37</v>
      </c>
      <c r="C62" s="43">
        <v>118.48</v>
      </c>
      <c r="D62" s="43">
        <v>120.59</v>
      </c>
      <c r="E62" s="43">
        <v>122.74</v>
      </c>
      <c r="F62" s="43">
        <v>124.82</v>
      </c>
      <c r="G62" s="43">
        <v>126.93</v>
      </c>
      <c r="H62" s="43">
        <v>129.04</v>
      </c>
      <c r="I62" s="44">
        <v>131.15</v>
      </c>
      <c r="J62" s="53">
        <v>133.26</v>
      </c>
      <c r="K62" s="53">
        <v>135.37</v>
      </c>
      <c r="L62" s="44">
        <v>137.47999999999999</v>
      </c>
      <c r="M62" s="44">
        <v>139.6</v>
      </c>
      <c r="N62" s="44">
        <v>141.71</v>
      </c>
      <c r="O62" s="59">
        <v>143.82</v>
      </c>
      <c r="P62" s="65">
        <v>145.93</v>
      </c>
      <c r="Q62" s="65">
        <v>148.04</v>
      </c>
      <c r="R62" s="65">
        <v>150.15</v>
      </c>
      <c r="S62" s="65">
        <v>152.26</v>
      </c>
      <c r="T62" s="65">
        <v>154.37</v>
      </c>
      <c r="U62" s="65">
        <v>156.49</v>
      </c>
      <c r="V62" s="24">
        <v>128.87</v>
      </c>
      <c r="W62" s="24">
        <v>130.97999999999999</v>
      </c>
      <c r="X62" s="24">
        <v>133.1</v>
      </c>
      <c r="Y62" s="24">
        <v>135.21</v>
      </c>
      <c r="Z62" s="24">
        <v>97.2</v>
      </c>
      <c r="AA62" s="24">
        <v>95.09</v>
      </c>
      <c r="AB62" s="24">
        <v>92.98</v>
      </c>
      <c r="AC62" s="24">
        <v>90.87</v>
      </c>
      <c r="AD62" s="24">
        <v>88.76</v>
      </c>
      <c r="AE62" s="5">
        <v>58</v>
      </c>
      <c r="AF62" s="43">
        <v>68.459999999999994</v>
      </c>
      <c r="AG62" s="43">
        <v>69.95</v>
      </c>
      <c r="AH62" s="43">
        <v>71.44</v>
      </c>
      <c r="AI62" s="43">
        <v>72.930000000000007</v>
      </c>
      <c r="AJ62" s="43">
        <v>74.42</v>
      </c>
      <c r="AK62" s="43">
        <v>75.91</v>
      </c>
      <c r="AL62" s="43">
        <v>77.400000000000006</v>
      </c>
      <c r="AM62" s="43">
        <v>78.89</v>
      </c>
      <c r="AN62" s="44">
        <v>80.38</v>
      </c>
      <c r="AO62" s="53">
        <v>81.87</v>
      </c>
      <c r="AP62" s="53">
        <v>83.36</v>
      </c>
      <c r="AQ62" s="44">
        <v>84.85</v>
      </c>
      <c r="AR62" s="44">
        <v>86.34</v>
      </c>
      <c r="AS62" s="72">
        <v>87.84</v>
      </c>
      <c r="AT62" s="59">
        <v>89.33</v>
      </c>
      <c r="AU62" s="65">
        <v>90.82</v>
      </c>
      <c r="AV62" s="65">
        <v>92.31</v>
      </c>
      <c r="AW62" s="65">
        <v>93.8</v>
      </c>
      <c r="AX62" s="65">
        <v>95.29</v>
      </c>
      <c r="AY62" s="65">
        <v>96.78</v>
      </c>
      <c r="AZ62" s="65">
        <v>98.27</v>
      </c>
      <c r="BA62" s="24">
        <v>84.89</v>
      </c>
      <c r="BB62" s="24">
        <v>86.38</v>
      </c>
      <c r="BC62" s="24">
        <v>87.87</v>
      </c>
      <c r="BD62" s="24">
        <v>89.36</v>
      </c>
      <c r="BE62" s="24">
        <v>62.53</v>
      </c>
      <c r="BF62" s="24">
        <v>61.04</v>
      </c>
      <c r="BG62" s="24">
        <v>59.55</v>
      </c>
      <c r="BH62" s="24">
        <v>58.06</v>
      </c>
      <c r="BI62" s="24">
        <v>56.57</v>
      </c>
    </row>
    <row r="63" spans="1:61" x14ac:dyDescent="0.45">
      <c r="A63" s="43">
        <v>116.19</v>
      </c>
      <c r="B63" s="43">
        <v>118.34</v>
      </c>
      <c r="C63" s="43">
        <v>120.49</v>
      </c>
      <c r="D63" s="43">
        <v>122.63</v>
      </c>
      <c r="E63" s="43">
        <v>124.78</v>
      </c>
      <c r="F63" s="43">
        <v>126.93</v>
      </c>
      <c r="G63" s="43">
        <v>129.08000000000001</v>
      </c>
      <c r="H63" s="43">
        <v>131.22</v>
      </c>
      <c r="I63" s="44">
        <v>133.37</v>
      </c>
      <c r="J63" s="53">
        <v>135.52000000000001</v>
      </c>
      <c r="K63" s="53">
        <v>137.66999999999999</v>
      </c>
      <c r="L63" s="44">
        <v>139.82</v>
      </c>
      <c r="M63" s="44">
        <v>141.96</v>
      </c>
      <c r="N63" s="44">
        <v>144.11000000000001</v>
      </c>
      <c r="O63" s="59">
        <v>146.26</v>
      </c>
      <c r="P63" s="65">
        <v>148.41</v>
      </c>
      <c r="Q63" s="65">
        <v>150.55000000000001</v>
      </c>
      <c r="R63" s="65">
        <v>152.69999999999999</v>
      </c>
      <c r="S63" s="65">
        <v>154.85</v>
      </c>
      <c r="T63" s="65">
        <v>157</v>
      </c>
      <c r="U63" s="65">
        <v>159.13999999999999</v>
      </c>
      <c r="V63" s="24">
        <v>131.07</v>
      </c>
      <c r="W63" s="24">
        <v>133.22</v>
      </c>
      <c r="X63" s="24">
        <v>135.37</v>
      </c>
      <c r="Y63" s="24">
        <v>137.51</v>
      </c>
      <c r="Z63" s="24">
        <v>98.86</v>
      </c>
      <c r="AA63" s="24">
        <v>96.71</v>
      </c>
      <c r="AB63" s="24">
        <v>94.56</v>
      </c>
      <c r="AC63" s="24">
        <v>92.41</v>
      </c>
      <c r="AD63" s="24">
        <v>90.27</v>
      </c>
      <c r="AE63" s="5">
        <v>59</v>
      </c>
      <c r="AF63" s="43">
        <v>69.63</v>
      </c>
      <c r="AG63" s="43">
        <v>71.150000000000006</v>
      </c>
      <c r="AH63" s="43">
        <v>72.66</v>
      </c>
      <c r="AI63" s="43">
        <v>94.18</v>
      </c>
      <c r="AJ63" s="43">
        <v>75.7</v>
      </c>
      <c r="AK63" s="43">
        <v>77.209999999999994</v>
      </c>
      <c r="AL63" s="43">
        <v>78.73</v>
      </c>
      <c r="AM63" s="43">
        <v>80.25</v>
      </c>
      <c r="AN63" s="44">
        <v>81.760000000000005</v>
      </c>
      <c r="AO63" s="53">
        <v>83.28</v>
      </c>
      <c r="AP63" s="53">
        <v>84.79</v>
      </c>
      <c r="AQ63" s="44">
        <v>86.31</v>
      </c>
      <c r="AR63" s="44">
        <v>87.83</v>
      </c>
      <c r="AS63" s="72">
        <v>89.34</v>
      </c>
      <c r="AT63" s="59">
        <v>90.86</v>
      </c>
      <c r="AU63" s="65">
        <v>92.38</v>
      </c>
      <c r="AV63" s="65">
        <v>93.89</v>
      </c>
      <c r="AW63" s="65">
        <v>95.41</v>
      </c>
      <c r="AX63" s="65">
        <v>96.93</v>
      </c>
      <c r="AY63" s="65">
        <v>98.44</v>
      </c>
      <c r="AZ63" s="65">
        <v>99.96</v>
      </c>
      <c r="BA63" s="24">
        <v>86.35</v>
      </c>
      <c r="BB63" s="24">
        <v>87.86</v>
      </c>
      <c r="BC63" s="24">
        <v>89.38</v>
      </c>
      <c r="BD63" s="24">
        <v>90.9</v>
      </c>
      <c r="BE63" s="24">
        <v>63.6</v>
      </c>
      <c r="BF63" s="24">
        <v>62.09</v>
      </c>
      <c r="BG63" s="24">
        <v>60.57</v>
      </c>
      <c r="BH63" s="24">
        <v>59.05</v>
      </c>
      <c r="BI63" s="24">
        <v>57.54</v>
      </c>
    </row>
    <row r="64" spans="1:61" x14ac:dyDescent="0.45">
      <c r="A64" s="43">
        <v>118.14</v>
      </c>
      <c r="B64" s="43">
        <v>120.32</v>
      </c>
      <c r="C64" s="43">
        <v>122.5</v>
      </c>
      <c r="D64" s="43">
        <v>124.69</v>
      </c>
      <c r="E64" s="43">
        <v>126.87</v>
      </c>
      <c r="F64" s="43">
        <v>129.06</v>
      </c>
      <c r="G64" s="43">
        <v>131.24</v>
      </c>
      <c r="H64" s="43">
        <v>133.41999999999999</v>
      </c>
      <c r="I64" s="44">
        <v>135.61000000000001</v>
      </c>
      <c r="J64" s="53">
        <v>137.79</v>
      </c>
      <c r="K64" s="53">
        <v>139.97999999999999</v>
      </c>
      <c r="L64" s="44">
        <v>142.16</v>
      </c>
      <c r="M64" s="44">
        <v>144.34</v>
      </c>
      <c r="N64" s="44">
        <v>146.53</v>
      </c>
      <c r="O64" s="59">
        <v>148.71</v>
      </c>
      <c r="P64" s="65">
        <v>150.9</v>
      </c>
      <c r="Q64" s="65">
        <v>153.08000000000001</v>
      </c>
      <c r="R64" s="65">
        <v>155.26</v>
      </c>
      <c r="S64" s="65">
        <v>157.44999999999999</v>
      </c>
      <c r="T64" s="65">
        <v>159.63</v>
      </c>
      <c r="U64" s="65">
        <v>161.82</v>
      </c>
      <c r="V64" s="24">
        <v>133.28</v>
      </c>
      <c r="W64" s="24">
        <v>135.46</v>
      </c>
      <c r="X64" s="24">
        <v>137.65</v>
      </c>
      <c r="Y64" s="24">
        <v>139.83000000000001</v>
      </c>
      <c r="Z64" s="24">
        <v>100.52</v>
      </c>
      <c r="AA64" s="24">
        <v>98.33</v>
      </c>
      <c r="AB64" s="24">
        <v>96.15</v>
      </c>
      <c r="AC64" s="24">
        <v>93.97</v>
      </c>
      <c r="AD64" s="24">
        <v>91.78</v>
      </c>
      <c r="AE64" s="5">
        <v>60</v>
      </c>
      <c r="AF64" s="43">
        <v>70.81</v>
      </c>
      <c r="AG64" s="43">
        <v>72.349999999999994</v>
      </c>
      <c r="AH64" s="43">
        <v>73.89</v>
      </c>
      <c r="AI64" s="43">
        <v>75.44</v>
      </c>
      <c r="AJ64" s="43">
        <v>76.98</v>
      </c>
      <c r="AK64" s="43">
        <v>78.52</v>
      </c>
      <c r="AL64" s="43">
        <v>80.06</v>
      </c>
      <c r="AM64" s="43">
        <v>81.599999999999994</v>
      </c>
      <c r="AN64" s="44">
        <v>83.15</v>
      </c>
      <c r="AO64" s="53">
        <v>84.69</v>
      </c>
      <c r="AP64" s="53">
        <v>86.23</v>
      </c>
      <c r="AQ64" s="44">
        <v>87.77</v>
      </c>
      <c r="AR64" s="44">
        <v>89.31</v>
      </c>
      <c r="AS64" s="72">
        <v>90.86</v>
      </c>
      <c r="AT64" s="59">
        <v>92.4</v>
      </c>
      <c r="AU64" s="65">
        <v>93.94</v>
      </c>
      <c r="AV64" s="65">
        <v>95.48</v>
      </c>
      <c r="AW64" s="65">
        <v>97.02</v>
      </c>
      <c r="AX64" s="65">
        <v>98.57</v>
      </c>
      <c r="AY64" s="65">
        <v>100.11</v>
      </c>
      <c r="AZ64" s="65">
        <v>101.65</v>
      </c>
      <c r="BA64" s="24">
        <v>87.81</v>
      </c>
      <c r="BB64" s="24">
        <v>89.35</v>
      </c>
      <c r="BC64" s="24">
        <v>90.89</v>
      </c>
      <c r="BD64" s="24">
        <v>92.44</v>
      </c>
      <c r="BE64" s="24">
        <v>64.680000000000007</v>
      </c>
      <c r="BF64" s="24">
        <v>63.14</v>
      </c>
      <c r="BG64" s="24">
        <v>61.6</v>
      </c>
      <c r="BH64" s="24">
        <v>60.05</v>
      </c>
      <c r="BI64" s="24">
        <v>58.51</v>
      </c>
    </row>
    <row r="65" spans="1:61" x14ac:dyDescent="0.45">
      <c r="A65" s="43">
        <v>120.09</v>
      </c>
      <c r="B65" s="43">
        <v>122.31</v>
      </c>
      <c r="C65" s="43">
        <v>124.53</v>
      </c>
      <c r="D65" s="43">
        <v>126.75</v>
      </c>
      <c r="E65" s="43">
        <v>128.97999999999999</v>
      </c>
      <c r="F65" s="43">
        <v>131.19999999999999</v>
      </c>
      <c r="G65" s="43">
        <v>133.41999999999999</v>
      </c>
      <c r="H65" s="43">
        <v>135.63999999999999</v>
      </c>
      <c r="I65" s="44">
        <v>137.86000000000001</v>
      </c>
      <c r="J65" s="53">
        <v>140.08000000000001</v>
      </c>
      <c r="K65" s="53">
        <v>142.30000000000001</v>
      </c>
      <c r="L65" s="44">
        <v>144.52000000000001</v>
      </c>
      <c r="M65" s="44">
        <v>146.74</v>
      </c>
      <c r="N65" s="44">
        <v>148.96</v>
      </c>
      <c r="O65" s="59">
        <v>151.18</v>
      </c>
      <c r="P65" s="65">
        <v>153.4</v>
      </c>
      <c r="Q65" s="65">
        <v>155.62</v>
      </c>
      <c r="R65" s="65">
        <v>157.84</v>
      </c>
      <c r="S65" s="65">
        <v>160.06</v>
      </c>
      <c r="T65" s="65">
        <v>162.28</v>
      </c>
      <c r="U65" s="65">
        <v>164.5</v>
      </c>
      <c r="V65" s="24">
        <v>135.49</v>
      </c>
      <c r="W65" s="24">
        <v>137.71</v>
      </c>
      <c r="X65" s="24">
        <v>139.93</v>
      </c>
      <c r="Y65" s="24">
        <v>142.15</v>
      </c>
      <c r="Z65" s="24">
        <v>102.19</v>
      </c>
      <c r="AA65" s="24">
        <v>99.97</v>
      </c>
      <c r="AB65" s="24">
        <v>97.75</v>
      </c>
      <c r="AC65" s="24">
        <v>95.53</v>
      </c>
      <c r="AD65" s="24">
        <v>93.31</v>
      </c>
      <c r="AE65" s="5">
        <v>61</v>
      </c>
      <c r="AF65" s="43">
        <v>71.97</v>
      </c>
      <c r="AG65" s="43">
        <v>73.540000000000006</v>
      </c>
      <c r="AH65" s="43">
        <v>75.11</v>
      </c>
      <c r="AI65" s="43">
        <v>76.680000000000007</v>
      </c>
      <c r="AJ65" s="43">
        <v>78.25</v>
      </c>
      <c r="AK65" s="43">
        <v>79.81</v>
      </c>
      <c r="AL65" s="43">
        <v>81.38</v>
      </c>
      <c r="AM65" s="43">
        <v>82.95</v>
      </c>
      <c r="AN65" s="44">
        <v>84.52</v>
      </c>
      <c r="AO65" s="53">
        <v>86.08</v>
      </c>
      <c r="AP65" s="53">
        <v>87.65</v>
      </c>
      <c r="AQ65" s="44">
        <v>89.22</v>
      </c>
      <c r="AR65" s="44">
        <v>90.79</v>
      </c>
      <c r="AS65" s="72">
        <v>92.35</v>
      </c>
      <c r="AT65" s="59">
        <v>93.92</v>
      </c>
      <c r="AU65" s="65">
        <v>95.49</v>
      </c>
      <c r="AV65" s="65">
        <v>97.06</v>
      </c>
      <c r="AW65" s="65">
        <v>98.63</v>
      </c>
      <c r="AX65" s="65">
        <v>100.19</v>
      </c>
      <c r="AY65" s="65">
        <v>101.76</v>
      </c>
      <c r="AZ65" s="65">
        <v>103.33</v>
      </c>
      <c r="BA65" s="24">
        <v>89.26</v>
      </c>
      <c r="BB65" s="24">
        <v>90.83</v>
      </c>
      <c r="BC65" s="24">
        <v>92.4</v>
      </c>
      <c r="BD65" s="24">
        <v>93.97</v>
      </c>
      <c r="BE65" s="24">
        <v>65.75</v>
      </c>
      <c r="BF65" s="24">
        <v>64.180000000000007</v>
      </c>
      <c r="BG65" s="24">
        <v>62.61</v>
      </c>
      <c r="BH65" s="24">
        <v>61.05</v>
      </c>
      <c r="BI65" s="24">
        <v>59.48</v>
      </c>
    </row>
    <row r="66" spans="1:61" x14ac:dyDescent="0.45">
      <c r="A66" s="48">
        <v>122.07</v>
      </c>
      <c r="B66" s="48">
        <v>124.32</v>
      </c>
      <c r="C66" s="48">
        <v>126.58</v>
      </c>
      <c r="D66" s="48">
        <v>128.84</v>
      </c>
      <c r="E66" s="48">
        <v>131.09</v>
      </c>
      <c r="F66" s="48">
        <v>133.35</v>
      </c>
      <c r="G66" s="43">
        <v>135.61000000000001</v>
      </c>
      <c r="H66" s="43">
        <v>137.86000000000001</v>
      </c>
      <c r="I66" s="44">
        <v>140.12</v>
      </c>
      <c r="J66" s="53">
        <v>142.38</v>
      </c>
      <c r="K66" s="53">
        <v>144.63</v>
      </c>
      <c r="L66" s="44">
        <v>146.88999999999999</v>
      </c>
      <c r="M66" s="44">
        <v>149.15</v>
      </c>
      <c r="N66" s="44">
        <v>151.41</v>
      </c>
      <c r="O66" s="59">
        <v>153.66</v>
      </c>
      <c r="P66" s="65">
        <v>155.91999999999999</v>
      </c>
      <c r="Q66" s="65">
        <v>158.18</v>
      </c>
      <c r="R66" s="65">
        <v>160.43</v>
      </c>
      <c r="S66" s="65">
        <v>162.69</v>
      </c>
      <c r="T66" s="65">
        <v>164.95</v>
      </c>
      <c r="U66" s="65">
        <v>167.2</v>
      </c>
      <c r="V66" s="24">
        <v>137.72</v>
      </c>
      <c r="W66" s="24">
        <v>139.97</v>
      </c>
      <c r="X66" s="24">
        <v>142.22999999999999</v>
      </c>
      <c r="Y66" s="24">
        <v>144.49</v>
      </c>
      <c r="Z66" s="24">
        <v>103.87</v>
      </c>
      <c r="AA66" s="24">
        <v>101.61</v>
      </c>
      <c r="AB66" s="24">
        <v>99.35</v>
      </c>
      <c r="AC66" s="24">
        <v>97.09</v>
      </c>
      <c r="AD66" s="24">
        <v>94.84</v>
      </c>
      <c r="AE66" s="5">
        <v>62</v>
      </c>
      <c r="AF66" s="43">
        <v>73.14</v>
      </c>
      <c r="AG66" s="43">
        <v>74.739999999999995</v>
      </c>
      <c r="AH66" s="43">
        <v>76.33</v>
      </c>
      <c r="AI66" s="43">
        <v>77.92</v>
      </c>
      <c r="AJ66" s="43">
        <v>79.52</v>
      </c>
      <c r="AK66" s="43">
        <v>81.11</v>
      </c>
      <c r="AL66" s="43">
        <v>82.7</v>
      </c>
      <c r="AM66" s="43">
        <v>84.3</v>
      </c>
      <c r="AN66" s="44">
        <v>85.89</v>
      </c>
      <c r="AO66" s="53">
        <v>87.48</v>
      </c>
      <c r="AP66" s="53">
        <v>89.08</v>
      </c>
      <c r="AQ66" s="44">
        <v>90.67</v>
      </c>
      <c r="AR66" s="44">
        <v>92.26</v>
      </c>
      <c r="AS66" s="72">
        <v>93.86</v>
      </c>
      <c r="AT66" s="59">
        <v>95.45</v>
      </c>
      <c r="AU66" s="65">
        <v>97.04</v>
      </c>
      <c r="AV66" s="65">
        <v>98.64</v>
      </c>
      <c r="AW66" s="65">
        <v>100.23</v>
      </c>
      <c r="AX66" s="65">
        <v>101.82</v>
      </c>
      <c r="AY66" s="65">
        <v>103.42</v>
      </c>
      <c r="AZ66" s="65">
        <v>105.01</v>
      </c>
      <c r="BA66" s="24">
        <v>90.72</v>
      </c>
      <c r="BB66" s="24">
        <v>92.31</v>
      </c>
      <c r="BC66" s="24">
        <v>93.91</v>
      </c>
      <c r="BD66" s="24">
        <v>95.5</v>
      </c>
      <c r="BE66" s="24">
        <v>66.819999999999993</v>
      </c>
      <c r="BF66" s="24">
        <v>65.23</v>
      </c>
      <c r="BG66" s="24">
        <v>63.63</v>
      </c>
      <c r="BH66" s="24">
        <v>62.04</v>
      </c>
      <c r="BI66" s="24">
        <v>60.44</v>
      </c>
    </row>
    <row r="67" spans="1:61" x14ac:dyDescent="0.45">
      <c r="A67" s="43">
        <v>123.99</v>
      </c>
      <c r="B67" s="43">
        <v>126.28</v>
      </c>
      <c r="C67" s="43">
        <v>128.57</v>
      </c>
      <c r="D67" s="43">
        <v>130.87</v>
      </c>
      <c r="E67" s="43">
        <v>133.16</v>
      </c>
      <c r="F67" s="43">
        <v>135.44999999999999</v>
      </c>
      <c r="G67" s="43">
        <v>137.75</v>
      </c>
      <c r="H67" s="43">
        <v>140.04</v>
      </c>
      <c r="I67" s="44">
        <v>142.33000000000001</v>
      </c>
      <c r="J67" s="53">
        <v>144.62</v>
      </c>
      <c r="K67" s="53">
        <v>146.91999999999999</v>
      </c>
      <c r="L67" s="44">
        <v>149.21</v>
      </c>
      <c r="M67" s="44">
        <v>151.5</v>
      </c>
      <c r="N67" s="44">
        <v>153.80000000000001</v>
      </c>
      <c r="O67" s="59">
        <v>156.09</v>
      </c>
      <c r="P67" s="65">
        <v>158.38</v>
      </c>
      <c r="Q67" s="65">
        <v>160.68</v>
      </c>
      <c r="R67" s="65">
        <v>162.97</v>
      </c>
      <c r="S67" s="65">
        <v>165.26</v>
      </c>
      <c r="T67" s="65">
        <v>167.56</v>
      </c>
      <c r="U67" s="65">
        <v>169.85</v>
      </c>
      <c r="V67" s="24">
        <v>139.91</v>
      </c>
      <c r="W67" s="24">
        <v>142.19999999999999</v>
      </c>
      <c r="X67" s="24">
        <v>144.5</v>
      </c>
      <c r="Y67" s="24">
        <v>146.79</v>
      </c>
      <c r="Z67" s="24">
        <v>105.51</v>
      </c>
      <c r="AA67" s="24">
        <v>103.22</v>
      </c>
      <c r="AB67" s="24">
        <v>100.92</v>
      </c>
      <c r="AC67" s="24">
        <v>98.63</v>
      </c>
      <c r="AD67" s="24">
        <v>96.34</v>
      </c>
      <c r="AE67" s="5">
        <v>63</v>
      </c>
      <c r="AF67" s="43">
        <v>74.31</v>
      </c>
      <c r="AG67" s="43">
        <v>75.930000000000007</v>
      </c>
      <c r="AH67" s="43">
        <v>77.55</v>
      </c>
      <c r="AI67" s="43">
        <v>79.17</v>
      </c>
      <c r="AJ67" s="43">
        <v>80.790000000000006</v>
      </c>
      <c r="AK67" s="43">
        <v>82.41</v>
      </c>
      <c r="AL67" s="43">
        <v>84.03</v>
      </c>
      <c r="AM67" s="43">
        <v>85.65</v>
      </c>
      <c r="AN67" s="44">
        <v>87.27</v>
      </c>
      <c r="AO67" s="53">
        <v>88.88</v>
      </c>
      <c r="AP67" s="53">
        <v>90.5</v>
      </c>
      <c r="AQ67" s="44">
        <v>92.12</v>
      </c>
      <c r="AR67" s="44">
        <v>93.74</v>
      </c>
      <c r="AS67" s="72">
        <v>95.36</v>
      </c>
      <c r="AT67" s="59">
        <v>96.98</v>
      </c>
      <c r="AU67" s="65">
        <v>98.6</v>
      </c>
      <c r="AV67" s="65">
        <v>100.22</v>
      </c>
      <c r="AW67" s="65">
        <v>101.84</v>
      </c>
      <c r="AX67" s="65">
        <v>103.46</v>
      </c>
      <c r="AY67" s="65">
        <v>105.08</v>
      </c>
      <c r="AZ67" s="65">
        <v>106.69</v>
      </c>
      <c r="BA67" s="24">
        <v>92.18</v>
      </c>
      <c r="BB67" s="24">
        <v>93.8</v>
      </c>
      <c r="BC67" s="24">
        <v>95.42</v>
      </c>
      <c r="BD67" s="24">
        <v>97.03</v>
      </c>
      <c r="BE67" s="24">
        <v>67.89</v>
      </c>
      <c r="BF67" s="24">
        <v>66.27</v>
      </c>
      <c r="BG67" s="24">
        <v>64.650000000000006</v>
      </c>
      <c r="BH67" s="24">
        <v>63.03</v>
      </c>
      <c r="BI67" s="24">
        <v>61.41</v>
      </c>
    </row>
    <row r="68" spans="1:61" x14ac:dyDescent="0.45">
      <c r="A68" s="43">
        <v>125.92</v>
      </c>
      <c r="B68" s="43">
        <v>128.25</v>
      </c>
      <c r="C68" s="43">
        <v>130.58000000000001</v>
      </c>
      <c r="D68" s="43">
        <v>132.91</v>
      </c>
      <c r="E68" s="43">
        <v>135.24</v>
      </c>
      <c r="F68" s="43">
        <v>137.56</v>
      </c>
      <c r="G68" s="43">
        <v>139.88999999999999</v>
      </c>
      <c r="H68" s="43">
        <v>142.22</v>
      </c>
      <c r="I68" s="44">
        <v>144.55000000000001</v>
      </c>
      <c r="J68" s="53">
        <v>146.88</v>
      </c>
      <c r="K68" s="53">
        <v>149.21</v>
      </c>
      <c r="L68" s="44">
        <v>151.54</v>
      </c>
      <c r="M68" s="44">
        <v>153.87</v>
      </c>
      <c r="N68" s="44">
        <v>156.19999999999999</v>
      </c>
      <c r="O68" s="59">
        <v>158.53</v>
      </c>
      <c r="P68" s="65">
        <v>160.86000000000001</v>
      </c>
      <c r="Q68" s="65">
        <v>163.19</v>
      </c>
      <c r="R68" s="65">
        <v>165.52</v>
      </c>
      <c r="S68" s="65">
        <v>167.85</v>
      </c>
      <c r="T68" s="65">
        <v>170.18</v>
      </c>
      <c r="U68" s="65">
        <v>172.51</v>
      </c>
      <c r="V68" s="24">
        <v>142.11000000000001</v>
      </c>
      <c r="W68" s="24">
        <v>144.44</v>
      </c>
      <c r="X68" s="24">
        <v>146.77000000000001</v>
      </c>
      <c r="Y68" s="24">
        <v>149.1</v>
      </c>
      <c r="Z68" s="24">
        <v>107.16</v>
      </c>
      <c r="AA68" s="24">
        <v>104.83</v>
      </c>
      <c r="AB68" s="24">
        <v>102.51</v>
      </c>
      <c r="AC68" s="24">
        <v>100.18</v>
      </c>
      <c r="AD68" s="24">
        <v>97.85</v>
      </c>
      <c r="AE68" s="5">
        <v>64</v>
      </c>
      <c r="AF68" s="43">
        <v>75.489999999999995</v>
      </c>
      <c r="AG68" s="43">
        <v>77.13</v>
      </c>
      <c r="AH68" s="43">
        <v>78.78</v>
      </c>
      <c r="AI68" s="43">
        <v>8.42</v>
      </c>
      <c r="AJ68" s="43">
        <v>82.07</v>
      </c>
      <c r="AK68" s="43">
        <v>83.71</v>
      </c>
      <c r="AL68" s="43">
        <v>85.36</v>
      </c>
      <c r="AM68" s="43">
        <v>87</v>
      </c>
      <c r="AN68" s="44">
        <v>88.65</v>
      </c>
      <c r="AO68" s="53">
        <v>90.29</v>
      </c>
      <c r="AP68" s="53">
        <v>91.94</v>
      </c>
      <c r="AQ68" s="44">
        <v>93.58</v>
      </c>
      <c r="AR68" s="44">
        <v>95.22</v>
      </c>
      <c r="AS68" s="72">
        <v>96.87</v>
      </c>
      <c r="AT68" s="59">
        <v>98.51</v>
      </c>
      <c r="AU68" s="65">
        <v>100.16</v>
      </c>
      <c r="AV68" s="65">
        <v>101.8</v>
      </c>
      <c r="AW68" s="65">
        <v>103.45</v>
      </c>
      <c r="AX68" s="65">
        <v>105.09</v>
      </c>
      <c r="AY68" s="65">
        <v>106.74</v>
      </c>
      <c r="AZ68" s="65">
        <v>108.38</v>
      </c>
      <c r="BA68" s="24">
        <v>93.64</v>
      </c>
      <c r="BB68" s="24">
        <v>95.28</v>
      </c>
      <c r="BC68" s="24">
        <v>96.93</v>
      </c>
      <c r="BD68" s="24">
        <v>98.57</v>
      </c>
      <c r="BE68" s="24">
        <v>68.97</v>
      </c>
      <c r="BF68" s="24">
        <v>67.319999999999993</v>
      </c>
      <c r="BG68" s="24">
        <v>65.680000000000007</v>
      </c>
      <c r="BH68" s="24">
        <v>64.03</v>
      </c>
      <c r="BI68" s="24">
        <v>62.39</v>
      </c>
    </row>
    <row r="69" spans="1:61" x14ac:dyDescent="0.45">
      <c r="A69" s="43">
        <v>127.86</v>
      </c>
      <c r="B69" s="43">
        <v>130.22999999999999</v>
      </c>
      <c r="C69" s="43">
        <v>132.59</v>
      </c>
      <c r="D69" s="43">
        <v>134.96</v>
      </c>
      <c r="E69" s="43">
        <v>137.32</v>
      </c>
      <c r="F69" s="43">
        <v>139.69</v>
      </c>
      <c r="G69" s="43">
        <v>142.06</v>
      </c>
      <c r="H69" s="43">
        <v>144.41999999999999</v>
      </c>
      <c r="I69" s="44">
        <v>146.79</v>
      </c>
      <c r="J69" s="53">
        <v>149.15</v>
      </c>
      <c r="K69" s="53">
        <v>151.52000000000001</v>
      </c>
      <c r="L69" s="44">
        <v>153.88999999999999</v>
      </c>
      <c r="M69" s="44">
        <v>156.25</v>
      </c>
      <c r="N69" s="44">
        <v>158.62</v>
      </c>
      <c r="O69" s="59">
        <v>160.97999999999999</v>
      </c>
      <c r="P69" s="65">
        <v>163.35</v>
      </c>
      <c r="Q69" s="65">
        <v>165.72</v>
      </c>
      <c r="R69" s="65">
        <v>168.08</v>
      </c>
      <c r="S69" s="65">
        <v>170.45</v>
      </c>
      <c r="T69" s="65">
        <v>172.81</v>
      </c>
      <c r="U69" s="65">
        <v>175.18</v>
      </c>
      <c r="V69" s="24">
        <v>144.31</v>
      </c>
      <c r="W69" s="24">
        <v>146.68</v>
      </c>
      <c r="X69" s="24">
        <v>149.05000000000001</v>
      </c>
      <c r="Y69" s="24">
        <v>151.41</v>
      </c>
      <c r="Z69" s="24">
        <v>108.82</v>
      </c>
      <c r="AA69" s="24">
        <v>106.46</v>
      </c>
      <c r="AB69" s="24">
        <v>104.09</v>
      </c>
      <c r="AC69" s="24">
        <v>101.73</v>
      </c>
      <c r="AD69" s="24">
        <v>99.36</v>
      </c>
      <c r="AE69" s="5">
        <v>65</v>
      </c>
      <c r="AF69" s="43">
        <v>76.64</v>
      </c>
      <c r="AG69" s="43">
        <v>78.31</v>
      </c>
      <c r="AH69" s="43">
        <v>79.989999999999995</v>
      </c>
      <c r="AI69" s="43">
        <v>81.66</v>
      </c>
      <c r="AJ69" s="43">
        <v>83.33</v>
      </c>
      <c r="AK69" s="43">
        <v>85</v>
      </c>
      <c r="AL69" s="43">
        <v>86.67</v>
      </c>
      <c r="AM69" s="43">
        <v>88.34</v>
      </c>
      <c r="AN69" s="44">
        <v>90.01</v>
      </c>
      <c r="AO69" s="53">
        <v>91.68</v>
      </c>
      <c r="AP69" s="53">
        <v>93.35</v>
      </c>
      <c r="AQ69" s="44">
        <v>95.02</v>
      </c>
      <c r="AR69" s="44">
        <v>96.69</v>
      </c>
      <c r="AS69" s="72">
        <v>98.36</v>
      </c>
      <c r="AT69" s="59">
        <v>100.03</v>
      </c>
      <c r="AU69" s="65">
        <v>101.7</v>
      </c>
      <c r="AV69" s="65">
        <v>103.37</v>
      </c>
      <c r="AW69" s="65">
        <v>105.04</v>
      </c>
      <c r="AX69" s="65">
        <v>106.71</v>
      </c>
      <c r="AY69" s="65">
        <v>108.38</v>
      </c>
      <c r="AZ69" s="65">
        <v>110.05</v>
      </c>
      <c r="BA69" s="24">
        <v>95.09</v>
      </c>
      <c r="BB69" s="24">
        <v>96.76</v>
      </c>
      <c r="BC69" s="24">
        <v>98.43</v>
      </c>
      <c r="BD69" s="24">
        <v>100.1</v>
      </c>
      <c r="BE69" s="24">
        <v>70.03</v>
      </c>
      <c r="BF69" s="24">
        <v>68.36</v>
      </c>
      <c r="BG69" s="24">
        <v>66.69</v>
      </c>
      <c r="BH69" s="24">
        <v>65.02</v>
      </c>
      <c r="BI69" s="24">
        <v>63.35</v>
      </c>
    </row>
    <row r="70" spans="1:61" x14ac:dyDescent="0.45">
      <c r="A70" s="43">
        <v>129.82</v>
      </c>
      <c r="B70" s="43">
        <v>132.22</v>
      </c>
      <c r="C70" s="43">
        <v>134.62</v>
      </c>
      <c r="D70" s="43">
        <v>137.02000000000001</v>
      </c>
      <c r="E70" s="43">
        <v>139.43</v>
      </c>
      <c r="F70" s="43">
        <v>141.83000000000001</v>
      </c>
      <c r="G70" s="43">
        <v>144.22999999999999</v>
      </c>
      <c r="H70" s="43">
        <v>146.63</v>
      </c>
      <c r="I70" s="44">
        <v>149.04</v>
      </c>
      <c r="J70" s="53">
        <v>151.44</v>
      </c>
      <c r="K70" s="53">
        <v>153.84</v>
      </c>
      <c r="L70" s="44">
        <v>156.24</v>
      </c>
      <c r="M70" s="44">
        <v>158.65</v>
      </c>
      <c r="N70" s="44">
        <v>161.05000000000001</v>
      </c>
      <c r="O70" s="59">
        <v>163.44999999999999</v>
      </c>
      <c r="P70" s="65">
        <v>165.85</v>
      </c>
      <c r="Q70" s="65">
        <v>168.26</v>
      </c>
      <c r="R70" s="65">
        <v>170.66</v>
      </c>
      <c r="S70" s="65">
        <v>173.06</v>
      </c>
      <c r="T70" s="65">
        <v>175.46</v>
      </c>
      <c r="U70" s="65">
        <v>177.87</v>
      </c>
      <c r="V70" s="24">
        <v>146.53</v>
      </c>
      <c r="W70" s="24">
        <v>148.93</v>
      </c>
      <c r="X70" s="24">
        <v>151.33000000000001</v>
      </c>
      <c r="Y70" s="24">
        <v>153.74</v>
      </c>
      <c r="Z70" s="24">
        <v>110.49</v>
      </c>
      <c r="AA70" s="24">
        <v>108.09</v>
      </c>
      <c r="AB70" s="24">
        <v>105.69</v>
      </c>
      <c r="AC70" s="24">
        <v>103.29</v>
      </c>
      <c r="AD70" s="24">
        <v>100.88</v>
      </c>
      <c r="AE70" s="5">
        <v>66</v>
      </c>
      <c r="AF70" s="43">
        <v>77.83</v>
      </c>
      <c r="AG70" s="43">
        <v>79.52</v>
      </c>
      <c r="AH70" s="43">
        <v>81.22</v>
      </c>
      <c r="AI70" s="43">
        <v>82.91</v>
      </c>
      <c r="AJ70" s="43">
        <v>84.61</v>
      </c>
      <c r="AK70" s="43">
        <v>86.31</v>
      </c>
      <c r="AL70" s="43">
        <v>88</v>
      </c>
      <c r="AM70" s="43">
        <v>89.7</v>
      </c>
      <c r="AN70" s="44">
        <v>91.4</v>
      </c>
      <c r="AO70" s="53">
        <v>93.09</v>
      </c>
      <c r="AP70" s="53">
        <v>94.79</v>
      </c>
      <c r="AQ70" s="44">
        <v>96.48</v>
      </c>
      <c r="AR70" s="44">
        <v>98.18</v>
      </c>
      <c r="AS70" s="72">
        <v>99.88</v>
      </c>
      <c r="AT70" s="59">
        <v>101.57</v>
      </c>
      <c r="AU70" s="65">
        <v>103.27</v>
      </c>
      <c r="AV70" s="65">
        <v>104.96</v>
      </c>
      <c r="AW70" s="65">
        <v>106.66</v>
      </c>
      <c r="AX70" s="65">
        <v>108.36</v>
      </c>
      <c r="AY70" s="65">
        <v>110.05</v>
      </c>
      <c r="AZ70" s="65">
        <v>111.75</v>
      </c>
      <c r="BA70" s="24">
        <v>96.55</v>
      </c>
      <c r="BB70" s="24">
        <v>98.25</v>
      </c>
      <c r="BC70" s="24">
        <v>99.94</v>
      </c>
      <c r="BD70" s="24">
        <v>101.64</v>
      </c>
      <c r="BE70" s="24">
        <v>71.11</v>
      </c>
      <c r="BF70" s="24">
        <v>69.41</v>
      </c>
      <c r="BG70" s="24">
        <v>67.709999999999994</v>
      </c>
      <c r="BH70" s="24">
        <v>66.02</v>
      </c>
      <c r="BI70" s="24">
        <v>64.319999999999993</v>
      </c>
    </row>
    <row r="71" spans="1:61" x14ac:dyDescent="0.45">
      <c r="A71" s="43">
        <v>131.79</v>
      </c>
      <c r="B71" s="43">
        <v>134.22999999999999</v>
      </c>
      <c r="C71" s="43">
        <v>136.66999999999999</v>
      </c>
      <c r="D71" s="43">
        <v>139.1</v>
      </c>
      <c r="E71" s="43">
        <v>141.54</v>
      </c>
      <c r="F71" s="43">
        <v>143.97999999999999</v>
      </c>
      <c r="G71" s="43">
        <v>146.41999999999999</v>
      </c>
      <c r="H71" s="43">
        <v>148.86000000000001</v>
      </c>
      <c r="I71" s="44">
        <v>151.30000000000001</v>
      </c>
      <c r="J71" s="53">
        <v>153.74</v>
      </c>
      <c r="K71" s="53">
        <v>156.18</v>
      </c>
      <c r="L71" s="44">
        <v>158.61000000000001</v>
      </c>
      <c r="M71" s="44">
        <v>161.05000000000001</v>
      </c>
      <c r="N71" s="44">
        <v>163.49</v>
      </c>
      <c r="O71" s="59">
        <v>165.93</v>
      </c>
      <c r="P71" s="65">
        <v>168.37</v>
      </c>
      <c r="Q71" s="65">
        <v>170.81</v>
      </c>
      <c r="R71" s="65">
        <v>173.25</v>
      </c>
      <c r="S71" s="65">
        <v>175.69</v>
      </c>
      <c r="T71" s="65">
        <v>178.12</v>
      </c>
      <c r="U71" s="65">
        <v>180.56</v>
      </c>
      <c r="V71" s="24">
        <v>148.75</v>
      </c>
      <c r="W71" s="24">
        <v>151.19</v>
      </c>
      <c r="X71" s="24">
        <v>153.63</v>
      </c>
      <c r="Y71" s="24">
        <v>156.07</v>
      </c>
      <c r="Z71" s="24">
        <v>112.17</v>
      </c>
      <c r="AA71" s="24">
        <v>109.73</v>
      </c>
      <c r="AB71" s="24">
        <v>107.29</v>
      </c>
      <c r="AC71" s="24">
        <v>104.85</v>
      </c>
      <c r="AD71" s="24">
        <v>102.41</v>
      </c>
      <c r="AE71" s="5">
        <v>67</v>
      </c>
      <c r="AF71" s="43">
        <v>78.989999999999995</v>
      </c>
      <c r="AG71" s="43">
        <v>80.709999999999994</v>
      </c>
      <c r="AH71" s="43">
        <v>82.43</v>
      </c>
      <c r="AI71" s="43">
        <v>84.15</v>
      </c>
      <c r="AJ71" s="43">
        <v>85.88</v>
      </c>
      <c r="AK71" s="43">
        <v>87.6</v>
      </c>
      <c r="AL71" s="43">
        <v>89.32</v>
      </c>
      <c r="AM71" s="43">
        <v>91.04</v>
      </c>
      <c r="AN71" s="44">
        <v>92.76</v>
      </c>
      <c r="AO71" s="53">
        <v>94.49</v>
      </c>
      <c r="AP71" s="53">
        <v>96.21</v>
      </c>
      <c r="AQ71" s="44">
        <v>97.93</v>
      </c>
      <c r="AR71" s="44">
        <v>99.65</v>
      </c>
      <c r="AS71" s="72">
        <v>101.37</v>
      </c>
      <c r="AT71" s="59">
        <v>103.01</v>
      </c>
      <c r="AU71" s="65">
        <v>104.82</v>
      </c>
      <c r="AV71" s="65">
        <v>106.54</v>
      </c>
      <c r="AW71" s="65">
        <v>108.26</v>
      </c>
      <c r="AX71" s="65">
        <v>109.98</v>
      </c>
      <c r="AY71" s="65">
        <v>111.7</v>
      </c>
      <c r="AZ71" s="65">
        <v>113.43</v>
      </c>
      <c r="BA71" s="24">
        <v>98</v>
      </c>
      <c r="BB71" s="24">
        <v>99.73</v>
      </c>
      <c r="BC71" s="24">
        <v>101.45</v>
      </c>
      <c r="BD71" s="24">
        <v>103.17</v>
      </c>
      <c r="BE71" s="24">
        <v>72.17</v>
      </c>
      <c r="BF71" s="24">
        <v>70.45</v>
      </c>
      <c r="BG71" s="24">
        <v>68.73</v>
      </c>
      <c r="BH71" s="24">
        <v>67.010000000000005</v>
      </c>
      <c r="BI71" s="24">
        <v>35.29</v>
      </c>
    </row>
    <row r="72" spans="1:61" x14ac:dyDescent="0.45">
      <c r="A72" s="43">
        <v>133.69</v>
      </c>
      <c r="B72" s="43">
        <v>136.16999999999999</v>
      </c>
      <c r="C72" s="43">
        <v>138.63999999999999</v>
      </c>
      <c r="D72" s="43">
        <v>141.12</v>
      </c>
      <c r="E72" s="43">
        <v>143.59</v>
      </c>
      <c r="F72" s="43">
        <v>146.07</v>
      </c>
      <c r="G72" s="43">
        <v>148.54</v>
      </c>
      <c r="H72" s="43">
        <v>151.02000000000001</v>
      </c>
      <c r="I72" s="44">
        <v>153.49</v>
      </c>
      <c r="J72" s="53">
        <v>155.97</v>
      </c>
      <c r="K72" s="53">
        <v>158.44</v>
      </c>
      <c r="L72" s="44">
        <v>160.91999999999999</v>
      </c>
      <c r="M72" s="44">
        <v>163.38999999999999</v>
      </c>
      <c r="N72" s="44">
        <v>165.87</v>
      </c>
      <c r="O72" s="59">
        <v>168.34</v>
      </c>
      <c r="P72" s="65">
        <v>170.82</v>
      </c>
      <c r="Q72" s="65">
        <v>173.29</v>
      </c>
      <c r="R72" s="65">
        <v>175.77</v>
      </c>
      <c r="S72" s="65">
        <v>178.25</v>
      </c>
      <c r="T72" s="65">
        <v>180.72</v>
      </c>
      <c r="U72" s="65">
        <v>183.2</v>
      </c>
      <c r="V72" s="24">
        <v>150.93</v>
      </c>
      <c r="W72" s="24">
        <v>153.41</v>
      </c>
      <c r="X72" s="24">
        <v>155.88999999999999</v>
      </c>
      <c r="Y72" s="24">
        <v>158.36000000000001</v>
      </c>
      <c r="Z72" s="24">
        <v>113.81</v>
      </c>
      <c r="AA72" s="24">
        <v>111.33</v>
      </c>
      <c r="AB72" s="24">
        <v>108.86</v>
      </c>
      <c r="AC72" s="24">
        <v>106.38</v>
      </c>
      <c r="AD72" s="24">
        <v>103.91</v>
      </c>
      <c r="AE72" s="5">
        <v>68</v>
      </c>
      <c r="AF72" s="43">
        <v>80.16</v>
      </c>
      <c r="AG72" s="43">
        <v>81.900000000000006</v>
      </c>
      <c r="AH72" s="43">
        <v>83.65</v>
      </c>
      <c r="AI72" s="43">
        <v>85.4</v>
      </c>
      <c r="AJ72" s="43">
        <v>87.15</v>
      </c>
      <c r="AK72" s="43">
        <v>88.89</v>
      </c>
      <c r="AL72" s="43">
        <v>90.64</v>
      </c>
      <c r="AM72" s="43">
        <v>92.39</v>
      </c>
      <c r="AN72" s="44">
        <v>94.14</v>
      </c>
      <c r="AO72" s="53">
        <v>95.88</v>
      </c>
      <c r="AP72" s="53">
        <v>97.63</v>
      </c>
      <c r="AQ72" s="44">
        <v>99.38</v>
      </c>
      <c r="AR72" s="44">
        <v>101.13</v>
      </c>
      <c r="AS72" s="72">
        <v>102.87</v>
      </c>
      <c r="AT72" s="59">
        <v>104.62</v>
      </c>
      <c r="AU72" s="65">
        <v>106.37</v>
      </c>
      <c r="AV72" s="65">
        <v>108.12</v>
      </c>
      <c r="AW72" s="65">
        <v>109.86</v>
      </c>
      <c r="AX72" s="65">
        <v>111.61</v>
      </c>
      <c r="AY72" s="65">
        <v>113.36</v>
      </c>
      <c r="AZ72" s="65">
        <v>115.11</v>
      </c>
      <c r="BA72" s="24">
        <v>99.46</v>
      </c>
      <c r="BB72" s="24">
        <v>101.21</v>
      </c>
      <c r="BC72" s="24">
        <v>102.95</v>
      </c>
      <c r="BD72" s="24">
        <v>104.7</v>
      </c>
      <c r="BE72" s="24">
        <v>73.239999999999995</v>
      </c>
      <c r="BF72" s="24">
        <v>71.5</v>
      </c>
      <c r="BG72" s="24">
        <v>69.75</v>
      </c>
      <c r="BH72" s="24">
        <v>68</v>
      </c>
      <c r="BI72" s="24">
        <v>66.25</v>
      </c>
    </row>
    <row r="73" spans="1:61" x14ac:dyDescent="0.45">
      <c r="A73" s="43">
        <v>135.69</v>
      </c>
      <c r="B73" s="43">
        <v>138.19999999999999</v>
      </c>
      <c r="C73" s="43">
        <v>140.71</v>
      </c>
      <c r="D73" s="43">
        <v>143.22</v>
      </c>
      <c r="E73" s="43">
        <v>145.74</v>
      </c>
      <c r="F73" s="43">
        <v>148.25</v>
      </c>
      <c r="G73" s="43">
        <v>150.76</v>
      </c>
      <c r="H73" s="43">
        <v>153.27000000000001</v>
      </c>
      <c r="I73" s="44">
        <v>155.78</v>
      </c>
      <c r="J73" s="53">
        <v>158.29</v>
      </c>
      <c r="K73" s="53">
        <v>160.81</v>
      </c>
      <c r="L73" s="44">
        <v>163.32</v>
      </c>
      <c r="M73" s="44">
        <v>165.83</v>
      </c>
      <c r="N73" s="44">
        <v>168.34</v>
      </c>
      <c r="O73" s="59">
        <v>170.85</v>
      </c>
      <c r="P73" s="65">
        <v>173.36</v>
      </c>
      <c r="Q73" s="65">
        <v>175.87</v>
      </c>
      <c r="R73" s="65">
        <v>178.39</v>
      </c>
      <c r="S73" s="65">
        <v>180.9</v>
      </c>
      <c r="T73" s="65">
        <v>183.41</v>
      </c>
      <c r="U73" s="65">
        <v>185.92</v>
      </c>
      <c r="V73" s="24">
        <v>153.16999999999999</v>
      </c>
      <c r="W73" s="24">
        <v>155.68</v>
      </c>
      <c r="X73" s="24">
        <v>158.19999999999999</v>
      </c>
      <c r="Y73" s="24">
        <v>160.71</v>
      </c>
      <c r="Z73" s="24">
        <v>115.5</v>
      </c>
      <c r="AA73" s="24">
        <v>112.99</v>
      </c>
      <c r="AB73" s="24">
        <v>110.48</v>
      </c>
      <c r="AC73" s="24">
        <v>107.96</v>
      </c>
      <c r="AD73" s="24">
        <v>105.45</v>
      </c>
      <c r="AE73" s="5">
        <v>69</v>
      </c>
      <c r="AF73" s="43">
        <v>81.319999999999993</v>
      </c>
      <c r="AG73" s="43">
        <v>83.1</v>
      </c>
      <c r="AH73" s="43">
        <v>84.87</v>
      </c>
      <c r="AI73" s="43">
        <v>86.64</v>
      </c>
      <c r="AJ73" s="43">
        <v>88.42</v>
      </c>
      <c r="AK73" s="43">
        <v>90.19</v>
      </c>
      <c r="AL73" s="43">
        <v>91.96</v>
      </c>
      <c r="AM73" s="43">
        <v>93.74</v>
      </c>
      <c r="AN73" s="44">
        <v>95.51</v>
      </c>
      <c r="AO73" s="53">
        <v>97.28</v>
      </c>
      <c r="AP73" s="53">
        <v>99.06</v>
      </c>
      <c r="AQ73" s="44">
        <v>100.83</v>
      </c>
      <c r="AR73" s="44">
        <v>102.6</v>
      </c>
      <c r="AS73" s="72">
        <v>104.38</v>
      </c>
      <c r="AT73" s="59">
        <v>106.15</v>
      </c>
      <c r="AU73" s="65">
        <v>107.92</v>
      </c>
      <c r="AV73" s="65">
        <v>109.7</v>
      </c>
      <c r="AW73" s="65">
        <v>111.47</v>
      </c>
      <c r="AX73" s="65">
        <v>113.24</v>
      </c>
      <c r="AY73" s="65">
        <v>115.02</v>
      </c>
      <c r="AZ73" s="65">
        <v>116.79</v>
      </c>
      <c r="BA73" s="24">
        <v>100.91</v>
      </c>
      <c r="BB73" s="24">
        <v>102.69</v>
      </c>
      <c r="BC73" s="24">
        <v>104.46</v>
      </c>
      <c r="BD73" s="24">
        <v>106.23</v>
      </c>
      <c r="BE73" s="24">
        <v>74.319999999999993</v>
      </c>
      <c r="BF73" s="24">
        <v>72.540000000000006</v>
      </c>
      <c r="BG73" s="24">
        <v>70.77</v>
      </c>
      <c r="BH73" s="24">
        <v>69</v>
      </c>
      <c r="BI73" s="24">
        <v>67.22</v>
      </c>
    </row>
    <row r="74" spans="1:61" x14ac:dyDescent="0.45">
      <c r="A74" s="43">
        <v>137.62</v>
      </c>
      <c r="B74" s="43">
        <v>140.16</v>
      </c>
      <c r="C74" s="43">
        <v>142.71</v>
      </c>
      <c r="D74" s="43">
        <v>145.26</v>
      </c>
      <c r="E74" s="43">
        <v>147.81</v>
      </c>
      <c r="F74" s="43">
        <v>150.36000000000001</v>
      </c>
      <c r="G74" s="43">
        <v>152.9</v>
      </c>
      <c r="H74" s="43">
        <v>155.44999999999999</v>
      </c>
      <c r="I74" s="44">
        <v>158</v>
      </c>
      <c r="J74" s="53">
        <v>160.55000000000001</v>
      </c>
      <c r="K74" s="53">
        <v>163.1</v>
      </c>
      <c r="L74" s="44">
        <v>165.64</v>
      </c>
      <c r="M74" s="44">
        <v>168.19</v>
      </c>
      <c r="N74" s="44">
        <v>170.74</v>
      </c>
      <c r="O74" s="59">
        <v>173.29</v>
      </c>
      <c r="P74" s="65">
        <v>175.84</v>
      </c>
      <c r="Q74" s="65">
        <v>178.38</v>
      </c>
      <c r="R74" s="65">
        <v>180.93</v>
      </c>
      <c r="S74" s="65">
        <v>183.48</v>
      </c>
      <c r="T74" s="65">
        <v>186.03</v>
      </c>
      <c r="U74" s="65">
        <v>188.58</v>
      </c>
      <c r="V74" s="24">
        <v>155.37</v>
      </c>
      <c r="W74" s="24">
        <v>157.91999999999999</v>
      </c>
      <c r="X74" s="24">
        <v>160.47</v>
      </c>
      <c r="Y74" s="24">
        <v>163.01</v>
      </c>
      <c r="Z74" s="24">
        <v>117.15</v>
      </c>
      <c r="AA74" s="24">
        <v>114.6</v>
      </c>
      <c r="AB74" s="24">
        <v>112.05</v>
      </c>
      <c r="AC74" s="24">
        <v>109.51</v>
      </c>
      <c r="AD74" s="24">
        <v>106.96</v>
      </c>
      <c r="AE74" s="5">
        <v>70</v>
      </c>
      <c r="AF74" s="43">
        <v>82.5</v>
      </c>
      <c r="AG74" s="43">
        <v>84.3</v>
      </c>
      <c r="AH74" s="43">
        <v>86.09</v>
      </c>
      <c r="AI74" s="43">
        <v>87.89</v>
      </c>
      <c r="AJ74" s="43">
        <v>89.69</v>
      </c>
      <c r="AK74" s="43">
        <v>91.49</v>
      </c>
      <c r="AL74" s="43">
        <v>93.29</v>
      </c>
      <c r="AM74" s="43">
        <v>95.09</v>
      </c>
      <c r="AN74" s="44">
        <v>96.89</v>
      </c>
      <c r="AO74" s="53">
        <v>98.69</v>
      </c>
      <c r="AP74" s="53">
        <v>100.49</v>
      </c>
      <c r="AQ74" s="44">
        <v>102.29</v>
      </c>
      <c r="AR74" s="44">
        <v>104.08</v>
      </c>
      <c r="AS74" s="72">
        <v>105.88</v>
      </c>
      <c r="AT74" s="59">
        <v>107.68</v>
      </c>
      <c r="AU74" s="65">
        <v>109.48</v>
      </c>
      <c r="AV74" s="65">
        <v>111.28</v>
      </c>
      <c r="AW74" s="65">
        <v>113.08</v>
      </c>
      <c r="AX74" s="65">
        <v>114.88</v>
      </c>
      <c r="AY74" s="65">
        <v>116.68</v>
      </c>
      <c r="AZ74" s="65">
        <v>118.48</v>
      </c>
      <c r="BA74" s="24">
        <v>102.37</v>
      </c>
      <c r="BB74" s="24">
        <v>104.17</v>
      </c>
      <c r="BC74" s="24">
        <v>105.97</v>
      </c>
      <c r="BD74" s="24">
        <v>107.77</v>
      </c>
      <c r="BE74" s="24">
        <v>75.39</v>
      </c>
      <c r="BF74" s="24">
        <v>73.59</v>
      </c>
      <c r="BG74" s="24">
        <v>71.790000000000006</v>
      </c>
      <c r="BH74" s="24">
        <v>69.989999999999995</v>
      </c>
      <c r="BI74" s="24">
        <v>68.19</v>
      </c>
    </row>
    <row r="75" spans="1:61" x14ac:dyDescent="0.45">
      <c r="A75" s="43">
        <v>139.56</v>
      </c>
      <c r="B75" s="43">
        <v>142.13999999999999</v>
      </c>
      <c r="C75" s="43">
        <v>144.72</v>
      </c>
      <c r="D75" s="43">
        <v>147.31</v>
      </c>
      <c r="E75" s="43">
        <v>149.88999999999999</v>
      </c>
      <c r="F75" s="43">
        <v>152.47999999999999</v>
      </c>
      <c r="G75" s="43">
        <v>155.06</v>
      </c>
      <c r="H75" s="43">
        <v>157.65</v>
      </c>
      <c r="I75" s="44">
        <v>160.22999999999999</v>
      </c>
      <c r="J75" s="53">
        <v>162.82</v>
      </c>
      <c r="K75" s="53">
        <v>165.4</v>
      </c>
      <c r="L75" s="44">
        <v>167.98</v>
      </c>
      <c r="M75" s="44">
        <v>170.57</v>
      </c>
      <c r="N75" s="44">
        <v>173.15</v>
      </c>
      <c r="O75" s="59">
        <v>175.74</v>
      </c>
      <c r="P75" s="65">
        <v>178.32</v>
      </c>
      <c r="Q75" s="65">
        <v>180.91</v>
      </c>
      <c r="R75" s="65">
        <v>183.49</v>
      </c>
      <c r="S75" s="65">
        <v>186.07</v>
      </c>
      <c r="T75" s="65">
        <v>188.66</v>
      </c>
      <c r="U75" s="65">
        <v>191.24</v>
      </c>
      <c r="V75" s="24">
        <v>157.57</v>
      </c>
      <c r="W75" s="24">
        <v>160.16</v>
      </c>
      <c r="X75" s="24">
        <v>162.74</v>
      </c>
      <c r="Y75" s="24">
        <v>165.33</v>
      </c>
      <c r="Z75" s="24">
        <v>118.81</v>
      </c>
      <c r="AA75" s="24">
        <v>116.22</v>
      </c>
      <c r="AB75" s="24">
        <v>113.64</v>
      </c>
      <c r="AC75" s="24">
        <v>111.05</v>
      </c>
      <c r="AD75" s="24">
        <v>108.47</v>
      </c>
      <c r="AE75" s="5">
        <v>71</v>
      </c>
      <c r="AF75" s="43">
        <v>83.67</v>
      </c>
      <c r="AG75" s="43">
        <v>85.5</v>
      </c>
      <c r="AH75" s="43">
        <v>87.32</v>
      </c>
      <c r="AI75" s="43">
        <v>89.15</v>
      </c>
      <c r="AJ75" s="43">
        <v>90.97</v>
      </c>
      <c r="AK75" s="43">
        <v>92.8</v>
      </c>
      <c r="AL75" s="43">
        <v>94.62</v>
      </c>
      <c r="AM75" s="43">
        <v>96.44</v>
      </c>
      <c r="AN75" s="44">
        <v>98.27</v>
      </c>
      <c r="AO75" s="53">
        <v>100.09</v>
      </c>
      <c r="AP75" s="53">
        <v>101.92</v>
      </c>
      <c r="AQ75" s="44">
        <v>103.74</v>
      </c>
      <c r="AR75" s="44">
        <v>105.57</v>
      </c>
      <c r="AS75" s="72">
        <v>107.39</v>
      </c>
      <c r="AT75" s="59">
        <v>109.22</v>
      </c>
      <c r="AU75" s="65">
        <v>111.04</v>
      </c>
      <c r="AV75" s="65">
        <v>112.87</v>
      </c>
      <c r="AW75" s="65">
        <v>114.69</v>
      </c>
      <c r="AX75" s="65">
        <v>116.52</v>
      </c>
      <c r="AY75" s="65">
        <v>118.34</v>
      </c>
      <c r="AZ75" s="65">
        <v>120.17</v>
      </c>
      <c r="BA75" s="24">
        <v>103.83</v>
      </c>
      <c r="BB75" s="24">
        <v>105.66</v>
      </c>
      <c r="BC75" s="24">
        <v>107.48</v>
      </c>
      <c r="BD75" s="24">
        <v>109.31</v>
      </c>
      <c r="BE75" s="24">
        <v>76.459999999999994</v>
      </c>
      <c r="BF75" s="24">
        <v>74.94</v>
      </c>
      <c r="BG75" s="24">
        <v>72.81</v>
      </c>
      <c r="BH75" s="24">
        <v>70.989999999999995</v>
      </c>
      <c r="BI75" s="24">
        <v>69.16</v>
      </c>
    </row>
    <row r="76" spans="1:61" x14ac:dyDescent="0.45">
      <c r="A76" s="43">
        <v>141.51</v>
      </c>
      <c r="B76" s="43">
        <v>144.13</v>
      </c>
      <c r="C76" s="43">
        <v>146.75</v>
      </c>
      <c r="D76" s="43">
        <v>149.37</v>
      </c>
      <c r="E76" s="43">
        <v>151.99</v>
      </c>
      <c r="F76" s="43">
        <v>154.61000000000001</v>
      </c>
      <c r="G76" s="43">
        <v>157.22999999999999</v>
      </c>
      <c r="H76" s="43">
        <v>159.85</v>
      </c>
      <c r="I76" s="44">
        <v>162.47</v>
      </c>
      <c r="J76" s="53">
        <v>165.09</v>
      </c>
      <c r="K76" s="53">
        <v>167.71</v>
      </c>
      <c r="L76" s="44">
        <v>170.33</v>
      </c>
      <c r="M76" s="44">
        <v>172.96</v>
      </c>
      <c r="N76" s="44">
        <v>175.58</v>
      </c>
      <c r="O76" s="59">
        <v>178.2</v>
      </c>
      <c r="P76" s="65">
        <v>180.82</v>
      </c>
      <c r="Q76" s="65">
        <v>183.44</v>
      </c>
      <c r="R76" s="65">
        <v>186.06</v>
      </c>
      <c r="S76" s="65">
        <v>188.68</v>
      </c>
      <c r="T76" s="65">
        <v>191.3</v>
      </c>
      <c r="U76" s="65">
        <v>193.92</v>
      </c>
      <c r="V76" s="24">
        <v>159.78</v>
      </c>
      <c r="W76" s="24">
        <v>162.4</v>
      </c>
      <c r="X76" s="24">
        <v>165.03</v>
      </c>
      <c r="Y76" s="24">
        <v>167.65</v>
      </c>
      <c r="Z76" s="24">
        <v>120.47</v>
      </c>
      <c r="AA76" s="24">
        <v>117.85</v>
      </c>
      <c r="AB76" s="24">
        <v>115.23</v>
      </c>
      <c r="AC76" s="24">
        <v>112.61</v>
      </c>
      <c r="AD76" s="24">
        <v>109.99</v>
      </c>
      <c r="AE76" s="5">
        <v>72</v>
      </c>
      <c r="AF76" s="43">
        <v>84.85</v>
      </c>
      <c r="AG76" s="43">
        <v>86.7</v>
      </c>
      <c r="AH76" s="43">
        <v>88.55</v>
      </c>
      <c r="AI76" s="43">
        <v>90.4</v>
      </c>
      <c r="AJ76" s="43">
        <v>92.25</v>
      </c>
      <c r="AK76" s="43">
        <v>94.1</v>
      </c>
      <c r="AL76" s="43">
        <v>95.95</v>
      </c>
      <c r="AM76" s="43">
        <v>97.8</v>
      </c>
      <c r="AN76" s="44">
        <v>99.65</v>
      </c>
      <c r="AO76" s="53">
        <v>101.5</v>
      </c>
      <c r="AP76" s="53">
        <v>103.35</v>
      </c>
      <c r="AQ76" s="44">
        <v>105.21</v>
      </c>
      <c r="AR76" s="44">
        <v>107.06</v>
      </c>
      <c r="AS76" s="72">
        <v>108.91</v>
      </c>
      <c r="AT76" s="59">
        <v>110.76</v>
      </c>
      <c r="AU76" s="65">
        <v>112.61</v>
      </c>
      <c r="AV76" s="65">
        <v>114.46</v>
      </c>
      <c r="AW76" s="65">
        <v>116.31</v>
      </c>
      <c r="AX76" s="65">
        <v>118.16</v>
      </c>
      <c r="AY76" s="65">
        <v>120.01</v>
      </c>
      <c r="AZ76" s="65">
        <v>121.86</v>
      </c>
      <c r="BA76" s="24">
        <v>105.3</v>
      </c>
      <c r="BB76" s="24">
        <v>107.15</v>
      </c>
      <c r="BC76" s="24">
        <v>109</v>
      </c>
      <c r="BD76" s="24">
        <v>110.85</v>
      </c>
      <c r="BE76" s="24">
        <v>77.540000000000006</v>
      </c>
      <c r="BF76" s="24">
        <v>75.69</v>
      </c>
      <c r="BG76" s="24">
        <v>73.84</v>
      </c>
      <c r="BH76" s="24">
        <v>71.989999999999995</v>
      </c>
      <c r="BI76" s="24">
        <v>70.14</v>
      </c>
    </row>
    <row r="77" spans="1:61" x14ac:dyDescent="0.45">
      <c r="A77" s="43">
        <v>143.47</v>
      </c>
      <c r="B77" s="43">
        <v>146.13</v>
      </c>
      <c r="C77" s="43">
        <v>148.78</v>
      </c>
      <c r="D77" s="43">
        <v>151.44</v>
      </c>
      <c r="E77" s="43">
        <v>154.1</v>
      </c>
      <c r="F77" s="43">
        <v>156.75</v>
      </c>
      <c r="G77" s="43">
        <v>159.41</v>
      </c>
      <c r="H77" s="43">
        <v>162.07</v>
      </c>
      <c r="I77" s="44">
        <v>164.73</v>
      </c>
      <c r="J77" s="53">
        <v>167.38</v>
      </c>
      <c r="K77" s="53">
        <v>170.04</v>
      </c>
      <c r="L77" s="44">
        <v>172.7</v>
      </c>
      <c r="M77" s="44">
        <v>175.36</v>
      </c>
      <c r="N77" s="44">
        <v>178.01</v>
      </c>
      <c r="O77" s="59">
        <v>180.67</v>
      </c>
      <c r="P77" s="65">
        <v>183.33</v>
      </c>
      <c r="Q77" s="65">
        <v>185.98</v>
      </c>
      <c r="R77" s="65">
        <v>188.64</v>
      </c>
      <c r="S77" s="65">
        <v>191.3</v>
      </c>
      <c r="T77" s="65">
        <v>193.96</v>
      </c>
      <c r="U77" s="65">
        <v>196.61</v>
      </c>
      <c r="V77" s="24">
        <v>162</v>
      </c>
      <c r="W77" s="24">
        <v>164.66</v>
      </c>
      <c r="X77" s="24">
        <v>167.32</v>
      </c>
      <c r="Y77" s="24">
        <v>169.97</v>
      </c>
      <c r="Z77" s="24">
        <v>122.14</v>
      </c>
      <c r="AA77" s="24">
        <v>119.49</v>
      </c>
      <c r="AB77" s="24">
        <v>116.83</v>
      </c>
      <c r="AC77" s="24">
        <v>114.17</v>
      </c>
      <c r="AD77" s="24">
        <v>111.52</v>
      </c>
      <c r="AE77" s="5">
        <v>73</v>
      </c>
      <c r="AF77" s="43">
        <v>86.01</v>
      </c>
      <c r="AG77" s="43">
        <v>87.88</v>
      </c>
      <c r="AH77" s="43">
        <v>89.76</v>
      </c>
      <c r="AI77" s="43">
        <v>91.64</v>
      </c>
      <c r="AJ77" s="43">
        <v>93.51</v>
      </c>
      <c r="AK77" s="43">
        <v>95.39</v>
      </c>
      <c r="AL77" s="43">
        <v>97.26</v>
      </c>
      <c r="AM77" s="43">
        <v>99.14</v>
      </c>
      <c r="AN77" s="44">
        <v>101.02</v>
      </c>
      <c r="AO77" s="53">
        <v>102.89</v>
      </c>
      <c r="AP77" s="53">
        <v>104.77</v>
      </c>
      <c r="AQ77" s="44">
        <v>106.64</v>
      </c>
      <c r="AR77" s="44">
        <v>108.52</v>
      </c>
      <c r="AS77" s="72">
        <v>110.4</v>
      </c>
      <c r="AT77" s="59">
        <v>112.27</v>
      </c>
      <c r="AU77" s="65">
        <v>114.15</v>
      </c>
      <c r="AV77" s="65">
        <v>116.03</v>
      </c>
      <c r="AW77" s="65">
        <v>117.9</v>
      </c>
      <c r="AX77" s="65">
        <v>119.78</v>
      </c>
      <c r="AY77" s="65">
        <v>121.65</v>
      </c>
      <c r="AZ77" s="65">
        <v>123.53</v>
      </c>
      <c r="BA77" s="24">
        <v>106.75</v>
      </c>
      <c r="BB77" s="24">
        <v>108.62</v>
      </c>
      <c r="BC77" s="24">
        <v>110.5</v>
      </c>
      <c r="BD77" s="24">
        <v>112.37</v>
      </c>
      <c r="BE77" s="24">
        <v>78.599999999999994</v>
      </c>
      <c r="BF77" s="24">
        <v>76.73</v>
      </c>
      <c r="BG77" s="24">
        <v>74.849999999999994</v>
      </c>
      <c r="BH77" s="24">
        <v>72.98</v>
      </c>
      <c r="BI77" s="24">
        <v>71.099999999999994</v>
      </c>
    </row>
    <row r="78" spans="1:61" x14ac:dyDescent="0.45">
      <c r="A78" s="43">
        <v>145.44</v>
      </c>
      <c r="B78" s="43">
        <v>148.13999999999999</v>
      </c>
      <c r="C78" s="43">
        <v>150.83000000000001</v>
      </c>
      <c r="D78" s="43">
        <v>153.53</v>
      </c>
      <c r="E78" s="43">
        <v>156.22</v>
      </c>
      <c r="F78" s="43">
        <v>158.91</v>
      </c>
      <c r="G78" s="43">
        <v>161.61000000000001</v>
      </c>
      <c r="H78" s="43">
        <v>164.3</v>
      </c>
      <c r="I78" s="44">
        <v>166.99</v>
      </c>
      <c r="J78" s="53">
        <v>169.69</v>
      </c>
      <c r="K78" s="53">
        <v>172.38</v>
      </c>
      <c r="L78" s="44">
        <v>175.07</v>
      </c>
      <c r="M78" s="44">
        <v>177.77</v>
      </c>
      <c r="N78" s="44">
        <v>180.46</v>
      </c>
      <c r="O78" s="59">
        <v>183.15</v>
      </c>
      <c r="P78" s="65">
        <v>185.85</v>
      </c>
      <c r="Q78" s="65">
        <v>188.54</v>
      </c>
      <c r="R78" s="65">
        <v>191.24</v>
      </c>
      <c r="S78" s="65">
        <v>193.93</v>
      </c>
      <c r="T78" s="65">
        <v>196.62</v>
      </c>
      <c r="U78" s="65">
        <v>199.32</v>
      </c>
      <c r="V78" s="24">
        <v>164.23</v>
      </c>
      <c r="W78" s="24">
        <v>166.92</v>
      </c>
      <c r="X78" s="24">
        <v>169.61</v>
      </c>
      <c r="Y78" s="24">
        <v>172.31</v>
      </c>
      <c r="Z78" s="24">
        <v>123.82</v>
      </c>
      <c r="AA78" s="24">
        <v>121.13</v>
      </c>
      <c r="AB78" s="24">
        <v>118.44</v>
      </c>
      <c r="AC78" s="24">
        <v>115.74</v>
      </c>
      <c r="AD78" s="24">
        <v>113.05</v>
      </c>
      <c r="AE78" s="5">
        <v>74</v>
      </c>
      <c r="AF78" s="43">
        <v>87.19</v>
      </c>
      <c r="AG78" s="43">
        <v>89.09</v>
      </c>
      <c r="AH78" s="43">
        <v>91</v>
      </c>
      <c r="AI78" s="43">
        <v>92.9</v>
      </c>
      <c r="AJ78" s="43">
        <v>94.8</v>
      </c>
      <c r="AK78" s="43">
        <v>96.7</v>
      </c>
      <c r="AL78" s="43">
        <v>98.6</v>
      </c>
      <c r="AM78" s="43">
        <v>100.51</v>
      </c>
      <c r="AN78" s="44">
        <v>102.41</v>
      </c>
      <c r="AO78" s="53">
        <v>104.31</v>
      </c>
      <c r="AP78" s="53">
        <v>106.21</v>
      </c>
      <c r="AQ78" s="44">
        <v>108.11</v>
      </c>
      <c r="AR78" s="44">
        <v>110.01</v>
      </c>
      <c r="AS78" s="72">
        <v>111.92</v>
      </c>
      <c r="AT78" s="59">
        <v>113.82</v>
      </c>
      <c r="AU78" s="65">
        <v>115.72</v>
      </c>
      <c r="AV78" s="65">
        <v>117.62</v>
      </c>
      <c r="AW78" s="65">
        <v>119.52</v>
      </c>
      <c r="AX78" s="65">
        <v>121.43</v>
      </c>
      <c r="AY78" s="65">
        <v>123.33</v>
      </c>
      <c r="AZ78" s="65">
        <v>125.23</v>
      </c>
      <c r="BA78" s="24">
        <v>108.21</v>
      </c>
      <c r="BB78" s="24">
        <v>110.11</v>
      </c>
      <c r="BC78" s="24">
        <v>112.02</v>
      </c>
      <c r="BD78" s="24">
        <v>113.92</v>
      </c>
      <c r="BE78" s="24">
        <v>79.69</v>
      </c>
      <c r="BF78" s="24">
        <v>77.78</v>
      </c>
      <c r="BG78" s="24">
        <v>75.88</v>
      </c>
      <c r="BH78" s="24">
        <v>73.98</v>
      </c>
      <c r="BI78" s="24">
        <v>72.08</v>
      </c>
    </row>
    <row r="79" spans="1:61" x14ac:dyDescent="0.45">
      <c r="A79" s="43">
        <v>147.34</v>
      </c>
      <c r="B79" s="43">
        <v>150.07</v>
      </c>
      <c r="C79" s="43">
        <v>152.80000000000001</v>
      </c>
      <c r="D79" s="43">
        <v>155.53</v>
      </c>
      <c r="E79" s="43">
        <v>158.26</v>
      </c>
      <c r="F79" s="43">
        <v>160.99</v>
      </c>
      <c r="G79" s="43">
        <v>163.72</v>
      </c>
      <c r="H79" s="43">
        <v>166.45</v>
      </c>
      <c r="I79" s="44">
        <v>169.18</v>
      </c>
      <c r="J79" s="53">
        <v>171.91</v>
      </c>
      <c r="K79" s="53">
        <v>174.64</v>
      </c>
      <c r="L79" s="44">
        <v>177.37</v>
      </c>
      <c r="M79" s="44">
        <v>180.1</v>
      </c>
      <c r="N79" s="44">
        <v>182.83</v>
      </c>
      <c r="O79" s="59">
        <v>185.56</v>
      </c>
      <c r="P79" s="65">
        <v>188.29</v>
      </c>
      <c r="Q79" s="65">
        <v>191.02</v>
      </c>
      <c r="R79" s="65">
        <v>193.75</v>
      </c>
      <c r="S79" s="65">
        <v>196.48</v>
      </c>
      <c r="T79" s="65">
        <v>199.21</v>
      </c>
      <c r="U79" s="65">
        <v>201.94</v>
      </c>
      <c r="V79" s="24">
        <v>166.4</v>
      </c>
      <c r="W79" s="24">
        <v>169.13</v>
      </c>
      <c r="X79" s="24">
        <v>171.86</v>
      </c>
      <c r="Y79" s="24">
        <v>174.59</v>
      </c>
      <c r="Z79" s="24">
        <v>125.45</v>
      </c>
      <c r="AA79" s="24">
        <v>122.72</v>
      </c>
      <c r="AB79" s="24">
        <v>119.99</v>
      </c>
      <c r="AC79" s="24">
        <v>117.26</v>
      </c>
      <c r="AD79" s="24">
        <v>114.53</v>
      </c>
      <c r="AE79" s="5">
        <v>75</v>
      </c>
      <c r="AF79" s="43">
        <v>88.35</v>
      </c>
      <c r="AG79" s="43">
        <v>90.8</v>
      </c>
      <c r="AH79" s="43">
        <v>92.21</v>
      </c>
      <c r="AI79" s="43">
        <v>94.14</v>
      </c>
      <c r="AJ79" s="43">
        <v>96.06</v>
      </c>
      <c r="AK79" s="43">
        <v>97.99</v>
      </c>
      <c r="AL79" s="43">
        <v>99.92</v>
      </c>
      <c r="AM79" s="43">
        <v>101.85</v>
      </c>
      <c r="AN79" s="44">
        <v>103.77</v>
      </c>
      <c r="AO79" s="53">
        <v>105.7</v>
      </c>
      <c r="AP79" s="53">
        <v>107.63</v>
      </c>
      <c r="AQ79" s="44">
        <v>109.56</v>
      </c>
      <c r="AR79" s="44">
        <v>111.48</v>
      </c>
      <c r="AS79" s="72">
        <v>113.41</v>
      </c>
      <c r="AT79" s="59">
        <v>115.34</v>
      </c>
      <c r="AU79" s="65">
        <v>117.27</v>
      </c>
      <c r="AV79" s="65">
        <v>119.19</v>
      </c>
      <c r="AW79" s="65">
        <v>121.12</v>
      </c>
      <c r="AX79" s="65">
        <v>123.05</v>
      </c>
      <c r="AY79" s="65">
        <v>124.98</v>
      </c>
      <c r="AZ79" s="65">
        <v>126.9</v>
      </c>
      <c r="BA79" s="24">
        <v>109.66</v>
      </c>
      <c r="BB79" s="24">
        <v>111.59</v>
      </c>
      <c r="BC79" s="24">
        <v>113.52</v>
      </c>
      <c r="BD79" s="24">
        <v>115.45</v>
      </c>
      <c r="BE79" s="24">
        <v>80.75</v>
      </c>
      <c r="BF79" s="24">
        <v>78.819999999999993</v>
      </c>
      <c r="BG79" s="24">
        <v>76.900000000000006</v>
      </c>
      <c r="BH79" s="24">
        <v>74.97</v>
      </c>
      <c r="BI79" s="24">
        <v>73.040000000000006</v>
      </c>
    </row>
    <row r="80" spans="1:61" x14ac:dyDescent="0.45">
      <c r="A80" s="43">
        <v>149.34</v>
      </c>
      <c r="B80" s="43">
        <v>152.1</v>
      </c>
      <c r="C80" s="43">
        <v>154.87</v>
      </c>
      <c r="D80" s="43">
        <v>157.63999999999999</v>
      </c>
      <c r="E80" s="43">
        <v>160.4</v>
      </c>
      <c r="F80" s="43">
        <v>163.16999999999999</v>
      </c>
      <c r="G80" s="43">
        <v>165.93</v>
      </c>
      <c r="H80" s="43">
        <v>168.7</v>
      </c>
      <c r="I80" s="44">
        <v>171.47</v>
      </c>
      <c r="J80" s="53">
        <v>174.23</v>
      </c>
      <c r="K80" s="53">
        <v>177</v>
      </c>
      <c r="L80" s="44">
        <v>179.77</v>
      </c>
      <c r="M80" s="44">
        <v>182.53</v>
      </c>
      <c r="N80" s="44">
        <v>185.3</v>
      </c>
      <c r="O80" s="59">
        <v>188.07</v>
      </c>
      <c r="P80" s="65">
        <v>190.83</v>
      </c>
      <c r="Q80" s="65">
        <v>193.6</v>
      </c>
      <c r="R80" s="65">
        <v>196.36</v>
      </c>
      <c r="S80" s="65">
        <v>199.13</v>
      </c>
      <c r="T80" s="65">
        <v>201.9</v>
      </c>
      <c r="U80" s="65">
        <v>204.66</v>
      </c>
      <c r="V80" s="24">
        <v>168.64</v>
      </c>
      <c r="W80" s="24">
        <v>171.41</v>
      </c>
      <c r="X80" s="24">
        <v>174.18</v>
      </c>
      <c r="Y80" s="24">
        <v>176.94</v>
      </c>
      <c r="Z80" s="24">
        <v>127.15</v>
      </c>
      <c r="AA80" s="24">
        <v>124.38</v>
      </c>
      <c r="AB80" s="24">
        <v>121.61</v>
      </c>
      <c r="AC80" s="24">
        <v>118.85</v>
      </c>
      <c r="AD80" s="24">
        <v>116.08</v>
      </c>
      <c r="AE80" s="5">
        <v>76</v>
      </c>
      <c r="AF80" s="43">
        <v>89.52</v>
      </c>
      <c r="AG80" s="43">
        <v>91.47</v>
      </c>
      <c r="AH80" s="43">
        <v>93.43</v>
      </c>
      <c r="AI80" s="43">
        <v>95.38</v>
      </c>
      <c r="AJ80" s="43">
        <v>97.33</v>
      </c>
      <c r="AK80" s="43">
        <v>99.29</v>
      </c>
      <c r="AL80" s="43">
        <v>101.24</v>
      </c>
      <c r="AM80" s="43">
        <v>103.19</v>
      </c>
      <c r="AN80" s="44">
        <v>105.15</v>
      </c>
      <c r="AO80" s="53">
        <v>107.1</v>
      </c>
      <c r="AP80" s="53">
        <v>109.05</v>
      </c>
      <c r="AQ80" s="44">
        <v>111</v>
      </c>
      <c r="AR80" s="44">
        <v>112.96</v>
      </c>
      <c r="AS80" s="72">
        <v>114.91</v>
      </c>
      <c r="AT80" s="59">
        <v>116.86</v>
      </c>
      <c r="AU80" s="65">
        <v>118.82</v>
      </c>
      <c r="AV80" s="65">
        <v>120.77</v>
      </c>
      <c r="AW80" s="65">
        <v>122.72</v>
      </c>
      <c r="AX80" s="65">
        <v>124.68</v>
      </c>
      <c r="AY80" s="65">
        <v>126.63</v>
      </c>
      <c r="AZ80" s="65">
        <v>128.58000000000001</v>
      </c>
      <c r="BA80" s="24">
        <v>111.12</v>
      </c>
      <c r="BB80" s="24">
        <v>113.07</v>
      </c>
      <c r="BC80" s="24">
        <v>115.02</v>
      </c>
      <c r="BD80" s="24">
        <v>116.98</v>
      </c>
      <c r="BE80" s="24">
        <v>81.819999999999993</v>
      </c>
      <c r="BF80" s="24">
        <v>79.87</v>
      </c>
      <c r="BG80" s="24">
        <v>77.91</v>
      </c>
      <c r="BH80" s="24">
        <v>75.959999999999994</v>
      </c>
      <c r="BI80" s="24">
        <v>74.010000000000005</v>
      </c>
    </row>
    <row r="81" spans="1:61" x14ac:dyDescent="0.45">
      <c r="A81" s="43">
        <v>151.25</v>
      </c>
      <c r="B81" s="43">
        <v>154.05000000000001</v>
      </c>
      <c r="C81" s="43">
        <v>156.85</v>
      </c>
      <c r="D81" s="43">
        <v>159.66</v>
      </c>
      <c r="E81" s="43">
        <v>162.46</v>
      </c>
      <c r="F81" s="43">
        <v>165.26</v>
      </c>
      <c r="G81" s="43">
        <v>168.06</v>
      </c>
      <c r="H81" s="43">
        <v>170.87</v>
      </c>
      <c r="I81" s="44">
        <v>173.67</v>
      </c>
      <c r="J81" s="53">
        <v>176.47</v>
      </c>
      <c r="K81" s="53">
        <v>179.28</v>
      </c>
      <c r="L81" s="44">
        <v>182.08</v>
      </c>
      <c r="M81" s="44">
        <v>184.88</v>
      </c>
      <c r="N81" s="44">
        <v>187.68</v>
      </c>
      <c r="O81" s="59">
        <v>190.49</v>
      </c>
      <c r="P81" s="65">
        <v>193.29</v>
      </c>
      <c r="Q81" s="65">
        <v>196.09</v>
      </c>
      <c r="R81" s="65">
        <v>198.9</v>
      </c>
      <c r="S81" s="65">
        <v>201.7</v>
      </c>
      <c r="T81" s="65">
        <v>204.5</v>
      </c>
      <c r="U81" s="65">
        <v>207.3</v>
      </c>
      <c r="V81" s="24">
        <v>170.83</v>
      </c>
      <c r="W81" s="24">
        <v>173.63</v>
      </c>
      <c r="X81" s="24">
        <v>176.44</v>
      </c>
      <c r="Y81" s="24">
        <v>179.24</v>
      </c>
      <c r="Z81" s="24">
        <v>128.79</v>
      </c>
      <c r="AA81" s="24">
        <v>125.99</v>
      </c>
      <c r="AB81" s="24">
        <v>123.18</v>
      </c>
      <c r="AC81" s="24">
        <v>120.38</v>
      </c>
      <c r="AD81" s="24">
        <v>117.58</v>
      </c>
      <c r="AE81" s="5">
        <v>77</v>
      </c>
      <c r="AF81" s="43">
        <v>90.69</v>
      </c>
      <c r="AG81" s="43">
        <v>92.67</v>
      </c>
      <c r="AH81" s="43">
        <v>94.64</v>
      </c>
      <c r="AI81" s="43">
        <v>96.62</v>
      </c>
      <c r="AJ81" s="43">
        <v>98.6</v>
      </c>
      <c r="AK81" s="43">
        <v>100.58</v>
      </c>
      <c r="AL81" s="43">
        <v>102.56</v>
      </c>
      <c r="AM81" s="43">
        <v>104.54</v>
      </c>
      <c r="AN81" s="44">
        <v>106.52</v>
      </c>
      <c r="AO81" s="53">
        <v>108.5</v>
      </c>
      <c r="AP81" s="53">
        <v>110.48</v>
      </c>
      <c r="AQ81" s="44">
        <v>112.45</v>
      </c>
      <c r="AR81" s="44">
        <v>114.43</v>
      </c>
      <c r="AS81" s="72">
        <v>116.41</v>
      </c>
      <c r="AT81" s="59">
        <v>118.39</v>
      </c>
      <c r="AU81" s="65">
        <v>120.37</v>
      </c>
      <c r="AV81" s="65">
        <v>122.35</v>
      </c>
      <c r="AW81" s="65">
        <v>124.33</v>
      </c>
      <c r="AX81" s="65">
        <v>126.31</v>
      </c>
      <c r="AY81" s="65">
        <v>128.29</v>
      </c>
      <c r="AZ81" s="65">
        <v>130.26</v>
      </c>
      <c r="BA81" s="24">
        <v>112.57</v>
      </c>
      <c r="BB81" s="24">
        <v>114.55</v>
      </c>
      <c r="BC81" s="24">
        <v>116.53</v>
      </c>
      <c r="BD81" s="24">
        <v>118.51</v>
      </c>
      <c r="BE81" s="24">
        <v>82.89</v>
      </c>
      <c r="BF81" s="24">
        <v>80.91</v>
      </c>
      <c r="BG81" s="24">
        <v>78.930000000000007</v>
      </c>
      <c r="BH81" s="24">
        <v>76.95</v>
      </c>
      <c r="BI81" s="24">
        <v>74.97</v>
      </c>
    </row>
    <row r="82" spans="1:61" x14ac:dyDescent="0.45">
      <c r="A82" s="43">
        <v>153.16999999999999</v>
      </c>
      <c r="B82" s="43">
        <v>156.01</v>
      </c>
      <c r="C82" s="43">
        <v>158.85</v>
      </c>
      <c r="D82" s="43">
        <v>161.69</v>
      </c>
      <c r="E82" s="43">
        <v>164.53</v>
      </c>
      <c r="F82" s="43">
        <v>167.36</v>
      </c>
      <c r="G82" s="43">
        <v>170.2</v>
      </c>
      <c r="H82" s="43">
        <v>173.04</v>
      </c>
      <c r="I82" s="44">
        <v>175.88</v>
      </c>
      <c r="J82" s="53">
        <v>178.72</v>
      </c>
      <c r="K82" s="53">
        <v>181.56</v>
      </c>
      <c r="L82" s="44">
        <v>184.4</v>
      </c>
      <c r="M82" s="44">
        <v>187.24</v>
      </c>
      <c r="N82" s="44">
        <v>190.08</v>
      </c>
      <c r="O82" s="59">
        <v>192.92</v>
      </c>
      <c r="P82" s="65">
        <v>195.76</v>
      </c>
      <c r="Q82" s="65">
        <v>198.6</v>
      </c>
      <c r="R82" s="65">
        <v>201.44</v>
      </c>
      <c r="S82" s="65">
        <v>204.27</v>
      </c>
      <c r="T82" s="65">
        <v>207.11</v>
      </c>
      <c r="U82" s="65">
        <v>209.95</v>
      </c>
      <c r="V82" s="24">
        <v>173.02</v>
      </c>
      <c r="W82" s="24">
        <v>175.86</v>
      </c>
      <c r="X82" s="24">
        <v>178.7</v>
      </c>
      <c r="Y82" s="24">
        <v>181.54</v>
      </c>
      <c r="Z82" s="24">
        <v>130.44</v>
      </c>
      <c r="AA82" s="24">
        <v>127.6</v>
      </c>
      <c r="AB82" s="24">
        <v>124.76</v>
      </c>
      <c r="AC82" s="24">
        <v>121.92</v>
      </c>
      <c r="AD82" s="24">
        <v>119.08</v>
      </c>
      <c r="AE82" s="5">
        <v>78</v>
      </c>
      <c r="AF82" s="43">
        <v>91.69</v>
      </c>
      <c r="AG82" s="43">
        <v>93.86</v>
      </c>
      <c r="AH82" s="43">
        <v>95.87</v>
      </c>
      <c r="AI82" s="43">
        <v>97.87</v>
      </c>
      <c r="AJ82" s="43">
        <v>99.88</v>
      </c>
      <c r="AK82" s="43">
        <v>101.88</v>
      </c>
      <c r="AL82" s="43">
        <v>103.88</v>
      </c>
      <c r="AM82" s="43">
        <v>105.89</v>
      </c>
      <c r="AN82" s="44">
        <v>107.89</v>
      </c>
      <c r="AO82" s="53">
        <v>109.9</v>
      </c>
      <c r="AP82" s="53">
        <v>111.9</v>
      </c>
      <c r="AQ82" s="44">
        <v>113.91</v>
      </c>
      <c r="AR82" s="44">
        <v>115.91</v>
      </c>
      <c r="AS82" s="72">
        <v>117.92</v>
      </c>
      <c r="AT82" s="59">
        <v>119.92</v>
      </c>
      <c r="AU82" s="65">
        <v>121.93</v>
      </c>
      <c r="AV82" s="65">
        <v>123.93</v>
      </c>
      <c r="AW82" s="65">
        <v>125.94</v>
      </c>
      <c r="AX82" s="65">
        <v>127.94</v>
      </c>
      <c r="AY82" s="65">
        <v>129.94</v>
      </c>
      <c r="AZ82" s="65">
        <v>131.94999999999999</v>
      </c>
      <c r="BA82" s="24">
        <v>114.03</v>
      </c>
      <c r="BB82" s="24">
        <v>116.04</v>
      </c>
      <c r="BC82" s="24">
        <v>118.04</v>
      </c>
      <c r="BD82" s="24">
        <v>120.04</v>
      </c>
      <c r="BE82" s="24">
        <v>83.96</v>
      </c>
      <c r="BF82" s="24">
        <v>81.96</v>
      </c>
      <c r="BG82" s="24">
        <v>79.95</v>
      </c>
      <c r="BH82" s="24">
        <v>77.95</v>
      </c>
      <c r="BI82" s="24">
        <v>75.94</v>
      </c>
    </row>
    <row r="83" spans="1:61" x14ac:dyDescent="0.45">
      <c r="A83" s="43">
        <v>155.21</v>
      </c>
      <c r="B83" s="43">
        <v>158.08000000000001</v>
      </c>
      <c r="C83" s="43">
        <v>160.96</v>
      </c>
      <c r="D83" s="43">
        <v>163.83000000000001</v>
      </c>
      <c r="E83" s="43">
        <v>166.71</v>
      </c>
      <c r="F83" s="43">
        <v>169.59</v>
      </c>
      <c r="G83" s="43">
        <v>172.46</v>
      </c>
      <c r="H83" s="43">
        <v>175.34</v>
      </c>
      <c r="I83" s="44">
        <v>178.21</v>
      </c>
      <c r="J83" s="53">
        <v>181.09</v>
      </c>
      <c r="K83" s="53">
        <v>183.96</v>
      </c>
      <c r="L83" s="44">
        <v>186.84</v>
      </c>
      <c r="M83" s="44">
        <v>189.71</v>
      </c>
      <c r="N83" s="44">
        <v>192.59</v>
      </c>
      <c r="O83" s="59">
        <v>195.47</v>
      </c>
      <c r="P83" s="65">
        <v>198.34</v>
      </c>
      <c r="Q83" s="65">
        <v>201.22</v>
      </c>
      <c r="R83" s="65">
        <v>204.09</v>
      </c>
      <c r="S83" s="65">
        <v>206.97</v>
      </c>
      <c r="T83" s="65">
        <v>209.84</v>
      </c>
      <c r="U83" s="65">
        <v>212.72</v>
      </c>
      <c r="V83" s="24">
        <v>175.29</v>
      </c>
      <c r="W83" s="24">
        <v>178.16</v>
      </c>
      <c r="X83" s="24">
        <v>181.04</v>
      </c>
      <c r="Y83" s="24">
        <v>183.91</v>
      </c>
      <c r="Z83" s="24">
        <v>132.15</v>
      </c>
      <c r="AA83" s="24">
        <v>129.28</v>
      </c>
      <c r="AB83" s="24">
        <v>126.4</v>
      </c>
      <c r="AC83" s="24">
        <v>123.53</v>
      </c>
      <c r="AD83" s="24">
        <v>120.65</v>
      </c>
      <c r="AE83" s="5">
        <v>79</v>
      </c>
      <c r="AF83" s="43">
        <v>93.03</v>
      </c>
      <c r="AG83" s="43">
        <v>95.06</v>
      </c>
      <c r="AH83" s="43">
        <v>97.09</v>
      </c>
      <c r="AI83" s="43">
        <v>99.12</v>
      </c>
      <c r="AJ83" s="43">
        <v>101.15</v>
      </c>
      <c r="AK83" s="43">
        <v>103.18</v>
      </c>
      <c r="AL83" s="43">
        <v>105.21</v>
      </c>
      <c r="AM83" s="43">
        <v>107.24</v>
      </c>
      <c r="AN83" s="44">
        <v>109.27</v>
      </c>
      <c r="AO83" s="53">
        <v>111.3</v>
      </c>
      <c r="AP83" s="53">
        <v>113.33</v>
      </c>
      <c r="AQ83" s="44">
        <v>115.36</v>
      </c>
      <c r="AR83" s="44">
        <v>117.39</v>
      </c>
      <c r="AS83" s="72">
        <v>119.42</v>
      </c>
      <c r="AT83" s="59">
        <v>121.45</v>
      </c>
      <c r="AU83" s="65">
        <v>123.48</v>
      </c>
      <c r="AV83" s="65">
        <v>125.51</v>
      </c>
      <c r="AW83" s="65">
        <v>127.54</v>
      </c>
      <c r="AX83" s="65">
        <v>129.58000000000001</v>
      </c>
      <c r="AY83" s="65">
        <v>131.61000000000001</v>
      </c>
      <c r="AZ83" s="65">
        <v>133.63999999999999</v>
      </c>
      <c r="BA83" s="24">
        <v>115.49</v>
      </c>
      <c r="BB83" s="24">
        <v>117.52</v>
      </c>
      <c r="BC83" s="24">
        <v>119.55</v>
      </c>
      <c r="BD83" s="24">
        <v>121.58</v>
      </c>
      <c r="BE83" s="24">
        <v>85.04</v>
      </c>
      <c r="BF83" s="24">
        <v>83</v>
      </c>
      <c r="BG83" s="24">
        <v>80.97</v>
      </c>
      <c r="BH83" s="24">
        <v>78.94</v>
      </c>
      <c r="BI83" s="24">
        <v>76.91</v>
      </c>
    </row>
    <row r="84" spans="1:61" x14ac:dyDescent="0.45">
      <c r="A84" s="43">
        <v>157.15</v>
      </c>
      <c r="B84" s="43">
        <v>160.06</v>
      </c>
      <c r="C84" s="43">
        <v>162.97999999999999</v>
      </c>
      <c r="D84" s="43">
        <v>165.89</v>
      </c>
      <c r="E84" s="43">
        <v>168.8</v>
      </c>
      <c r="F84" s="43">
        <v>171.71</v>
      </c>
      <c r="G84" s="43">
        <v>174.62</v>
      </c>
      <c r="H84" s="43">
        <v>177.54</v>
      </c>
      <c r="I84" s="44">
        <v>180.45</v>
      </c>
      <c r="J84" s="53">
        <v>183.36</v>
      </c>
      <c r="K84" s="53">
        <v>186.27</v>
      </c>
      <c r="L84" s="44">
        <v>189.18</v>
      </c>
      <c r="M84" s="44">
        <v>192.1</v>
      </c>
      <c r="N84" s="44">
        <v>195.01</v>
      </c>
      <c r="O84" s="59">
        <v>197.92</v>
      </c>
      <c r="P84" s="65">
        <v>200.83</v>
      </c>
      <c r="Q84" s="65">
        <v>203.74</v>
      </c>
      <c r="R84" s="65">
        <v>206.66</v>
      </c>
      <c r="S84" s="65">
        <v>209.57</v>
      </c>
      <c r="T84" s="65">
        <v>212.48</v>
      </c>
      <c r="U84" s="65">
        <v>215.39</v>
      </c>
      <c r="V84" s="24">
        <v>177.49</v>
      </c>
      <c r="W84" s="24">
        <v>180.4</v>
      </c>
      <c r="X84" s="24">
        <v>183.32</v>
      </c>
      <c r="Y84" s="24">
        <v>186.23</v>
      </c>
      <c r="Z84" s="24">
        <v>133.81</v>
      </c>
      <c r="AA84" s="24">
        <v>130.9</v>
      </c>
      <c r="AB84" s="24">
        <v>127.99</v>
      </c>
      <c r="AC84" s="24">
        <v>125.08</v>
      </c>
      <c r="AD84" s="24">
        <v>122.16</v>
      </c>
      <c r="AE84" s="5">
        <v>80</v>
      </c>
      <c r="AF84" s="43">
        <v>94.21</v>
      </c>
      <c r="AG84" s="43">
        <v>96.26</v>
      </c>
      <c r="AH84" s="43">
        <v>98.32</v>
      </c>
      <c r="AI84" s="43">
        <v>100.37</v>
      </c>
      <c r="AJ84" s="43">
        <v>102.43</v>
      </c>
      <c r="AK84" s="43">
        <v>104.49</v>
      </c>
      <c r="AL84" s="43">
        <v>106.54</v>
      </c>
      <c r="AM84" s="43">
        <v>108.6</v>
      </c>
      <c r="AN84" s="44">
        <v>110.65</v>
      </c>
      <c r="AO84" s="53">
        <v>112.71</v>
      </c>
      <c r="AP84" s="53">
        <v>114.77</v>
      </c>
      <c r="AQ84" s="44">
        <v>116.82</v>
      </c>
      <c r="AR84" s="44">
        <v>118.88</v>
      </c>
      <c r="AS84" s="72">
        <v>120.93</v>
      </c>
      <c r="AT84" s="59">
        <v>122.19</v>
      </c>
      <c r="AU84" s="65">
        <v>125.05</v>
      </c>
      <c r="AV84" s="65">
        <v>127.1</v>
      </c>
      <c r="AW84" s="65">
        <v>129.16</v>
      </c>
      <c r="AX84" s="65">
        <v>131.21</v>
      </c>
      <c r="AY84" s="65">
        <v>133.27000000000001</v>
      </c>
      <c r="AZ84" s="65">
        <v>135.33000000000001</v>
      </c>
      <c r="BA84" s="24">
        <v>116.95</v>
      </c>
      <c r="BB84" s="24">
        <v>119.01</v>
      </c>
      <c r="BC84" s="24">
        <v>121.06</v>
      </c>
      <c r="BD84" s="24">
        <v>123.12</v>
      </c>
      <c r="BE84" s="24">
        <v>86.11</v>
      </c>
      <c r="BF84" s="24">
        <v>84.05</v>
      </c>
      <c r="BG84" s="24">
        <v>82</v>
      </c>
      <c r="BH84" s="24">
        <v>79.94</v>
      </c>
      <c r="BI84" s="24">
        <v>77.89</v>
      </c>
    </row>
    <row r="85" spans="1:61" x14ac:dyDescent="0.45">
      <c r="A85" s="43">
        <v>159.11000000000001</v>
      </c>
      <c r="B85" s="43">
        <v>162.05000000000001</v>
      </c>
      <c r="C85" s="43">
        <v>165</v>
      </c>
      <c r="D85" s="43">
        <v>167.95</v>
      </c>
      <c r="E85" s="43">
        <v>170.9</v>
      </c>
      <c r="F85" s="43">
        <v>173.85</v>
      </c>
      <c r="G85" s="43">
        <v>176.8</v>
      </c>
      <c r="H85" s="43">
        <v>179.74</v>
      </c>
      <c r="I85" s="44">
        <v>182.69</v>
      </c>
      <c r="J85" s="53">
        <v>185.64</v>
      </c>
      <c r="K85" s="53">
        <v>188.59</v>
      </c>
      <c r="L85" s="44">
        <v>191.54</v>
      </c>
      <c r="M85" s="44">
        <v>194.49</v>
      </c>
      <c r="N85" s="44">
        <v>197.44</v>
      </c>
      <c r="O85" s="59">
        <v>200.38</v>
      </c>
      <c r="P85" s="65">
        <v>203.33</v>
      </c>
      <c r="Q85" s="65">
        <v>206.28</v>
      </c>
      <c r="R85" s="65">
        <v>209.23</v>
      </c>
      <c r="S85" s="65">
        <v>212.18</v>
      </c>
      <c r="T85" s="65">
        <v>215.13</v>
      </c>
      <c r="U85" s="65">
        <v>218.07</v>
      </c>
      <c r="V85" s="24">
        <v>179.71</v>
      </c>
      <c r="W85" s="24">
        <v>182.65</v>
      </c>
      <c r="X85" s="24">
        <v>185.6</v>
      </c>
      <c r="Y85" s="24">
        <v>188.55</v>
      </c>
      <c r="Z85" s="24">
        <v>135.47999999999999</v>
      </c>
      <c r="AA85" s="24">
        <v>132.53</v>
      </c>
      <c r="AB85" s="24">
        <v>129.58000000000001</v>
      </c>
      <c r="AC85" s="24">
        <v>126.63</v>
      </c>
      <c r="AD85" s="24">
        <v>123.69</v>
      </c>
      <c r="AE85" s="5">
        <v>81</v>
      </c>
      <c r="AF85" s="43">
        <v>95.38</v>
      </c>
      <c r="AG85" s="43">
        <v>97.47</v>
      </c>
      <c r="AH85" s="43">
        <v>99.55</v>
      </c>
      <c r="AI85" s="43">
        <v>101.63</v>
      </c>
      <c r="AJ85" s="43">
        <v>103.71</v>
      </c>
      <c r="AK85" s="43">
        <v>105.79</v>
      </c>
      <c r="AL85" s="43">
        <v>107.87</v>
      </c>
      <c r="AM85" s="43">
        <v>109.96</v>
      </c>
      <c r="AN85" s="44">
        <v>112.04</v>
      </c>
      <c r="AO85" s="53">
        <v>114.12</v>
      </c>
      <c r="AP85" s="53">
        <v>116.2</v>
      </c>
      <c r="AQ85" s="44">
        <v>118.28</v>
      </c>
      <c r="AR85" s="44">
        <v>120.36</v>
      </c>
      <c r="AS85" s="72">
        <v>122.45</v>
      </c>
      <c r="AT85" s="59">
        <v>124.53</v>
      </c>
      <c r="AU85" s="65">
        <v>126.61</v>
      </c>
      <c r="AV85" s="65">
        <v>128.69</v>
      </c>
      <c r="AW85" s="65">
        <v>130.77000000000001</v>
      </c>
      <c r="AX85" s="65">
        <v>132.85</v>
      </c>
      <c r="AY85" s="65">
        <v>134.94</v>
      </c>
      <c r="AZ85" s="65">
        <v>137.02000000000001</v>
      </c>
      <c r="BA85" s="24">
        <v>118.41</v>
      </c>
      <c r="BB85" s="24">
        <v>120.49</v>
      </c>
      <c r="BC85" s="24">
        <v>122.58</v>
      </c>
      <c r="BD85" s="24">
        <v>124.66</v>
      </c>
      <c r="BE85" s="24">
        <v>87.19</v>
      </c>
      <c r="BF85" s="24">
        <v>85.11</v>
      </c>
      <c r="BG85" s="24">
        <v>83.02</v>
      </c>
      <c r="BH85" s="24">
        <v>80.94</v>
      </c>
      <c r="BI85" s="24">
        <v>78.86</v>
      </c>
    </row>
    <row r="86" spans="1:61" x14ac:dyDescent="0.45">
      <c r="A86" s="43">
        <v>160.96</v>
      </c>
      <c r="B86" s="43">
        <v>163.94</v>
      </c>
      <c r="C86" s="43">
        <v>166.93</v>
      </c>
      <c r="D86" s="43">
        <v>169.91</v>
      </c>
      <c r="E86" s="43">
        <v>172.9</v>
      </c>
      <c r="F86" s="43">
        <v>175.88</v>
      </c>
      <c r="G86" s="43">
        <v>178.86</v>
      </c>
      <c r="H86" s="43">
        <v>181.85</v>
      </c>
      <c r="I86" s="44">
        <v>184.83</v>
      </c>
      <c r="J86" s="53">
        <v>187.82</v>
      </c>
      <c r="K86" s="53">
        <v>190.8</v>
      </c>
      <c r="L86" s="44">
        <v>193.79</v>
      </c>
      <c r="M86" s="44">
        <v>196.77</v>
      </c>
      <c r="N86" s="44">
        <v>199.76</v>
      </c>
      <c r="O86" s="59">
        <v>202.74</v>
      </c>
      <c r="P86" s="65">
        <v>205.73</v>
      </c>
      <c r="Q86" s="65">
        <v>208.71</v>
      </c>
      <c r="R86" s="65">
        <v>211.7</v>
      </c>
      <c r="S86" s="65">
        <v>214.68</v>
      </c>
      <c r="T86" s="65">
        <v>217.67</v>
      </c>
      <c r="U86" s="65">
        <v>220.65</v>
      </c>
      <c r="V86" s="24">
        <v>181.86</v>
      </c>
      <c r="W86" s="24">
        <v>184.84</v>
      </c>
      <c r="X86" s="24">
        <v>187.83</v>
      </c>
      <c r="Y86" s="24">
        <v>190.81</v>
      </c>
      <c r="Z86" s="24">
        <v>137.09</v>
      </c>
      <c r="AA86" s="24">
        <v>134.1</v>
      </c>
      <c r="AB86" s="24">
        <v>131.12</v>
      </c>
      <c r="AC86" s="24">
        <v>128.13</v>
      </c>
      <c r="AD86" s="24">
        <v>125.15</v>
      </c>
      <c r="AE86" s="5">
        <v>82</v>
      </c>
      <c r="AF86" s="43">
        <v>96.53</v>
      </c>
      <c r="AG86" s="43">
        <v>98.64</v>
      </c>
      <c r="AH86" s="43">
        <v>100.75</v>
      </c>
      <c r="AI86" s="43">
        <v>102.86</v>
      </c>
      <c r="AJ86" s="43">
        <v>104.96</v>
      </c>
      <c r="AK86" s="43">
        <v>107.07</v>
      </c>
      <c r="AL86" s="43">
        <v>109.18</v>
      </c>
      <c r="AM86" s="43">
        <v>111.29</v>
      </c>
      <c r="AN86" s="44">
        <v>113.39</v>
      </c>
      <c r="AO86" s="53">
        <v>115.5</v>
      </c>
      <c r="AP86" s="53">
        <v>117.61</v>
      </c>
      <c r="AQ86" s="44">
        <v>119.72</v>
      </c>
      <c r="AR86" s="44">
        <v>121.82</v>
      </c>
      <c r="AS86" s="72">
        <v>123.93</v>
      </c>
      <c r="AT86" s="59">
        <v>126.04</v>
      </c>
      <c r="AU86" s="65">
        <v>128.15</v>
      </c>
      <c r="AV86" s="65">
        <v>130.25</v>
      </c>
      <c r="AW86" s="65">
        <v>132.36000000000001</v>
      </c>
      <c r="AX86" s="65">
        <v>134.47</v>
      </c>
      <c r="AY86" s="65">
        <v>136.57</v>
      </c>
      <c r="AZ86" s="65">
        <v>138.68</v>
      </c>
      <c r="BA86" s="24">
        <v>119.86</v>
      </c>
      <c r="BB86" s="24">
        <v>121.97</v>
      </c>
      <c r="BC86" s="24">
        <v>124.07</v>
      </c>
      <c r="BD86" s="24">
        <v>126.18</v>
      </c>
      <c r="BE86" s="24">
        <v>88.25</v>
      </c>
      <c r="BF86" s="24">
        <v>86.14</v>
      </c>
      <c r="BG86" s="24">
        <v>84.03</v>
      </c>
      <c r="BH86" s="24">
        <v>81.92</v>
      </c>
      <c r="BI86" s="24">
        <v>79.819999999999993</v>
      </c>
    </row>
    <row r="87" spans="1:61" x14ac:dyDescent="0.45">
      <c r="A87" s="43">
        <v>162.93</v>
      </c>
      <c r="B87" s="43">
        <v>165.95</v>
      </c>
      <c r="C87" s="43">
        <v>168.97</v>
      </c>
      <c r="D87" s="43">
        <v>171.99</v>
      </c>
      <c r="E87" s="43">
        <v>175.02</v>
      </c>
      <c r="F87" s="43">
        <v>178.04</v>
      </c>
      <c r="G87" s="43">
        <v>181.06</v>
      </c>
      <c r="H87" s="43">
        <v>184.08</v>
      </c>
      <c r="I87" s="44">
        <v>187.1</v>
      </c>
      <c r="J87" s="53">
        <v>190.12</v>
      </c>
      <c r="K87" s="53">
        <v>193.14</v>
      </c>
      <c r="L87" s="44">
        <v>196.16</v>
      </c>
      <c r="M87" s="44">
        <v>199.18</v>
      </c>
      <c r="N87" s="44">
        <v>202.21</v>
      </c>
      <c r="O87" s="59">
        <v>205.23</v>
      </c>
      <c r="P87" s="65">
        <v>208.25</v>
      </c>
      <c r="Q87" s="65">
        <v>211.27</v>
      </c>
      <c r="R87" s="65">
        <v>214.29</v>
      </c>
      <c r="S87" s="65">
        <v>217.31</v>
      </c>
      <c r="T87" s="65">
        <v>220.33</v>
      </c>
      <c r="U87" s="65">
        <v>223.35</v>
      </c>
      <c r="V87" s="24">
        <v>184.08</v>
      </c>
      <c r="W87" s="24">
        <v>187.1</v>
      </c>
      <c r="X87" s="24">
        <v>190.12</v>
      </c>
      <c r="Y87" s="24">
        <v>193.15</v>
      </c>
      <c r="Z87" s="24">
        <v>138.76</v>
      </c>
      <c r="AA87" s="24">
        <v>135.74</v>
      </c>
      <c r="AB87" s="24">
        <v>132.72</v>
      </c>
      <c r="AC87" s="24">
        <v>129.69999999999999</v>
      </c>
      <c r="AD87" s="24">
        <v>126.68</v>
      </c>
      <c r="AE87" s="5">
        <v>83</v>
      </c>
      <c r="AF87" s="43">
        <v>97.72</v>
      </c>
      <c r="AG87" s="43">
        <v>99.85</v>
      </c>
      <c r="AH87" s="43">
        <v>101.98</v>
      </c>
      <c r="AI87" s="43">
        <v>104.12</v>
      </c>
      <c r="AJ87" s="43">
        <v>106.25</v>
      </c>
      <c r="AK87" s="43">
        <v>108.38</v>
      </c>
      <c r="AL87" s="43">
        <v>110.52</v>
      </c>
      <c r="AM87" s="43">
        <v>112.65</v>
      </c>
      <c r="AN87" s="44">
        <v>114.78</v>
      </c>
      <c r="AO87" s="53">
        <v>116.92</v>
      </c>
      <c r="AP87" s="53">
        <v>119.05</v>
      </c>
      <c r="AQ87" s="44">
        <v>121.18</v>
      </c>
      <c r="AR87" s="44">
        <v>123.32</v>
      </c>
      <c r="AS87" s="72">
        <v>125.45</v>
      </c>
      <c r="AT87" s="59">
        <v>127.58</v>
      </c>
      <c r="AU87" s="65">
        <v>129.72</v>
      </c>
      <c r="AV87" s="65">
        <v>131.85</v>
      </c>
      <c r="AW87" s="65">
        <v>133.97999999999999</v>
      </c>
      <c r="AX87" s="65">
        <v>136.11000000000001</v>
      </c>
      <c r="AY87" s="65">
        <v>138.25</v>
      </c>
      <c r="AZ87" s="65">
        <v>140.38</v>
      </c>
      <c r="BA87" s="24">
        <v>121.32</v>
      </c>
      <c r="BB87" s="24">
        <v>123.46</v>
      </c>
      <c r="BC87" s="24">
        <v>125.59</v>
      </c>
      <c r="BD87" s="24">
        <v>127.72</v>
      </c>
      <c r="BE87" s="24">
        <v>89.33</v>
      </c>
      <c r="BF87" s="24">
        <v>87.19</v>
      </c>
      <c r="BG87" s="24">
        <v>85.06</v>
      </c>
      <c r="BH87" s="24">
        <v>82.93</v>
      </c>
      <c r="BI87" s="24">
        <v>80.8</v>
      </c>
    </row>
    <row r="88" spans="1:61" x14ac:dyDescent="0.45">
      <c r="A88" s="48">
        <v>164.92</v>
      </c>
      <c r="B88" s="48">
        <v>167.97</v>
      </c>
      <c r="C88" s="48">
        <v>171.03</v>
      </c>
      <c r="D88" s="48">
        <v>174.09</v>
      </c>
      <c r="E88" s="48">
        <v>177.15</v>
      </c>
      <c r="F88" s="48">
        <v>180.2</v>
      </c>
      <c r="G88" s="43">
        <v>183.26</v>
      </c>
      <c r="H88" s="43">
        <v>186.32</v>
      </c>
      <c r="I88" s="44">
        <v>189.38</v>
      </c>
      <c r="J88" s="53">
        <v>192.43</v>
      </c>
      <c r="K88" s="53">
        <v>195.49</v>
      </c>
      <c r="L88" s="44">
        <v>198.55</v>
      </c>
      <c r="M88" s="44">
        <v>201.61</v>
      </c>
      <c r="N88" s="44">
        <v>204.67</v>
      </c>
      <c r="O88" s="59">
        <v>207.72</v>
      </c>
      <c r="P88" s="65">
        <v>210.78</v>
      </c>
      <c r="Q88" s="65">
        <v>213.84</v>
      </c>
      <c r="R88" s="65">
        <v>216.9</v>
      </c>
      <c r="S88" s="65">
        <v>219.95</v>
      </c>
      <c r="T88" s="65">
        <v>223.01</v>
      </c>
      <c r="U88" s="65">
        <v>226.07</v>
      </c>
      <c r="V88" s="24">
        <v>186.31</v>
      </c>
      <c r="W88" s="24">
        <v>189.37</v>
      </c>
      <c r="X88" s="24">
        <v>192.43</v>
      </c>
      <c r="Y88" s="24">
        <v>195.49</v>
      </c>
      <c r="Z88" s="24">
        <v>140.44999999999999</v>
      </c>
      <c r="AA88" s="24">
        <v>137.38999999999999</v>
      </c>
      <c r="AB88" s="24">
        <v>134.33000000000001</v>
      </c>
      <c r="AC88" s="24">
        <v>131.28</v>
      </c>
      <c r="AD88" s="24">
        <v>128.22</v>
      </c>
      <c r="AE88" s="5">
        <v>84</v>
      </c>
      <c r="AF88" s="43">
        <v>98.87</v>
      </c>
      <c r="AG88" s="43">
        <v>101.03</v>
      </c>
      <c r="AH88" s="43">
        <v>103.19</v>
      </c>
      <c r="AI88" s="43">
        <v>105.35</v>
      </c>
      <c r="AJ88" s="43">
        <v>107.51</v>
      </c>
      <c r="AK88" s="43">
        <v>109.67</v>
      </c>
      <c r="AL88" s="43">
        <v>111.83</v>
      </c>
      <c r="AM88" s="43">
        <v>113.98</v>
      </c>
      <c r="AN88" s="44">
        <v>116.14</v>
      </c>
      <c r="AO88" s="53">
        <v>118.3</v>
      </c>
      <c r="AP88" s="53">
        <v>120.46</v>
      </c>
      <c r="AQ88" s="44">
        <v>122.62</v>
      </c>
      <c r="AR88" s="44">
        <v>124.78</v>
      </c>
      <c r="AS88" s="72">
        <v>126.94</v>
      </c>
      <c r="AT88" s="59">
        <v>129.1</v>
      </c>
      <c r="AU88" s="65">
        <v>131.26</v>
      </c>
      <c r="AV88" s="65">
        <v>133.41</v>
      </c>
      <c r="AW88" s="65">
        <v>135.57</v>
      </c>
      <c r="AX88" s="65">
        <v>137.72999999999999</v>
      </c>
      <c r="AY88" s="65">
        <v>139.88999999999999</v>
      </c>
      <c r="AZ88" s="65">
        <v>142.05000000000001</v>
      </c>
      <c r="BA88" s="24">
        <v>122.77</v>
      </c>
      <c r="BB88" s="24">
        <v>124.93</v>
      </c>
      <c r="BC88" s="24">
        <v>127.09</v>
      </c>
      <c r="BD88" s="24">
        <v>129.25</v>
      </c>
      <c r="BE88" s="24">
        <v>90.39</v>
      </c>
      <c r="BF88" s="24">
        <v>88.23</v>
      </c>
      <c r="BG88" s="24">
        <v>86.07</v>
      </c>
      <c r="BH88" s="24">
        <v>83.91</v>
      </c>
      <c r="BI88" s="24">
        <v>81.75</v>
      </c>
    </row>
    <row r="89" spans="1:61" x14ac:dyDescent="0.45">
      <c r="A89" s="43">
        <v>166.91</v>
      </c>
      <c r="B89" s="43">
        <v>170.01</v>
      </c>
      <c r="C89" s="43">
        <v>179.3</v>
      </c>
      <c r="D89" s="43">
        <v>176.2</v>
      </c>
      <c r="E89" s="43">
        <v>179.29</v>
      </c>
      <c r="F89" s="43">
        <v>182.38</v>
      </c>
      <c r="G89" s="43">
        <v>185.48</v>
      </c>
      <c r="H89" s="43">
        <v>188.57</v>
      </c>
      <c r="I89" s="44">
        <v>191.67</v>
      </c>
      <c r="J89" s="53">
        <v>194.76</v>
      </c>
      <c r="K89" s="53">
        <v>197.85</v>
      </c>
      <c r="L89" s="44">
        <v>200.95</v>
      </c>
      <c r="M89" s="44">
        <v>204.04</v>
      </c>
      <c r="N89" s="44">
        <v>207.14</v>
      </c>
      <c r="O89" s="59">
        <v>210.23</v>
      </c>
      <c r="P89" s="65">
        <v>213.32</v>
      </c>
      <c r="Q89" s="65">
        <v>216.42</v>
      </c>
      <c r="R89" s="65">
        <v>219.51</v>
      </c>
      <c r="S89" s="65">
        <v>222.61</v>
      </c>
      <c r="T89" s="65">
        <v>225.7</v>
      </c>
      <c r="U89" s="65">
        <v>228.79</v>
      </c>
      <c r="V89" s="24">
        <v>188.55</v>
      </c>
      <c r="W89" s="24">
        <v>191.65</v>
      </c>
      <c r="X89" s="24">
        <v>194.74</v>
      </c>
      <c r="Y89" s="24">
        <v>197.83</v>
      </c>
      <c r="Z89" s="24">
        <v>142.13999999999999</v>
      </c>
      <c r="AA89" s="24">
        <v>139.05000000000001</v>
      </c>
      <c r="AB89" s="24">
        <v>135.94999999999999</v>
      </c>
      <c r="AC89" s="24">
        <v>132.86000000000001</v>
      </c>
      <c r="AD89" s="24">
        <v>129.77000000000001</v>
      </c>
      <c r="AE89" s="5">
        <v>85</v>
      </c>
      <c r="AF89" s="43">
        <v>100.06</v>
      </c>
      <c r="AG89" s="43">
        <v>102.25</v>
      </c>
      <c r="AH89" s="43">
        <v>104.43</v>
      </c>
      <c r="AI89" s="43">
        <v>106.62</v>
      </c>
      <c r="AJ89" s="43">
        <v>108.8</v>
      </c>
      <c r="AK89" s="43">
        <v>110.99</v>
      </c>
      <c r="AL89" s="43">
        <v>113.17</v>
      </c>
      <c r="AM89" s="43">
        <v>115.35</v>
      </c>
      <c r="AN89" s="44">
        <v>117.54</v>
      </c>
      <c r="AO89" s="53">
        <v>119.72</v>
      </c>
      <c r="AP89" s="53">
        <v>121.91</v>
      </c>
      <c r="AQ89" s="44">
        <v>124.09</v>
      </c>
      <c r="AR89" s="44">
        <v>126.28</v>
      </c>
      <c r="AS89" s="72">
        <v>128.46</v>
      </c>
      <c r="AT89" s="59">
        <v>130.65</v>
      </c>
      <c r="AU89" s="65">
        <v>132.83000000000001</v>
      </c>
      <c r="AV89" s="65">
        <v>135.02000000000001</v>
      </c>
      <c r="AW89" s="65">
        <v>137.19999999999999</v>
      </c>
      <c r="AX89" s="65">
        <v>139.38</v>
      </c>
      <c r="AY89" s="65">
        <v>141.57</v>
      </c>
      <c r="AZ89" s="65">
        <v>143.75</v>
      </c>
      <c r="BA89" s="24">
        <v>124.24</v>
      </c>
      <c r="BB89" s="24">
        <v>126.43</v>
      </c>
      <c r="BC89" s="24">
        <v>128.61000000000001</v>
      </c>
      <c r="BD89" s="24">
        <v>130.79</v>
      </c>
      <c r="BE89" s="24">
        <v>91.47</v>
      </c>
      <c r="BF89" s="24">
        <v>89.29</v>
      </c>
      <c r="BG89" s="24">
        <v>87.1</v>
      </c>
      <c r="BH89" s="24">
        <v>84.92</v>
      </c>
      <c r="BI89" s="24">
        <v>82.74</v>
      </c>
    </row>
    <row r="90" spans="1:61" x14ac:dyDescent="0.45">
      <c r="A90" s="43">
        <v>168.8</v>
      </c>
      <c r="B90" s="43">
        <v>171.93</v>
      </c>
      <c r="C90" s="43">
        <v>175.06</v>
      </c>
      <c r="D90" s="43">
        <v>178.19</v>
      </c>
      <c r="E90" s="43">
        <v>181.32</v>
      </c>
      <c r="F90" s="43">
        <v>184.45</v>
      </c>
      <c r="G90" s="43">
        <v>187.58</v>
      </c>
      <c r="H90" s="43">
        <v>190.71</v>
      </c>
      <c r="I90" s="44">
        <v>193.84</v>
      </c>
      <c r="J90" s="53">
        <v>196.97</v>
      </c>
      <c r="K90" s="53">
        <v>200.1</v>
      </c>
      <c r="L90" s="44">
        <v>203.23</v>
      </c>
      <c r="M90" s="44">
        <v>206.36</v>
      </c>
      <c r="N90" s="44">
        <v>209.49</v>
      </c>
      <c r="O90" s="59">
        <v>212.62</v>
      </c>
      <c r="P90" s="65">
        <v>215.75</v>
      </c>
      <c r="Q90" s="65">
        <v>218.89</v>
      </c>
      <c r="R90" s="65">
        <v>222.02</v>
      </c>
      <c r="S90" s="65">
        <v>225.15</v>
      </c>
      <c r="T90" s="65">
        <v>228.28</v>
      </c>
      <c r="U90" s="65">
        <v>231.41</v>
      </c>
      <c r="V90" s="24">
        <v>190.72</v>
      </c>
      <c r="W90" s="24">
        <v>193.85</v>
      </c>
      <c r="X90" s="24">
        <v>196.98</v>
      </c>
      <c r="Y90" s="24">
        <v>200.11</v>
      </c>
      <c r="Z90" s="24">
        <v>143.77000000000001</v>
      </c>
      <c r="AA90" s="24">
        <v>140.63999999999999</v>
      </c>
      <c r="AB90" s="24">
        <v>137.51</v>
      </c>
      <c r="AC90" s="24">
        <v>134.38</v>
      </c>
      <c r="AD90" s="24">
        <v>131.25</v>
      </c>
      <c r="AE90" s="5">
        <v>86</v>
      </c>
      <c r="AF90" s="43">
        <v>101.22</v>
      </c>
      <c r="AG90" s="43">
        <v>103.46</v>
      </c>
      <c r="AH90" s="43">
        <v>105.64</v>
      </c>
      <c r="AI90" s="43">
        <v>107.85</v>
      </c>
      <c r="AJ90" s="43">
        <v>110.06</v>
      </c>
      <c r="AK90" s="43">
        <v>112.27</v>
      </c>
      <c r="AL90" s="43">
        <v>114.48</v>
      </c>
      <c r="AM90" s="43">
        <v>116.69</v>
      </c>
      <c r="AN90" s="44">
        <v>118.9</v>
      </c>
      <c r="AO90" s="53">
        <v>121.11</v>
      </c>
      <c r="AP90" s="53">
        <v>123.32</v>
      </c>
      <c r="AQ90" s="44">
        <v>125.53</v>
      </c>
      <c r="AR90" s="44">
        <v>127.74</v>
      </c>
      <c r="AS90" s="72">
        <v>129.94999999999999</v>
      </c>
      <c r="AT90" s="59">
        <v>132.16999999999999</v>
      </c>
      <c r="AU90" s="65">
        <v>134.38</v>
      </c>
      <c r="AV90" s="65">
        <v>136.59</v>
      </c>
      <c r="AW90" s="65">
        <v>138.80000000000001</v>
      </c>
      <c r="AX90" s="65">
        <v>141.01</v>
      </c>
      <c r="AY90" s="65">
        <v>143.22</v>
      </c>
      <c r="AZ90" s="65">
        <v>145.43</v>
      </c>
      <c r="BA90" s="24">
        <v>125.69</v>
      </c>
      <c r="BB90" s="24">
        <v>127.9</v>
      </c>
      <c r="BC90" s="24">
        <v>130.11000000000001</v>
      </c>
      <c r="BD90" s="24">
        <v>132.32</v>
      </c>
      <c r="BE90" s="24">
        <v>92.54</v>
      </c>
      <c r="BF90" s="24">
        <v>90.33</v>
      </c>
      <c r="BG90" s="24">
        <v>88.12</v>
      </c>
      <c r="BH90" s="24">
        <v>85.91</v>
      </c>
      <c r="BI90" s="24">
        <v>83.7</v>
      </c>
    </row>
    <row r="91" spans="1:61" x14ac:dyDescent="0.45">
      <c r="A91" s="43">
        <v>170.69</v>
      </c>
      <c r="B91" s="43">
        <v>173.86</v>
      </c>
      <c r="C91" s="43">
        <v>177.02</v>
      </c>
      <c r="D91" s="43">
        <v>180.19</v>
      </c>
      <c r="E91" s="43">
        <v>183.36</v>
      </c>
      <c r="F91" s="43">
        <v>186.52</v>
      </c>
      <c r="G91" s="43">
        <v>189.69</v>
      </c>
      <c r="H91" s="43">
        <v>192.86</v>
      </c>
      <c r="I91" s="44">
        <v>196.02</v>
      </c>
      <c r="J91" s="53">
        <v>199.19</v>
      </c>
      <c r="K91" s="53">
        <v>202.36</v>
      </c>
      <c r="L91" s="44">
        <v>205.52</v>
      </c>
      <c r="M91" s="44">
        <v>208.69</v>
      </c>
      <c r="N91" s="44">
        <v>211.86</v>
      </c>
      <c r="O91" s="59">
        <v>215.03</v>
      </c>
      <c r="P91" s="65">
        <v>218.19</v>
      </c>
      <c r="Q91" s="65">
        <v>221.36</v>
      </c>
      <c r="R91" s="65">
        <v>224.53</v>
      </c>
      <c r="S91" s="65">
        <v>227.69</v>
      </c>
      <c r="T91" s="65">
        <v>230.86</v>
      </c>
      <c r="U91" s="65">
        <v>234.03</v>
      </c>
      <c r="V91" s="24">
        <v>192.9</v>
      </c>
      <c r="W91" s="24">
        <v>196.07</v>
      </c>
      <c r="X91" s="24">
        <v>199.23</v>
      </c>
      <c r="Y91" s="24">
        <v>202.4</v>
      </c>
      <c r="Z91" s="24">
        <v>145.4</v>
      </c>
      <c r="AA91" s="24">
        <v>142.22999999999999</v>
      </c>
      <c r="AB91" s="24">
        <v>139.06</v>
      </c>
      <c r="AC91" s="24">
        <v>135.9</v>
      </c>
      <c r="AD91" s="24">
        <v>132.72999999999999</v>
      </c>
      <c r="AE91" s="5">
        <v>87</v>
      </c>
      <c r="AF91" s="43">
        <v>102.38</v>
      </c>
      <c r="AG91" s="43">
        <v>104.62</v>
      </c>
      <c r="AH91" s="43">
        <v>106.86</v>
      </c>
      <c r="AI91" s="43">
        <v>109.9</v>
      </c>
      <c r="AJ91" s="43">
        <v>111.33</v>
      </c>
      <c r="AK91" s="43">
        <v>113.56</v>
      </c>
      <c r="AL91" s="43">
        <v>115.8</v>
      </c>
      <c r="AM91" s="43">
        <v>118.03</v>
      </c>
      <c r="AN91" s="44">
        <v>120.27</v>
      </c>
      <c r="AO91" s="53">
        <v>122.51</v>
      </c>
      <c r="AP91" s="53">
        <v>124.74</v>
      </c>
      <c r="AQ91" s="44">
        <v>126.98</v>
      </c>
      <c r="AR91" s="44">
        <v>129.21</v>
      </c>
      <c r="AS91" s="72">
        <v>131.44999999999999</v>
      </c>
      <c r="AT91" s="59">
        <v>133.69</v>
      </c>
      <c r="AU91" s="65">
        <v>135.91999999999999</v>
      </c>
      <c r="AV91" s="65">
        <v>138.16</v>
      </c>
      <c r="AW91" s="65">
        <v>140.38999999999999</v>
      </c>
      <c r="AX91" s="65">
        <v>142.63</v>
      </c>
      <c r="AY91" s="65">
        <v>144.87</v>
      </c>
      <c r="AZ91" s="65">
        <v>147.1</v>
      </c>
      <c r="BA91" s="24">
        <v>127.14</v>
      </c>
      <c r="BB91" s="24">
        <v>129.38</v>
      </c>
      <c r="BC91" s="24">
        <v>131.61000000000001</v>
      </c>
      <c r="BD91" s="24">
        <v>133.85</v>
      </c>
      <c r="BE91" s="24">
        <v>93.6</v>
      </c>
      <c r="BF91" s="24">
        <v>91.37</v>
      </c>
      <c r="BG91" s="24">
        <v>89.13</v>
      </c>
      <c r="BH91" s="24">
        <v>86.9</v>
      </c>
      <c r="BI91" s="24">
        <v>84.66</v>
      </c>
    </row>
    <row r="92" spans="1:61" x14ac:dyDescent="0.45">
      <c r="A92" s="43">
        <v>172.72</v>
      </c>
      <c r="B92" s="43">
        <v>175.92</v>
      </c>
      <c r="C92" s="43">
        <v>179.13</v>
      </c>
      <c r="D92" s="43">
        <v>182.33</v>
      </c>
      <c r="E92" s="43">
        <v>185.53</v>
      </c>
      <c r="F92" s="43">
        <v>188.74</v>
      </c>
      <c r="G92" s="43">
        <v>191.94</v>
      </c>
      <c r="H92" s="43">
        <v>195.14</v>
      </c>
      <c r="I92" s="44">
        <v>198.35</v>
      </c>
      <c r="J92" s="53">
        <v>201.55</v>
      </c>
      <c r="K92" s="53">
        <v>204.75</v>
      </c>
      <c r="L92" s="44">
        <v>207.96</v>
      </c>
      <c r="M92" s="44">
        <v>211.16</v>
      </c>
      <c r="N92" s="44">
        <v>214.36</v>
      </c>
      <c r="O92" s="59">
        <v>217.57</v>
      </c>
      <c r="P92" s="65">
        <v>220.77</v>
      </c>
      <c r="Q92" s="65">
        <v>223.97</v>
      </c>
      <c r="R92" s="65">
        <v>227.18</v>
      </c>
      <c r="S92" s="65">
        <v>230.38</v>
      </c>
      <c r="T92" s="65">
        <v>233.58</v>
      </c>
      <c r="U92" s="65">
        <v>236.79</v>
      </c>
      <c r="V92" s="24">
        <v>195.16</v>
      </c>
      <c r="W92" s="24">
        <v>198.36</v>
      </c>
      <c r="X92" s="24">
        <v>201.56</v>
      </c>
      <c r="Y92" s="24">
        <v>204.77</v>
      </c>
      <c r="Z92" s="24">
        <v>147.11000000000001</v>
      </c>
      <c r="AA92" s="24">
        <v>143.91</v>
      </c>
      <c r="AB92" s="24">
        <v>140.69999999999999</v>
      </c>
      <c r="AC92" s="24">
        <v>137.5</v>
      </c>
      <c r="AD92" s="24">
        <v>134.30000000000001</v>
      </c>
      <c r="AE92" s="5">
        <v>88</v>
      </c>
      <c r="AF92" s="43">
        <v>103.55</v>
      </c>
      <c r="AG92" s="43">
        <v>105.81</v>
      </c>
      <c r="AH92" s="43">
        <v>108.07</v>
      </c>
      <c r="AI92" s="43">
        <v>110.33</v>
      </c>
      <c r="AJ92" s="43">
        <v>112.59</v>
      </c>
      <c r="AK92" s="43">
        <v>114.85</v>
      </c>
      <c r="AL92" s="43">
        <v>117.12</v>
      </c>
      <c r="AM92" s="43">
        <v>119.38</v>
      </c>
      <c r="AN92" s="44">
        <v>121.64</v>
      </c>
      <c r="AO92" s="53">
        <v>123.9</v>
      </c>
      <c r="AP92" s="53">
        <v>126.16</v>
      </c>
      <c r="AQ92" s="44">
        <v>128.41999999999999</v>
      </c>
      <c r="AR92" s="44">
        <v>130.69</v>
      </c>
      <c r="AS92" s="72">
        <v>132.94999999999999</v>
      </c>
      <c r="AT92" s="59">
        <v>135.21</v>
      </c>
      <c r="AU92" s="65">
        <v>137.47</v>
      </c>
      <c r="AV92" s="65">
        <v>139.72999999999999</v>
      </c>
      <c r="AW92" s="65">
        <v>141.99</v>
      </c>
      <c r="AX92" s="65">
        <v>144.26</v>
      </c>
      <c r="AY92" s="65">
        <v>146.52000000000001</v>
      </c>
      <c r="AZ92" s="65">
        <v>148.78</v>
      </c>
      <c r="BA92" s="24">
        <v>128.6</v>
      </c>
      <c r="BB92" s="24">
        <v>130.86000000000001</v>
      </c>
      <c r="BC92" s="24">
        <v>133.12</v>
      </c>
      <c r="BD92" s="24">
        <v>135.38</v>
      </c>
      <c r="BE92" s="24">
        <v>94.67</v>
      </c>
      <c r="BF92" s="24">
        <v>92.41</v>
      </c>
      <c r="BG92" s="24">
        <v>90.15</v>
      </c>
      <c r="BH92" s="24">
        <v>87.89</v>
      </c>
      <c r="BI92" s="24">
        <v>85.63</v>
      </c>
    </row>
    <row r="93" spans="1:61" x14ac:dyDescent="0.45">
      <c r="A93" s="43">
        <v>174.63</v>
      </c>
      <c r="B93" s="43">
        <v>177.87</v>
      </c>
      <c r="C93" s="43">
        <v>181.11</v>
      </c>
      <c r="D93" s="43">
        <v>184.35</v>
      </c>
      <c r="E93" s="43">
        <v>187.59</v>
      </c>
      <c r="F93" s="43">
        <v>190.83</v>
      </c>
      <c r="G93" s="43">
        <v>194.07</v>
      </c>
      <c r="H93" s="43">
        <v>197.31</v>
      </c>
      <c r="I93" s="44">
        <v>200.55</v>
      </c>
      <c r="J93" s="53">
        <v>203.79</v>
      </c>
      <c r="K93" s="53">
        <v>207.03</v>
      </c>
      <c r="L93" s="44">
        <v>210.27</v>
      </c>
      <c r="M93" s="44">
        <v>213.51</v>
      </c>
      <c r="N93" s="44">
        <v>216.75</v>
      </c>
      <c r="O93" s="59">
        <v>219.98</v>
      </c>
      <c r="P93" s="65">
        <v>223.22</v>
      </c>
      <c r="Q93" s="65">
        <v>226.46</v>
      </c>
      <c r="R93" s="65">
        <v>229.7</v>
      </c>
      <c r="S93" s="65">
        <v>232.94</v>
      </c>
      <c r="T93" s="65">
        <v>236.18</v>
      </c>
      <c r="U93" s="65">
        <v>239.42</v>
      </c>
      <c r="V93" s="24">
        <v>197.34</v>
      </c>
      <c r="W93" s="24">
        <v>200.58</v>
      </c>
      <c r="X93" s="24">
        <v>203.82</v>
      </c>
      <c r="Y93" s="24">
        <v>207.06</v>
      </c>
      <c r="Z93" s="24">
        <v>148.75</v>
      </c>
      <c r="AA93" s="24">
        <v>145.51</v>
      </c>
      <c r="AB93" s="24">
        <v>142.27000000000001</v>
      </c>
      <c r="AC93" s="24">
        <v>139.03</v>
      </c>
      <c r="AD93" s="24">
        <v>135.79</v>
      </c>
      <c r="AE93" s="5">
        <v>89</v>
      </c>
      <c r="AF93" s="43">
        <v>104.71</v>
      </c>
      <c r="AG93" s="43">
        <v>107</v>
      </c>
      <c r="AH93" s="43">
        <v>109.29</v>
      </c>
      <c r="AI93" s="43">
        <v>111.57</v>
      </c>
      <c r="AJ93" s="43">
        <v>113.86</v>
      </c>
      <c r="AK93" s="43">
        <v>116.15</v>
      </c>
      <c r="AL93" s="43">
        <v>118.44</v>
      </c>
      <c r="AM93" s="43">
        <v>120.72</v>
      </c>
      <c r="AN93" s="44">
        <v>123.01</v>
      </c>
      <c r="AO93" s="53">
        <v>125.3</v>
      </c>
      <c r="AP93" s="53">
        <v>127.59</v>
      </c>
      <c r="AQ93" s="44">
        <v>129.87</v>
      </c>
      <c r="AR93" s="44">
        <v>132.16</v>
      </c>
      <c r="AS93" s="72">
        <v>134.44999999999999</v>
      </c>
      <c r="AT93" s="59">
        <v>136.72999999999999</v>
      </c>
      <c r="AU93" s="65">
        <v>139.02000000000001</v>
      </c>
      <c r="AV93" s="65">
        <v>141.31</v>
      </c>
      <c r="AW93" s="65">
        <v>143.6</v>
      </c>
      <c r="AX93" s="65">
        <v>145.88</v>
      </c>
      <c r="AY93" s="65">
        <v>148.16999999999999</v>
      </c>
      <c r="AZ93" s="65">
        <v>150.46</v>
      </c>
      <c r="BA93" s="24">
        <v>130.05000000000001</v>
      </c>
      <c r="BB93" s="24">
        <v>132.34</v>
      </c>
      <c r="BC93" s="24">
        <v>134.63</v>
      </c>
      <c r="BD93" s="24">
        <v>136.91</v>
      </c>
      <c r="BE93" s="24">
        <v>95.74</v>
      </c>
      <c r="BF93" s="24">
        <v>93.45</v>
      </c>
      <c r="BG93" s="24">
        <v>91.17</v>
      </c>
      <c r="BH93" s="24">
        <v>88.88</v>
      </c>
      <c r="BI93" s="24">
        <v>86.59</v>
      </c>
    </row>
    <row r="94" spans="1:61" x14ac:dyDescent="0.45">
      <c r="A94" s="43">
        <v>176.55</v>
      </c>
      <c r="B94" s="43">
        <v>179.82</v>
      </c>
      <c r="C94" s="43">
        <v>183.1</v>
      </c>
      <c r="D94" s="43">
        <v>186.38</v>
      </c>
      <c r="E94" s="43">
        <v>189.65</v>
      </c>
      <c r="F94" s="43">
        <v>192.93</v>
      </c>
      <c r="G94" s="43">
        <v>196.2</v>
      </c>
      <c r="H94" s="43">
        <v>199.48</v>
      </c>
      <c r="I94" s="44">
        <v>202.76</v>
      </c>
      <c r="J94" s="53">
        <v>206.03</v>
      </c>
      <c r="K94" s="53">
        <v>209.31</v>
      </c>
      <c r="L94" s="44">
        <v>212.58</v>
      </c>
      <c r="M94" s="44">
        <v>215.86</v>
      </c>
      <c r="N94" s="44">
        <v>219.14</v>
      </c>
      <c r="O94" s="59">
        <v>222.41</v>
      </c>
      <c r="P94" s="65">
        <v>225.69</v>
      </c>
      <c r="Q94" s="65">
        <v>228.96</v>
      </c>
      <c r="R94" s="65">
        <v>232.24</v>
      </c>
      <c r="S94" s="65">
        <v>235.52</v>
      </c>
      <c r="T94" s="65">
        <v>238.79</v>
      </c>
      <c r="U94" s="65">
        <v>242.07</v>
      </c>
      <c r="V94" s="24">
        <v>199.53</v>
      </c>
      <c r="W94" s="24">
        <v>202.81</v>
      </c>
      <c r="X94" s="24">
        <v>206.09</v>
      </c>
      <c r="Y94" s="24">
        <v>209.36</v>
      </c>
      <c r="Z94" s="24">
        <v>150.38999999999999</v>
      </c>
      <c r="AA94" s="24">
        <v>147.12</v>
      </c>
      <c r="AB94" s="24">
        <v>143.84</v>
      </c>
      <c r="AC94" s="24">
        <v>140.57</v>
      </c>
      <c r="AD94" s="24">
        <v>137.29</v>
      </c>
      <c r="AE94" s="5">
        <v>90</v>
      </c>
      <c r="AF94" s="43">
        <v>105.92</v>
      </c>
      <c r="AG94" s="43">
        <v>108.23</v>
      </c>
      <c r="AH94" s="43">
        <v>110.54</v>
      </c>
      <c r="AI94" s="43">
        <v>112.86</v>
      </c>
      <c r="AJ94" s="43">
        <v>115.17</v>
      </c>
      <c r="AK94" s="43">
        <v>117.48</v>
      </c>
      <c r="AL94" s="43">
        <v>119.8</v>
      </c>
      <c r="AM94" s="43">
        <v>122.11</v>
      </c>
      <c r="AN94" s="44">
        <v>124.42</v>
      </c>
      <c r="AO94" s="53">
        <v>126.73</v>
      </c>
      <c r="AP94" s="53">
        <v>129.05000000000001</v>
      </c>
      <c r="AQ94" s="44">
        <v>131.36000000000001</v>
      </c>
      <c r="AR94" s="44">
        <v>133.66999999999999</v>
      </c>
      <c r="AS94" s="72">
        <v>135.99</v>
      </c>
      <c r="AT94" s="59">
        <v>138.30000000000001</v>
      </c>
      <c r="AU94" s="65">
        <v>140.61000000000001</v>
      </c>
      <c r="AV94" s="65">
        <v>142.93</v>
      </c>
      <c r="AW94" s="65">
        <v>145.24</v>
      </c>
      <c r="AX94" s="65">
        <v>147.55000000000001</v>
      </c>
      <c r="AY94" s="65">
        <v>149.86000000000001</v>
      </c>
      <c r="AZ94" s="65">
        <v>152.18</v>
      </c>
      <c r="BA94" s="24">
        <v>131.53</v>
      </c>
      <c r="BB94" s="24">
        <v>133.84</v>
      </c>
      <c r="BC94" s="24">
        <v>136.16</v>
      </c>
      <c r="BD94" s="24">
        <v>138.47</v>
      </c>
      <c r="BE94" s="24">
        <v>96.83</v>
      </c>
      <c r="BF94" s="24">
        <v>94.52</v>
      </c>
      <c r="BG94" s="24">
        <v>92.21</v>
      </c>
      <c r="BH94" s="24">
        <v>89.9</v>
      </c>
      <c r="BI94" s="24">
        <v>87.58</v>
      </c>
    </row>
    <row r="95" spans="1:61" x14ac:dyDescent="0.45">
      <c r="A95" s="43">
        <v>178.62</v>
      </c>
      <c r="B95" s="43">
        <v>181.93</v>
      </c>
      <c r="C95" s="43">
        <v>185.24</v>
      </c>
      <c r="D95" s="43">
        <v>188.55</v>
      </c>
      <c r="E95" s="43">
        <v>191.87</v>
      </c>
      <c r="F95" s="43">
        <v>195.18</v>
      </c>
      <c r="G95" s="43">
        <v>198.49</v>
      </c>
      <c r="H95" s="43">
        <v>201.8</v>
      </c>
      <c r="I95" s="44">
        <v>205.11</v>
      </c>
      <c r="J95" s="53">
        <v>208.43</v>
      </c>
      <c r="K95" s="53">
        <v>211.74</v>
      </c>
      <c r="L95" s="44">
        <v>215.05</v>
      </c>
      <c r="M95" s="44">
        <v>218.36</v>
      </c>
      <c r="N95" s="44">
        <v>221.68</v>
      </c>
      <c r="O95" s="59">
        <v>224.99</v>
      </c>
      <c r="P95" s="65">
        <v>228.3</v>
      </c>
      <c r="Q95" s="65">
        <v>231.61</v>
      </c>
      <c r="R95" s="65">
        <v>234.93</v>
      </c>
      <c r="S95" s="65">
        <v>238.24</v>
      </c>
      <c r="T95" s="65">
        <v>241.55</v>
      </c>
      <c r="U95" s="65">
        <v>244.86</v>
      </c>
      <c r="V95" s="24">
        <v>201.81</v>
      </c>
      <c r="W95" s="24">
        <v>205.13</v>
      </c>
      <c r="X95" s="24">
        <v>208.44</v>
      </c>
      <c r="Y95" s="24">
        <v>211.75</v>
      </c>
      <c r="Z95" s="24">
        <v>152.13</v>
      </c>
      <c r="AA95" s="24">
        <v>148.82</v>
      </c>
      <c r="AB95" s="24">
        <v>145.5</v>
      </c>
      <c r="AC95" s="24">
        <v>142.19</v>
      </c>
      <c r="AD95" s="24">
        <v>138.88</v>
      </c>
      <c r="AE95" s="5">
        <v>91</v>
      </c>
      <c r="AF95" s="43">
        <v>107.09</v>
      </c>
      <c r="AG95" s="43">
        <v>109.43</v>
      </c>
      <c r="AH95" s="43">
        <v>111.77</v>
      </c>
      <c r="AI95" s="43">
        <v>114.1</v>
      </c>
      <c r="AJ95" s="43">
        <v>116.44</v>
      </c>
      <c r="AK95" s="43">
        <v>118.78</v>
      </c>
      <c r="AL95" s="43">
        <v>121.12</v>
      </c>
      <c r="AM95" s="43">
        <v>123.46</v>
      </c>
      <c r="AN95" s="44">
        <v>125.8</v>
      </c>
      <c r="AO95" s="53">
        <v>128.13999999999999</v>
      </c>
      <c r="AP95" s="53">
        <v>130.47999999999999</v>
      </c>
      <c r="AQ95" s="44">
        <v>132.81</v>
      </c>
      <c r="AR95" s="44">
        <v>135.15</v>
      </c>
      <c r="AS95" s="72">
        <v>137.49</v>
      </c>
      <c r="AT95" s="59">
        <v>139.83000000000001</v>
      </c>
      <c r="AU95" s="65">
        <v>142.16999999999999</v>
      </c>
      <c r="AV95" s="65">
        <v>144.51</v>
      </c>
      <c r="AW95" s="65">
        <v>146.85</v>
      </c>
      <c r="AX95" s="65">
        <v>149.19</v>
      </c>
      <c r="AY95" s="65">
        <v>151.52000000000001</v>
      </c>
      <c r="AZ95" s="65">
        <v>153.86000000000001</v>
      </c>
      <c r="BA95" s="24">
        <v>132.99</v>
      </c>
      <c r="BB95" s="24">
        <v>135.33000000000001</v>
      </c>
      <c r="BC95" s="24">
        <v>137.66</v>
      </c>
      <c r="BD95" s="24">
        <v>140</v>
      </c>
      <c r="BE95" s="24">
        <v>97.91</v>
      </c>
      <c r="BF95" s="24">
        <v>95.57</v>
      </c>
      <c r="BG95" s="24">
        <v>93.23</v>
      </c>
      <c r="BH95" s="24">
        <v>90.89</v>
      </c>
      <c r="BI95" s="24">
        <v>88.55</v>
      </c>
    </row>
    <row r="96" spans="1:61" x14ac:dyDescent="0.45">
      <c r="A96" s="43">
        <v>180.55</v>
      </c>
      <c r="B96" s="43">
        <v>183.9</v>
      </c>
      <c r="C96" s="43">
        <v>187.25</v>
      </c>
      <c r="D96" s="43">
        <v>190.6</v>
      </c>
      <c r="E96" s="43">
        <v>193.95</v>
      </c>
      <c r="F96" s="43">
        <v>197.3</v>
      </c>
      <c r="G96" s="43">
        <v>200.65</v>
      </c>
      <c r="H96" s="43">
        <v>203.99</v>
      </c>
      <c r="I96" s="44">
        <v>207.34</v>
      </c>
      <c r="J96" s="53">
        <v>210.69</v>
      </c>
      <c r="K96" s="53">
        <v>214.04</v>
      </c>
      <c r="L96" s="44">
        <v>217.39</v>
      </c>
      <c r="M96" s="44">
        <v>220.74</v>
      </c>
      <c r="N96" s="44">
        <v>224.09</v>
      </c>
      <c r="O96" s="59">
        <v>227.44</v>
      </c>
      <c r="P96" s="65">
        <v>230.79</v>
      </c>
      <c r="Q96" s="65">
        <v>234.13</v>
      </c>
      <c r="R96" s="65">
        <v>237.48</v>
      </c>
      <c r="S96" s="65">
        <v>240.83</v>
      </c>
      <c r="T96" s="65">
        <v>244.18</v>
      </c>
      <c r="U96" s="65">
        <v>247.53</v>
      </c>
      <c r="V96" s="24">
        <v>204.02</v>
      </c>
      <c r="W96" s="24">
        <v>207.37</v>
      </c>
      <c r="X96" s="24">
        <v>210.71</v>
      </c>
      <c r="Y96" s="24">
        <v>214.06</v>
      </c>
      <c r="Z96" s="24">
        <v>153.78</v>
      </c>
      <c r="AA96" s="24">
        <v>150.44</v>
      </c>
      <c r="AB96" s="24">
        <v>147.09</v>
      </c>
      <c r="AC96" s="24">
        <v>143.74</v>
      </c>
      <c r="AD96" s="24">
        <v>140.38999999999999</v>
      </c>
      <c r="AE96" s="5">
        <v>92</v>
      </c>
      <c r="AF96" s="43">
        <v>108.22</v>
      </c>
      <c r="AG96" s="43">
        <v>110.59</v>
      </c>
      <c r="AH96" s="43">
        <v>112.95</v>
      </c>
      <c r="AI96" s="43">
        <v>115.32</v>
      </c>
      <c r="AJ96" s="43">
        <v>117.68</v>
      </c>
      <c r="AK96" s="43">
        <v>120.04</v>
      </c>
      <c r="AL96" s="43">
        <v>122.41</v>
      </c>
      <c r="AM96" s="43">
        <v>124.77</v>
      </c>
      <c r="AN96" s="44">
        <v>127.14</v>
      </c>
      <c r="AO96" s="53">
        <v>129.5</v>
      </c>
      <c r="AP96" s="53">
        <v>131.87</v>
      </c>
      <c r="AQ96" s="44">
        <v>134.22999999999999</v>
      </c>
      <c r="AR96" s="44">
        <v>136.6</v>
      </c>
      <c r="AS96" s="72">
        <v>138.96</v>
      </c>
      <c r="AT96" s="59">
        <v>141.32</v>
      </c>
      <c r="AU96" s="65">
        <v>143.69</v>
      </c>
      <c r="AV96" s="65">
        <v>146.05000000000001</v>
      </c>
      <c r="AW96" s="65">
        <v>148.41999999999999</v>
      </c>
      <c r="AX96" s="65">
        <v>150.78</v>
      </c>
      <c r="AY96" s="65">
        <v>153.15</v>
      </c>
      <c r="AZ96" s="65">
        <v>155.51</v>
      </c>
      <c r="BA96" s="24">
        <v>134.41999999999999</v>
      </c>
      <c r="BB96" s="24">
        <v>136.79</v>
      </c>
      <c r="BC96" s="24">
        <v>139.15</v>
      </c>
      <c r="BD96" s="24">
        <v>141.52000000000001</v>
      </c>
      <c r="BE96" s="24">
        <v>98.96</v>
      </c>
      <c r="BF96" s="24">
        <v>96.59</v>
      </c>
      <c r="BG96" s="24">
        <v>94.23</v>
      </c>
      <c r="BH96" s="24">
        <v>91.86</v>
      </c>
      <c r="BI96" s="24">
        <v>89.5</v>
      </c>
    </row>
    <row r="97" spans="1:61" x14ac:dyDescent="0.45">
      <c r="A97" s="43">
        <v>182.5</v>
      </c>
      <c r="B97" s="43">
        <v>185.89</v>
      </c>
      <c r="C97" s="43">
        <v>189.27</v>
      </c>
      <c r="D97" s="43">
        <v>192.66</v>
      </c>
      <c r="E97" s="43">
        <v>196.04</v>
      </c>
      <c r="F97" s="43">
        <v>199.43</v>
      </c>
      <c r="G97" s="43">
        <v>202.81</v>
      </c>
      <c r="H97" s="43">
        <v>206.2</v>
      </c>
      <c r="I97" s="44">
        <v>209.58</v>
      </c>
      <c r="J97" s="53">
        <v>212.97</v>
      </c>
      <c r="K97" s="53">
        <v>216.35</v>
      </c>
      <c r="L97" s="44">
        <v>219.74</v>
      </c>
      <c r="M97" s="44">
        <v>223.12</v>
      </c>
      <c r="N97" s="44">
        <v>226.51</v>
      </c>
      <c r="O97" s="59">
        <v>229.89</v>
      </c>
      <c r="P97" s="65">
        <v>233.28</v>
      </c>
      <c r="Q97" s="65">
        <v>236.66</v>
      </c>
      <c r="R97" s="65">
        <v>240.05</v>
      </c>
      <c r="S97" s="65">
        <v>243.43</v>
      </c>
      <c r="T97" s="65">
        <v>246.82</v>
      </c>
      <c r="U97" s="65">
        <v>250.2</v>
      </c>
      <c r="V97" s="24">
        <v>206.23</v>
      </c>
      <c r="W97" s="24">
        <v>209.61</v>
      </c>
      <c r="X97" s="24">
        <v>213</v>
      </c>
      <c r="Y97" s="24">
        <v>216.38</v>
      </c>
      <c r="Z97" s="24">
        <v>155.44999999999999</v>
      </c>
      <c r="AA97" s="24">
        <v>152.06</v>
      </c>
      <c r="AB97" s="24">
        <v>148.68</v>
      </c>
      <c r="AC97" s="24">
        <v>145.29</v>
      </c>
      <c r="AD97" s="24">
        <v>141.91</v>
      </c>
      <c r="AE97" s="5">
        <v>93</v>
      </c>
      <c r="AF97" s="43">
        <v>109.4</v>
      </c>
      <c r="AG97" s="43">
        <v>111.79</v>
      </c>
      <c r="AH97" s="43">
        <v>114.18</v>
      </c>
      <c r="AI97" s="43">
        <v>116.57</v>
      </c>
      <c r="AJ97" s="43">
        <v>118.96</v>
      </c>
      <c r="AK97" s="43">
        <v>121.35</v>
      </c>
      <c r="AL97" s="43">
        <v>123.74</v>
      </c>
      <c r="AM97" s="43">
        <v>126.13</v>
      </c>
      <c r="AN97" s="44">
        <v>128.52000000000001</v>
      </c>
      <c r="AO97" s="53">
        <v>130.91</v>
      </c>
      <c r="AP97" s="53">
        <v>133.30000000000001</v>
      </c>
      <c r="AQ97" s="44">
        <v>135.69</v>
      </c>
      <c r="AR97" s="44">
        <v>138.08000000000001</v>
      </c>
      <c r="AS97" s="72">
        <v>140.47</v>
      </c>
      <c r="AT97" s="59">
        <v>142.86000000000001</v>
      </c>
      <c r="AU97" s="65">
        <v>145.25</v>
      </c>
      <c r="AV97" s="65">
        <v>147.63999999999999</v>
      </c>
      <c r="AW97" s="65">
        <v>150.03</v>
      </c>
      <c r="AX97" s="65">
        <v>152.41999999999999</v>
      </c>
      <c r="AY97" s="65">
        <v>154.81</v>
      </c>
      <c r="AZ97" s="65">
        <v>157.19999999999999</v>
      </c>
      <c r="BA97" s="24">
        <v>135.88</v>
      </c>
      <c r="BB97" s="24">
        <v>138.27000000000001</v>
      </c>
      <c r="BC97" s="24">
        <v>140.66</v>
      </c>
      <c r="BD97" s="24">
        <v>143.05000000000001</v>
      </c>
      <c r="BE97" s="24">
        <v>100.03</v>
      </c>
      <c r="BF97" s="24">
        <v>97.64</v>
      </c>
      <c r="BG97" s="24">
        <v>95.25</v>
      </c>
      <c r="BH97" s="24">
        <v>92.86</v>
      </c>
      <c r="BI97" s="24">
        <v>90.47</v>
      </c>
    </row>
    <row r="98" spans="1:61" x14ac:dyDescent="0.45">
      <c r="A98" s="43">
        <v>184.46</v>
      </c>
      <c r="B98" s="43">
        <v>187.88</v>
      </c>
      <c r="C98" s="43">
        <v>191.3</v>
      </c>
      <c r="D98" s="43">
        <v>194.72</v>
      </c>
      <c r="E98" s="43">
        <v>198.14</v>
      </c>
      <c r="F98" s="43">
        <v>201.56</v>
      </c>
      <c r="G98" s="43">
        <v>204.99</v>
      </c>
      <c r="H98" s="43">
        <v>208.41</v>
      </c>
      <c r="I98" s="44">
        <v>211.83</v>
      </c>
      <c r="J98" s="53">
        <v>215.25</v>
      </c>
      <c r="K98" s="53">
        <v>218.67</v>
      </c>
      <c r="L98" s="44">
        <v>222.09</v>
      </c>
      <c r="M98" s="44">
        <v>225.51</v>
      </c>
      <c r="N98" s="44">
        <v>228.94</v>
      </c>
      <c r="O98" s="59">
        <v>232.36</v>
      </c>
      <c r="P98" s="65">
        <v>235.78</v>
      </c>
      <c r="Q98" s="65">
        <v>239.2</v>
      </c>
      <c r="R98" s="65">
        <v>242.62</v>
      </c>
      <c r="S98" s="65">
        <v>246.04</v>
      </c>
      <c r="T98" s="65">
        <v>249.47</v>
      </c>
      <c r="U98" s="65">
        <v>252.89</v>
      </c>
      <c r="V98" s="24">
        <v>208.44</v>
      </c>
      <c r="W98" s="24">
        <v>211.86</v>
      </c>
      <c r="X98" s="24">
        <v>215.28</v>
      </c>
      <c r="Y98" s="24">
        <v>218.7</v>
      </c>
      <c r="Z98" s="24">
        <v>157.11000000000001</v>
      </c>
      <c r="AA98" s="24">
        <v>153.69</v>
      </c>
      <c r="AB98" s="24">
        <v>150.27000000000001</v>
      </c>
      <c r="AC98" s="24">
        <v>146.85</v>
      </c>
      <c r="AD98" s="24">
        <v>143.43</v>
      </c>
      <c r="AE98" s="5">
        <v>94</v>
      </c>
      <c r="AF98" s="43">
        <v>110.58</v>
      </c>
      <c r="AG98" s="43">
        <v>112.99</v>
      </c>
      <c r="AH98" s="43">
        <v>115.41</v>
      </c>
      <c r="AI98" s="43">
        <v>117.82</v>
      </c>
      <c r="AJ98" s="43">
        <v>120.24</v>
      </c>
      <c r="AK98" s="43">
        <v>122.65</v>
      </c>
      <c r="AL98" s="43">
        <v>125.07</v>
      </c>
      <c r="AM98" s="43">
        <v>127.49</v>
      </c>
      <c r="AN98" s="44">
        <v>129.9</v>
      </c>
      <c r="AO98" s="53">
        <v>132.32</v>
      </c>
      <c r="AP98" s="53">
        <v>134.72999999999999</v>
      </c>
      <c r="AQ98" s="44">
        <v>137.15</v>
      </c>
      <c r="AR98" s="44">
        <v>139.56</v>
      </c>
      <c r="AS98" s="72">
        <v>141.97999999999999</v>
      </c>
      <c r="AT98" s="59">
        <v>144.4</v>
      </c>
      <c r="AU98" s="65">
        <v>146.81</v>
      </c>
      <c r="AV98" s="65">
        <v>149.22999999999999</v>
      </c>
      <c r="AW98" s="65">
        <v>151.63999999999999</v>
      </c>
      <c r="AX98" s="65">
        <v>154.06</v>
      </c>
      <c r="AY98" s="65">
        <v>156.47999999999999</v>
      </c>
      <c r="AZ98" s="65">
        <v>158.88999999999999</v>
      </c>
      <c r="BA98" s="24">
        <v>137.34</v>
      </c>
      <c r="BB98" s="24">
        <v>139.76</v>
      </c>
      <c r="BC98" s="24">
        <v>142.18</v>
      </c>
      <c r="BD98" s="24">
        <v>144.59</v>
      </c>
      <c r="BE98" s="24">
        <v>101.11</v>
      </c>
      <c r="BF98" s="24">
        <v>98.69</v>
      </c>
      <c r="BG98" s="24">
        <v>96.28</v>
      </c>
      <c r="BH98" s="24">
        <v>93.86</v>
      </c>
      <c r="BI98" s="24">
        <v>91.44</v>
      </c>
    </row>
    <row r="99" spans="1:61" x14ac:dyDescent="0.45">
      <c r="A99" s="43">
        <v>186.27</v>
      </c>
      <c r="B99" s="43">
        <v>189.73</v>
      </c>
      <c r="C99" s="43">
        <v>193.18</v>
      </c>
      <c r="D99" s="43">
        <v>196.64</v>
      </c>
      <c r="E99" s="43">
        <v>200.1</v>
      </c>
      <c r="F99" s="43">
        <v>203.56</v>
      </c>
      <c r="G99" s="43">
        <v>207.02</v>
      </c>
      <c r="H99" s="43">
        <v>210.47</v>
      </c>
      <c r="I99" s="44">
        <v>213.93</v>
      </c>
      <c r="J99" s="53">
        <v>217.39</v>
      </c>
      <c r="K99" s="53">
        <v>220.85</v>
      </c>
      <c r="L99" s="44">
        <v>224.31</v>
      </c>
      <c r="M99" s="44">
        <v>227.76</v>
      </c>
      <c r="N99" s="44">
        <v>231.22</v>
      </c>
      <c r="O99" s="59">
        <v>234.68</v>
      </c>
      <c r="P99" s="65">
        <v>238.14</v>
      </c>
      <c r="Q99" s="65">
        <v>241.6</v>
      </c>
      <c r="R99" s="65">
        <v>245.05</v>
      </c>
      <c r="S99" s="65">
        <v>248.51</v>
      </c>
      <c r="T99" s="65">
        <v>251.97</v>
      </c>
      <c r="U99" s="65">
        <v>255.43</v>
      </c>
      <c r="V99" s="24">
        <v>210.57</v>
      </c>
      <c r="W99" s="24">
        <v>214.03</v>
      </c>
      <c r="X99" s="24">
        <v>217.48</v>
      </c>
      <c r="Y99" s="24">
        <v>220.94</v>
      </c>
      <c r="Z99" s="24">
        <v>158.69999999999999</v>
      </c>
      <c r="AA99" s="24">
        <v>155.24</v>
      </c>
      <c r="AB99" s="24">
        <v>151.78</v>
      </c>
      <c r="AC99" s="24">
        <v>148.32</v>
      </c>
      <c r="AD99" s="24">
        <v>144.87</v>
      </c>
      <c r="AE99" s="5">
        <v>95</v>
      </c>
      <c r="AF99" s="43">
        <v>111.76</v>
      </c>
      <c r="AG99" s="43">
        <v>114.2</v>
      </c>
      <c r="AH99" s="43">
        <v>116.64</v>
      </c>
      <c r="AI99" s="43">
        <v>119.08</v>
      </c>
      <c r="AJ99" s="43">
        <v>121.52</v>
      </c>
      <c r="AK99" s="43">
        <v>123.96</v>
      </c>
      <c r="AL99" s="43">
        <v>126.4</v>
      </c>
      <c r="AM99" s="43">
        <v>128.85</v>
      </c>
      <c r="AN99" s="44">
        <v>131.29</v>
      </c>
      <c r="AO99" s="53">
        <v>133.72999999999999</v>
      </c>
      <c r="AP99" s="53">
        <v>136.16999999999999</v>
      </c>
      <c r="AQ99" s="44">
        <v>138.61000000000001</v>
      </c>
      <c r="AR99" s="44">
        <v>141.05000000000001</v>
      </c>
      <c r="AS99" s="72">
        <v>143.5</v>
      </c>
      <c r="AT99" s="59">
        <v>145.94</v>
      </c>
      <c r="AU99" s="65">
        <v>148.38</v>
      </c>
      <c r="AV99" s="65">
        <v>150.82</v>
      </c>
      <c r="AW99" s="65">
        <v>153.26</v>
      </c>
      <c r="AX99" s="65">
        <v>155.69999999999999</v>
      </c>
      <c r="AY99" s="65">
        <v>158.13999999999999</v>
      </c>
      <c r="AZ99" s="65">
        <v>160.59</v>
      </c>
      <c r="BA99" s="24">
        <v>138.81</v>
      </c>
      <c r="BB99" s="24">
        <v>141.25</v>
      </c>
      <c r="BC99" s="24">
        <v>143.69</v>
      </c>
      <c r="BD99" s="24">
        <v>146.13</v>
      </c>
      <c r="BE99" s="24">
        <v>102.19</v>
      </c>
      <c r="BF99" s="24">
        <v>99.74</v>
      </c>
      <c r="BG99" s="24">
        <v>97.3</v>
      </c>
      <c r="BH99" s="24">
        <v>94.86</v>
      </c>
      <c r="BI99" s="24">
        <v>92.42</v>
      </c>
    </row>
    <row r="100" spans="1:61" x14ac:dyDescent="0.45">
      <c r="A100" s="43">
        <v>188.24</v>
      </c>
      <c r="B100" s="43">
        <v>191.73</v>
      </c>
      <c r="C100" s="43">
        <v>195.23</v>
      </c>
      <c r="D100" s="43">
        <v>198.72</v>
      </c>
      <c r="E100" s="43">
        <v>202.22</v>
      </c>
      <c r="F100" s="43">
        <v>205.71</v>
      </c>
      <c r="G100" s="43">
        <v>209.21</v>
      </c>
      <c r="H100" s="43">
        <v>212.7</v>
      </c>
      <c r="I100" s="44">
        <v>216.19</v>
      </c>
      <c r="J100" s="53">
        <v>219.69</v>
      </c>
      <c r="K100" s="53">
        <v>223.18</v>
      </c>
      <c r="L100" s="44">
        <v>226.68</v>
      </c>
      <c r="M100" s="44">
        <v>230.17</v>
      </c>
      <c r="N100" s="44">
        <v>233.67</v>
      </c>
      <c r="O100" s="59">
        <v>237.16</v>
      </c>
      <c r="P100" s="65">
        <v>240.66</v>
      </c>
      <c r="Q100" s="65">
        <v>244.15</v>
      </c>
      <c r="R100" s="65">
        <v>247.64</v>
      </c>
      <c r="S100" s="65">
        <v>251.14</v>
      </c>
      <c r="T100" s="65">
        <v>254.63</v>
      </c>
      <c r="U100" s="65">
        <v>258.13</v>
      </c>
      <c r="V100" s="24">
        <v>212.79</v>
      </c>
      <c r="W100" s="24">
        <v>216.29</v>
      </c>
      <c r="X100" s="24">
        <v>219.78</v>
      </c>
      <c r="Y100" s="24">
        <v>223.27</v>
      </c>
      <c r="Z100" s="24">
        <v>160.38</v>
      </c>
      <c r="AA100" s="24">
        <v>156.88</v>
      </c>
      <c r="AB100" s="24">
        <v>153.38999999999999</v>
      </c>
      <c r="AC100" s="24">
        <v>149.88999999999999</v>
      </c>
      <c r="AD100" s="24">
        <v>146.4</v>
      </c>
      <c r="AE100" s="5">
        <v>96</v>
      </c>
      <c r="AF100" s="43">
        <v>112.94</v>
      </c>
      <c r="AG100" s="43">
        <v>115.41</v>
      </c>
      <c r="AH100" s="43">
        <v>117.87</v>
      </c>
      <c r="AI100" s="43">
        <v>120.34</v>
      </c>
      <c r="AJ100" s="43">
        <v>122.81</v>
      </c>
      <c r="AK100" s="43">
        <v>125.27</v>
      </c>
      <c r="AL100" s="43">
        <v>127.74</v>
      </c>
      <c r="AM100" s="43">
        <v>130.21</v>
      </c>
      <c r="AN100" s="44">
        <v>132.68</v>
      </c>
      <c r="AO100" s="53">
        <v>135.13999999999999</v>
      </c>
      <c r="AP100" s="53">
        <v>137.61000000000001</v>
      </c>
      <c r="AQ100" s="44">
        <v>140.08000000000001</v>
      </c>
      <c r="AR100" s="44">
        <v>142.55000000000001</v>
      </c>
      <c r="AS100" s="72">
        <v>145.01</v>
      </c>
      <c r="AT100" s="59">
        <v>147.47999999999999</v>
      </c>
      <c r="AU100" s="65">
        <v>149.94999999999999</v>
      </c>
      <c r="AV100" s="65">
        <v>152.41</v>
      </c>
      <c r="AW100" s="65">
        <v>154.88</v>
      </c>
      <c r="AX100" s="65">
        <v>157.35</v>
      </c>
      <c r="AY100" s="65">
        <v>159.82</v>
      </c>
      <c r="AZ100" s="65">
        <v>162.28</v>
      </c>
      <c r="BA100" s="24">
        <v>140.27000000000001</v>
      </c>
      <c r="BB100" s="24">
        <v>142.74</v>
      </c>
      <c r="BC100" s="24">
        <v>145.21</v>
      </c>
      <c r="BD100" s="24">
        <v>147.66999999999999</v>
      </c>
      <c r="BE100" s="24">
        <v>103.27</v>
      </c>
      <c r="BF100" s="24">
        <v>100.8</v>
      </c>
      <c r="BG100" s="24">
        <v>98.33</v>
      </c>
      <c r="BH100" s="24">
        <v>95.86</v>
      </c>
      <c r="BI100" s="24">
        <v>93.4</v>
      </c>
    </row>
    <row r="101" spans="1:61" x14ac:dyDescent="0.45">
      <c r="A101" s="43">
        <v>190.22</v>
      </c>
      <c r="B101" s="43">
        <v>193.75</v>
      </c>
      <c r="C101" s="43">
        <v>197.28</v>
      </c>
      <c r="D101" s="43">
        <v>200.81</v>
      </c>
      <c r="E101" s="43">
        <v>204.35</v>
      </c>
      <c r="F101" s="43">
        <v>207.88</v>
      </c>
      <c r="G101" s="43">
        <v>211.41</v>
      </c>
      <c r="H101" s="43">
        <v>214.94</v>
      </c>
      <c r="I101" s="44">
        <v>218.47</v>
      </c>
      <c r="J101" s="53">
        <v>222</v>
      </c>
      <c r="K101" s="53">
        <v>225.53</v>
      </c>
      <c r="L101" s="44">
        <v>229.06</v>
      </c>
      <c r="M101" s="44">
        <v>232.59</v>
      </c>
      <c r="N101" s="44">
        <v>236.12</v>
      </c>
      <c r="O101" s="59">
        <v>239.65</v>
      </c>
      <c r="P101" s="65">
        <v>243.18</v>
      </c>
      <c r="Q101" s="65">
        <v>246.71</v>
      </c>
      <c r="R101" s="65">
        <v>250.25</v>
      </c>
      <c r="S101" s="65">
        <v>253.78</v>
      </c>
      <c r="T101" s="65">
        <v>257.31</v>
      </c>
      <c r="U101" s="65">
        <v>260.83999999999997</v>
      </c>
      <c r="V101" s="24">
        <v>215.02</v>
      </c>
      <c r="W101" s="24">
        <v>218.55</v>
      </c>
      <c r="X101" s="24">
        <v>222.08</v>
      </c>
      <c r="Y101" s="24">
        <v>225.61</v>
      </c>
      <c r="Z101" s="24">
        <v>162.06</v>
      </c>
      <c r="AA101" s="24">
        <v>158.53</v>
      </c>
      <c r="AB101" s="24">
        <v>155</v>
      </c>
      <c r="AC101" s="24">
        <v>151.47</v>
      </c>
      <c r="AD101" s="24">
        <v>147.94</v>
      </c>
      <c r="AE101" s="5">
        <v>97</v>
      </c>
      <c r="AF101" s="43">
        <v>114.08</v>
      </c>
      <c r="AG101" s="43">
        <v>116.57</v>
      </c>
      <c r="AH101" s="43">
        <v>119.07</v>
      </c>
      <c r="AI101" s="43">
        <v>121.59</v>
      </c>
      <c r="AJ101" s="43">
        <v>124.05</v>
      </c>
      <c r="AK101" s="43">
        <v>126.55</v>
      </c>
      <c r="AL101" s="43">
        <v>129.04</v>
      </c>
      <c r="AM101" s="43">
        <v>131.53</v>
      </c>
      <c r="AN101" s="44">
        <v>134.02000000000001</v>
      </c>
      <c r="AO101" s="53">
        <v>136.52000000000001</v>
      </c>
      <c r="AP101" s="53">
        <v>139.01</v>
      </c>
      <c r="AQ101" s="44">
        <v>141.5</v>
      </c>
      <c r="AR101" s="44">
        <v>144</v>
      </c>
      <c r="AS101" s="72">
        <v>146.49</v>
      </c>
      <c r="AT101" s="59">
        <v>148.97999999999999</v>
      </c>
      <c r="AU101" s="65">
        <v>151.47</v>
      </c>
      <c r="AV101" s="65">
        <v>153.97</v>
      </c>
      <c r="AW101" s="65">
        <v>156.46</v>
      </c>
      <c r="AX101" s="65">
        <v>158.94999999999999</v>
      </c>
      <c r="AY101" s="65">
        <v>161.44999999999999</v>
      </c>
      <c r="AZ101" s="65">
        <v>163.94</v>
      </c>
      <c r="BA101" s="24">
        <v>141.71</v>
      </c>
      <c r="BB101" s="24">
        <v>144.21</v>
      </c>
      <c r="BC101" s="24">
        <v>146.69999999999999</v>
      </c>
      <c r="BD101" s="24">
        <v>149.19</v>
      </c>
      <c r="BE101" s="24">
        <v>104.32</v>
      </c>
      <c r="BF101" s="24">
        <v>101.83</v>
      </c>
      <c r="BG101" s="24">
        <v>99.33</v>
      </c>
      <c r="BH101" s="24">
        <v>96.84</v>
      </c>
      <c r="BI101" s="24">
        <v>94.35</v>
      </c>
    </row>
    <row r="102" spans="1:61" x14ac:dyDescent="0.45">
      <c r="A102" s="43">
        <v>192.21</v>
      </c>
      <c r="B102" s="43">
        <v>195.78</v>
      </c>
      <c r="C102" s="43">
        <v>199.35</v>
      </c>
      <c r="D102" s="43">
        <v>202.92</v>
      </c>
      <c r="E102" s="43">
        <v>206.48</v>
      </c>
      <c r="F102" s="43">
        <v>210.05</v>
      </c>
      <c r="G102" s="43">
        <v>213.62</v>
      </c>
      <c r="H102" s="43">
        <v>217.18</v>
      </c>
      <c r="I102" s="44">
        <v>220.75</v>
      </c>
      <c r="J102" s="53">
        <v>224.32</v>
      </c>
      <c r="K102" s="53">
        <v>227.89</v>
      </c>
      <c r="L102" s="44">
        <v>231.45</v>
      </c>
      <c r="M102" s="44">
        <v>235.02</v>
      </c>
      <c r="N102" s="44">
        <v>238.59</v>
      </c>
      <c r="O102" s="59">
        <v>242.16</v>
      </c>
      <c r="P102" s="65">
        <v>245.72</v>
      </c>
      <c r="Q102" s="65">
        <v>249.29</v>
      </c>
      <c r="R102" s="65">
        <v>252.86</v>
      </c>
      <c r="S102" s="65">
        <v>256.77999999999997</v>
      </c>
      <c r="T102" s="65">
        <v>259.99</v>
      </c>
      <c r="U102" s="65">
        <v>263.56</v>
      </c>
      <c r="V102" s="24">
        <v>217.26</v>
      </c>
      <c r="W102" s="24">
        <v>220.82</v>
      </c>
      <c r="X102" s="24">
        <v>224.39</v>
      </c>
      <c r="Y102" s="24">
        <v>227.96</v>
      </c>
      <c r="Z102" s="24">
        <v>163.75</v>
      </c>
      <c r="AA102" s="24">
        <v>160.18</v>
      </c>
      <c r="AB102" s="24">
        <v>156.61000000000001</v>
      </c>
      <c r="AC102" s="24">
        <v>153.05000000000001</v>
      </c>
      <c r="AD102" s="24">
        <v>149.47999999999999</v>
      </c>
      <c r="AE102" s="5">
        <v>98</v>
      </c>
      <c r="AF102" s="43">
        <v>115.27</v>
      </c>
      <c r="AG102" s="43">
        <v>117.79</v>
      </c>
      <c r="AH102" s="43">
        <v>120.31</v>
      </c>
      <c r="AI102" s="43">
        <v>122.82</v>
      </c>
      <c r="AJ102" s="43">
        <v>125.34</v>
      </c>
      <c r="AK102" s="43">
        <v>127.86</v>
      </c>
      <c r="AL102" s="43">
        <v>130.38</v>
      </c>
      <c r="AM102" s="43">
        <v>132.9</v>
      </c>
      <c r="AN102" s="44">
        <v>135.41999999999999</v>
      </c>
      <c r="AO102" s="53">
        <v>137.94</v>
      </c>
      <c r="AP102" s="53">
        <v>140.44999999999999</v>
      </c>
      <c r="AQ102" s="44">
        <v>142.97</v>
      </c>
      <c r="AR102" s="44">
        <v>145.49</v>
      </c>
      <c r="AS102" s="72">
        <v>148.01</v>
      </c>
      <c r="AT102" s="59">
        <v>150.53</v>
      </c>
      <c r="AU102" s="65">
        <v>153.05000000000001</v>
      </c>
      <c r="AV102" s="65">
        <v>155.57</v>
      </c>
      <c r="AW102" s="65">
        <v>158.09</v>
      </c>
      <c r="AX102" s="65">
        <v>160.6</v>
      </c>
      <c r="AY102" s="65">
        <v>163.12</v>
      </c>
      <c r="AZ102" s="65">
        <v>165.64</v>
      </c>
      <c r="BA102" s="24">
        <v>143.18</v>
      </c>
      <c r="BB102" s="24">
        <v>145.69999999999999</v>
      </c>
      <c r="BC102" s="24">
        <v>148.22</v>
      </c>
      <c r="BD102" s="24">
        <v>150.74</v>
      </c>
      <c r="BE102" s="24">
        <v>105.4</v>
      </c>
      <c r="BF102" s="24">
        <v>102.88</v>
      </c>
      <c r="BG102" s="24">
        <v>100.37</v>
      </c>
      <c r="BH102" s="24">
        <v>97.85</v>
      </c>
      <c r="BI102" s="24">
        <v>95.33</v>
      </c>
    </row>
    <row r="103" spans="1:61" x14ac:dyDescent="0.45">
      <c r="A103" s="43">
        <v>194.22</v>
      </c>
      <c r="B103" s="43">
        <v>197.82</v>
      </c>
      <c r="C103" s="43">
        <v>201.43</v>
      </c>
      <c r="D103" s="43">
        <v>205.03</v>
      </c>
      <c r="E103" s="43">
        <v>208.63</v>
      </c>
      <c r="F103" s="43">
        <v>212.24</v>
      </c>
      <c r="G103" s="43">
        <v>215.84</v>
      </c>
      <c r="H103" s="43">
        <v>219.44</v>
      </c>
      <c r="I103" s="44">
        <v>223.05</v>
      </c>
      <c r="J103" s="53">
        <v>226.65</v>
      </c>
      <c r="K103" s="53">
        <v>230.25</v>
      </c>
      <c r="L103" s="44">
        <v>233.86</v>
      </c>
      <c r="M103" s="44">
        <v>237.46</v>
      </c>
      <c r="N103" s="44">
        <v>241.06</v>
      </c>
      <c r="O103" s="59">
        <v>244.67</v>
      </c>
      <c r="P103" s="65">
        <v>248.27</v>
      </c>
      <c r="Q103" s="65">
        <v>251.88</v>
      </c>
      <c r="R103" s="65">
        <v>255.48</v>
      </c>
      <c r="S103" s="65">
        <v>259.08</v>
      </c>
      <c r="T103" s="65">
        <v>262.69</v>
      </c>
      <c r="U103" s="65">
        <v>266.29000000000002</v>
      </c>
      <c r="V103" s="24">
        <v>219.5</v>
      </c>
      <c r="W103" s="24">
        <v>223.1</v>
      </c>
      <c r="X103" s="24">
        <v>226.7</v>
      </c>
      <c r="Y103" s="24">
        <v>230.31</v>
      </c>
      <c r="Z103" s="24">
        <v>165.44</v>
      </c>
      <c r="AA103" s="24">
        <v>164.84</v>
      </c>
      <c r="AB103" s="24">
        <v>158.24</v>
      </c>
      <c r="AC103" s="24">
        <v>154.63</v>
      </c>
      <c r="AD103" s="24">
        <v>151.03</v>
      </c>
      <c r="AE103" s="5">
        <v>99</v>
      </c>
      <c r="AF103" s="43">
        <v>116.41</v>
      </c>
      <c r="AG103" s="43">
        <v>118.96</v>
      </c>
      <c r="AH103" s="43">
        <v>121.5</v>
      </c>
      <c r="AI103" s="43">
        <v>124.05</v>
      </c>
      <c r="AJ103" s="43">
        <v>126.59</v>
      </c>
      <c r="AK103" s="43">
        <v>129.13999999999999</v>
      </c>
      <c r="AL103" s="43">
        <v>131.68</v>
      </c>
      <c r="AM103" s="43">
        <v>134.22</v>
      </c>
      <c r="AN103" s="44">
        <v>136.77000000000001</v>
      </c>
      <c r="AO103" s="53">
        <v>139.31</v>
      </c>
      <c r="AP103" s="53">
        <v>141.86000000000001</v>
      </c>
      <c r="AQ103" s="44">
        <v>144.4</v>
      </c>
      <c r="AR103" s="44">
        <v>146.94999999999999</v>
      </c>
      <c r="AS103" s="72">
        <v>149.49</v>
      </c>
      <c r="AT103" s="59">
        <v>152.03</v>
      </c>
      <c r="AU103" s="65">
        <v>154.58000000000001</v>
      </c>
      <c r="AV103" s="65">
        <v>157.12</v>
      </c>
      <c r="AW103" s="65">
        <v>159.66999999999999</v>
      </c>
      <c r="AX103" s="65">
        <v>162.21</v>
      </c>
      <c r="AY103" s="65">
        <v>164.76</v>
      </c>
      <c r="AZ103" s="65">
        <v>167.3</v>
      </c>
      <c r="BA103" s="24">
        <v>144.62</v>
      </c>
      <c r="BB103" s="24">
        <v>147.16999999999999</v>
      </c>
      <c r="BC103" s="24">
        <v>149.71</v>
      </c>
      <c r="BD103" s="24">
        <v>152.26</v>
      </c>
      <c r="BE103" s="24">
        <v>106.46</v>
      </c>
      <c r="BF103" s="24">
        <v>103.91</v>
      </c>
      <c r="BG103" s="24">
        <v>101.37</v>
      </c>
      <c r="BH103" s="24">
        <v>98.83</v>
      </c>
      <c r="BI103" s="24">
        <v>96.28</v>
      </c>
    </row>
    <row r="104" spans="1:61" x14ac:dyDescent="0.45">
      <c r="A104" s="43">
        <v>196.06</v>
      </c>
      <c r="B104" s="43">
        <v>199.7</v>
      </c>
      <c r="C104" s="43">
        <v>203.34</v>
      </c>
      <c r="D104" s="43">
        <v>206.98</v>
      </c>
      <c r="E104" s="43">
        <v>210.62</v>
      </c>
      <c r="F104" s="43">
        <v>214.26</v>
      </c>
      <c r="G104" s="43">
        <v>217.9</v>
      </c>
      <c r="H104" s="43">
        <v>221.54</v>
      </c>
      <c r="I104" s="44">
        <v>225.18</v>
      </c>
      <c r="J104" s="53">
        <v>228.82</v>
      </c>
      <c r="K104" s="53">
        <v>232.46</v>
      </c>
      <c r="L104" s="44">
        <v>236.1</v>
      </c>
      <c r="M104" s="44">
        <v>239.74</v>
      </c>
      <c r="N104" s="44">
        <v>243.38</v>
      </c>
      <c r="O104" s="59">
        <v>247.02</v>
      </c>
      <c r="P104" s="65">
        <v>250.66</v>
      </c>
      <c r="Q104" s="65">
        <v>254.3</v>
      </c>
      <c r="R104" s="65">
        <v>257.94</v>
      </c>
      <c r="S104" s="65">
        <v>261.58</v>
      </c>
      <c r="T104" s="65">
        <v>265.22000000000003</v>
      </c>
      <c r="U104" s="65">
        <v>268.86</v>
      </c>
      <c r="V104" s="24">
        <v>221.65</v>
      </c>
      <c r="W104" s="24">
        <v>225.29</v>
      </c>
      <c r="X104" s="24">
        <v>228.93</v>
      </c>
      <c r="Y104" s="24">
        <v>232.57</v>
      </c>
      <c r="Z104" s="24">
        <v>167.05</v>
      </c>
      <c r="AA104" s="24">
        <v>163.41</v>
      </c>
      <c r="AB104" s="24">
        <v>159.77000000000001</v>
      </c>
      <c r="AC104" s="24">
        <v>156.13</v>
      </c>
      <c r="AD104" s="24">
        <v>152.49</v>
      </c>
      <c r="AE104" s="5">
        <v>100</v>
      </c>
      <c r="AF104" s="43">
        <v>117.61</v>
      </c>
      <c r="AG104" s="43">
        <v>120.18</v>
      </c>
      <c r="AH104" s="43">
        <v>122.75</v>
      </c>
      <c r="AI104" s="43">
        <v>125.32</v>
      </c>
      <c r="AJ104" s="43">
        <v>127.89</v>
      </c>
      <c r="AK104" s="43">
        <v>130.46</v>
      </c>
      <c r="AL104" s="43">
        <v>133.03</v>
      </c>
      <c r="AM104" s="43">
        <v>135.6</v>
      </c>
      <c r="AN104" s="44">
        <v>138.16999999999999</v>
      </c>
      <c r="AO104" s="53">
        <v>140.74</v>
      </c>
      <c r="AP104" s="53">
        <v>143.31</v>
      </c>
      <c r="AQ104" s="44">
        <v>145.88</v>
      </c>
      <c r="AR104" s="44">
        <v>148.44999999999999</v>
      </c>
      <c r="AS104" s="72">
        <v>151.02000000000001</v>
      </c>
      <c r="AT104" s="59">
        <v>153.59</v>
      </c>
      <c r="AU104" s="65">
        <v>156.16</v>
      </c>
      <c r="AV104" s="65">
        <v>158.72999999999999</v>
      </c>
      <c r="AW104" s="65">
        <v>161.30000000000001</v>
      </c>
      <c r="AX104" s="65">
        <v>163.87</v>
      </c>
      <c r="AY104" s="65">
        <v>166.44</v>
      </c>
      <c r="AZ104" s="65">
        <v>169.01</v>
      </c>
      <c r="BA104" s="24">
        <v>146.1</v>
      </c>
      <c r="BB104" s="24">
        <v>148.66999999999999</v>
      </c>
      <c r="BC104" s="24">
        <v>151.24</v>
      </c>
      <c r="BD104" s="24">
        <v>153.81</v>
      </c>
      <c r="BE104" s="24">
        <v>107.55</v>
      </c>
      <c r="BF104" s="24">
        <v>104.98</v>
      </c>
      <c r="BG104" s="24">
        <v>102.41</v>
      </c>
      <c r="BH104" s="24">
        <v>99.84</v>
      </c>
      <c r="BI104" s="24">
        <v>97.27</v>
      </c>
    </row>
    <row r="105" spans="1:61" x14ac:dyDescent="0.45">
      <c r="A105" s="43">
        <v>198.08</v>
      </c>
      <c r="B105" s="43">
        <v>201.76</v>
      </c>
      <c r="C105" s="43">
        <v>205.44</v>
      </c>
      <c r="D105" s="43">
        <v>209.11</v>
      </c>
      <c r="E105" s="43">
        <v>212.79</v>
      </c>
      <c r="F105" s="43">
        <v>216.47</v>
      </c>
      <c r="G105" s="43">
        <v>220.14</v>
      </c>
      <c r="H105" s="43">
        <v>223.82</v>
      </c>
      <c r="I105" s="44">
        <v>227.5</v>
      </c>
      <c r="J105" s="53">
        <v>231.17</v>
      </c>
      <c r="K105" s="53">
        <v>234.85</v>
      </c>
      <c r="L105" s="44">
        <v>238.53</v>
      </c>
      <c r="M105" s="44">
        <v>242.2</v>
      </c>
      <c r="N105" s="44">
        <v>245.88</v>
      </c>
      <c r="O105" s="59">
        <v>249.55</v>
      </c>
      <c r="P105" s="65">
        <v>253.23</v>
      </c>
      <c r="Q105" s="65">
        <v>256.91000000000003</v>
      </c>
      <c r="R105" s="65">
        <v>260.58</v>
      </c>
      <c r="S105" s="65">
        <v>264.26</v>
      </c>
      <c r="T105" s="65">
        <v>267.94</v>
      </c>
      <c r="U105" s="65">
        <v>271.61</v>
      </c>
      <c r="V105" s="24">
        <v>223.9</v>
      </c>
      <c r="W105" s="24">
        <v>227.57</v>
      </c>
      <c r="X105" s="24">
        <v>231.25</v>
      </c>
      <c r="Y105" s="24">
        <v>234.93</v>
      </c>
      <c r="Z105" s="24">
        <v>168.75</v>
      </c>
      <c r="AA105" s="24">
        <v>165.08</v>
      </c>
      <c r="AB105" s="24">
        <v>161.4</v>
      </c>
      <c r="AC105" s="24">
        <v>157.72</v>
      </c>
      <c r="AD105" s="24">
        <v>154.05000000000001</v>
      </c>
      <c r="AE105" s="5">
        <v>101</v>
      </c>
      <c r="AF105" s="43">
        <v>118.76</v>
      </c>
      <c r="AG105" s="43">
        <v>121.35</v>
      </c>
      <c r="AH105" s="43">
        <v>123.95</v>
      </c>
      <c r="AI105" s="43">
        <v>126.54</v>
      </c>
      <c r="AJ105" s="43">
        <v>129.13999999999999</v>
      </c>
      <c r="AK105" s="43">
        <v>131.74</v>
      </c>
      <c r="AL105" s="43">
        <v>134.33000000000001</v>
      </c>
      <c r="AM105" s="43">
        <v>136.93</v>
      </c>
      <c r="AN105" s="44">
        <v>139.52000000000001</v>
      </c>
      <c r="AO105" s="53">
        <v>142.12</v>
      </c>
      <c r="AP105" s="53">
        <v>144.71</v>
      </c>
      <c r="AQ105" s="44">
        <v>147.31</v>
      </c>
      <c r="AR105" s="44">
        <v>149.91</v>
      </c>
      <c r="AS105" s="72">
        <v>152.5</v>
      </c>
      <c r="AT105" s="59">
        <v>155.1</v>
      </c>
      <c r="AU105" s="65">
        <v>157.69</v>
      </c>
      <c r="AV105" s="65">
        <v>160.29</v>
      </c>
      <c r="AW105" s="65">
        <v>162.88</v>
      </c>
      <c r="AX105" s="65">
        <v>165.48</v>
      </c>
      <c r="AY105" s="65">
        <v>168.07</v>
      </c>
      <c r="AZ105" s="65">
        <v>170.67</v>
      </c>
      <c r="BA105" s="24">
        <v>147.54</v>
      </c>
      <c r="BB105" s="24">
        <v>150.13</v>
      </c>
      <c r="BC105" s="24">
        <v>152.72999999999999</v>
      </c>
      <c r="BD105" s="24">
        <v>155.33000000000001</v>
      </c>
      <c r="BE105" s="24">
        <v>108.6</v>
      </c>
      <c r="BF105" s="24">
        <v>106.01</v>
      </c>
      <c r="BG105" s="24">
        <v>103.41</v>
      </c>
      <c r="BH105" s="24">
        <v>100.82</v>
      </c>
      <c r="BI105" s="24">
        <v>98.22</v>
      </c>
    </row>
    <row r="106" spans="1:61" x14ac:dyDescent="0.45">
      <c r="A106" s="43">
        <v>199.94</v>
      </c>
      <c r="B106" s="43">
        <v>203.66</v>
      </c>
      <c r="C106" s="43">
        <v>207.37</v>
      </c>
      <c r="D106" s="43">
        <v>211.08</v>
      </c>
      <c r="E106" s="43">
        <v>214.79</v>
      </c>
      <c r="F106" s="43">
        <v>218.51</v>
      </c>
      <c r="G106" s="43">
        <v>222.22</v>
      </c>
      <c r="H106" s="43">
        <v>225.93</v>
      </c>
      <c r="I106" s="44">
        <v>229.64</v>
      </c>
      <c r="J106" s="53">
        <v>233.36</v>
      </c>
      <c r="K106" s="53">
        <v>237.07</v>
      </c>
      <c r="L106" s="44">
        <v>240.78</v>
      </c>
      <c r="M106" s="44">
        <v>244.5</v>
      </c>
      <c r="N106" s="44">
        <v>248.21</v>
      </c>
      <c r="O106" s="59">
        <v>251.92</v>
      </c>
      <c r="P106" s="65">
        <v>255.63</v>
      </c>
      <c r="Q106" s="65">
        <v>259.35000000000002</v>
      </c>
      <c r="R106" s="65">
        <v>263.06</v>
      </c>
      <c r="S106" s="65">
        <v>266.77</v>
      </c>
      <c r="T106" s="65">
        <v>270.49</v>
      </c>
      <c r="U106" s="65">
        <v>274.2</v>
      </c>
      <c r="V106" s="24">
        <v>226.05</v>
      </c>
      <c r="W106" s="24">
        <v>229.77</v>
      </c>
      <c r="X106" s="24">
        <v>233.48</v>
      </c>
      <c r="Y106" s="24">
        <v>237.19</v>
      </c>
      <c r="Z106" s="24">
        <v>170.36</v>
      </c>
      <c r="AA106" s="24">
        <v>166.65</v>
      </c>
      <c r="AB106" s="24">
        <v>162.94</v>
      </c>
      <c r="AC106" s="24">
        <v>159.22</v>
      </c>
      <c r="AD106" s="24">
        <v>155.51</v>
      </c>
      <c r="AE106" s="5">
        <v>102</v>
      </c>
      <c r="AF106" s="43">
        <v>119.95</v>
      </c>
      <c r="AG106" s="43">
        <v>122.58</v>
      </c>
      <c r="AH106" s="43">
        <v>125.2</v>
      </c>
      <c r="AI106" s="43">
        <v>127.82</v>
      </c>
      <c r="AJ106" s="43">
        <v>130.44</v>
      </c>
      <c r="AK106" s="43">
        <v>133.06</v>
      </c>
      <c r="AL106" s="43">
        <v>135.68</v>
      </c>
      <c r="AM106" s="43">
        <v>138.30000000000001</v>
      </c>
      <c r="AN106" s="44">
        <v>140.93</v>
      </c>
      <c r="AO106" s="53">
        <v>143.55000000000001</v>
      </c>
      <c r="AP106" s="53">
        <v>146.16999999999999</v>
      </c>
      <c r="AQ106" s="44">
        <v>148.79</v>
      </c>
      <c r="AR106" s="44">
        <v>151.41</v>
      </c>
      <c r="AS106" s="72">
        <v>154.03</v>
      </c>
      <c r="AT106" s="59">
        <v>156.65</v>
      </c>
      <c r="AU106" s="65">
        <v>159.28</v>
      </c>
      <c r="AV106" s="65">
        <v>161.9</v>
      </c>
      <c r="AW106" s="65">
        <v>164.52</v>
      </c>
      <c r="AX106" s="65">
        <v>167.14</v>
      </c>
      <c r="AY106" s="65">
        <v>169.76</v>
      </c>
      <c r="AZ106" s="65">
        <v>172.38</v>
      </c>
      <c r="BA106" s="24">
        <v>149.01</v>
      </c>
      <c r="BB106" s="24">
        <v>151.63999999999999</v>
      </c>
      <c r="BC106" s="24">
        <v>154.26</v>
      </c>
      <c r="BD106" s="24">
        <v>156.88</v>
      </c>
      <c r="BE106" s="24">
        <v>109.69</v>
      </c>
      <c r="BF106" s="24">
        <v>107.07</v>
      </c>
      <c r="BG106" s="24">
        <v>104.45</v>
      </c>
      <c r="BH106" s="24">
        <v>101.83</v>
      </c>
      <c r="BI106" s="24">
        <v>99.21</v>
      </c>
    </row>
    <row r="107" spans="1:61" x14ac:dyDescent="0.45">
      <c r="A107" s="43">
        <v>201.98</v>
      </c>
      <c r="B107" s="43">
        <v>205.73</v>
      </c>
      <c r="C107" s="43">
        <v>209.48</v>
      </c>
      <c r="D107" s="43">
        <v>213.23</v>
      </c>
      <c r="E107" s="43">
        <v>216.98</v>
      </c>
      <c r="F107" s="43">
        <v>220.73</v>
      </c>
      <c r="G107" s="43">
        <v>224.48</v>
      </c>
      <c r="H107" s="43">
        <v>228.23</v>
      </c>
      <c r="I107" s="44">
        <v>231.98</v>
      </c>
      <c r="J107" s="53">
        <v>235.73</v>
      </c>
      <c r="K107" s="53">
        <v>239.48</v>
      </c>
      <c r="L107" s="44">
        <v>243.23</v>
      </c>
      <c r="M107" s="44">
        <v>246.98</v>
      </c>
      <c r="N107" s="44">
        <v>250.72</v>
      </c>
      <c r="O107" s="59">
        <v>254.47</v>
      </c>
      <c r="P107" s="65">
        <v>258.22000000000003</v>
      </c>
      <c r="Q107" s="65">
        <v>261.97000000000003</v>
      </c>
      <c r="R107" s="65">
        <v>265.72000000000003</v>
      </c>
      <c r="S107" s="65">
        <v>269.47000000000003</v>
      </c>
      <c r="T107" s="65">
        <v>273.22000000000003</v>
      </c>
      <c r="U107" s="65">
        <v>276.97000000000003</v>
      </c>
      <c r="V107" s="24">
        <v>228.32</v>
      </c>
      <c r="W107" s="24">
        <v>232.07</v>
      </c>
      <c r="X107" s="24">
        <v>235.82</v>
      </c>
      <c r="Y107" s="24">
        <v>239.57</v>
      </c>
      <c r="Z107" s="24">
        <v>172.08</v>
      </c>
      <c r="AA107" s="24">
        <v>168.33</v>
      </c>
      <c r="AB107" s="24">
        <v>164.58</v>
      </c>
      <c r="AC107" s="24">
        <v>160.83000000000001</v>
      </c>
      <c r="AD107" s="24">
        <v>157.08000000000001</v>
      </c>
      <c r="AE107" s="5">
        <v>103</v>
      </c>
      <c r="AF107" s="43">
        <v>121.11</v>
      </c>
      <c r="AG107" s="43">
        <v>123.75</v>
      </c>
      <c r="AH107" s="43">
        <v>126.4</v>
      </c>
      <c r="AI107" s="43">
        <v>129.05000000000001</v>
      </c>
      <c r="AJ107" s="43">
        <v>131.69999999999999</v>
      </c>
      <c r="AK107" s="43">
        <v>134.34</v>
      </c>
      <c r="AL107" s="43">
        <v>136.99</v>
      </c>
      <c r="AM107" s="43">
        <v>139.63999999999999</v>
      </c>
      <c r="AN107" s="44">
        <v>142.28</v>
      </c>
      <c r="AO107" s="53">
        <v>144.93</v>
      </c>
      <c r="AP107" s="53">
        <v>147.58000000000001</v>
      </c>
      <c r="AQ107" s="44">
        <v>150.22999999999999</v>
      </c>
      <c r="AR107" s="44">
        <v>152.87</v>
      </c>
      <c r="AS107" s="72">
        <v>155.52000000000001</v>
      </c>
      <c r="AT107" s="59">
        <v>158.16999999999999</v>
      </c>
      <c r="AU107" s="65">
        <v>160.81</v>
      </c>
      <c r="AV107" s="65">
        <v>163.46</v>
      </c>
      <c r="AW107" s="65">
        <v>166.11</v>
      </c>
      <c r="AX107" s="65">
        <v>168.76</v>
      </c>
      <c r="AY107" s="65">
        <v>171.4</v>
      </c>
      <c r="AZ107" s="65">
        <v>174.05</v>
      </c>
      <c r="BA107" s="24">
        <v>150.46</v>
      </c>
      <c r="BB107" s="24">
        <v>153.11000000000001</v>
      </c>
      <c r="BC107" s="24">
        <v>155.75</v>
      </c>
      <c r="BD107" s="24">
        <v>158.4</v>
      </c>
      <c r="BE107" s="24">
        <v>110.75</v>
      </c>
      <c r="BF107" s="24">
        <v>108.11</v>
      </c>
      <c r="BG107" s="24">
        <v>105.46</v>
      </c>
      <c r="BH107" s="24">
        <v>102.81</v>
      </c>
      <c r="BI107" s="24">
        <v>100.17</v>
      </c>
    </row>
    <row r="108" spans="1:61" x14ac:dyDescent="0.45">
      <c r="A108" s="43">
        <v>203.86</v>
      </c>
      <c r="B108" s="43">
        <v>207.64</v>
      </c>
      <c r="C108" s="43">
        <v>211.43</v>
      </c>
      <c r="D108" s="43">
        <v>215.21</v>
      </c>
      <c r="E108" s="43">
        <v>219</v>
      </c>
      <c r="F108" s="43">
        <v>222.78</v>
      </c>
      <c r="G108" s="43">
        <v>226.57</v>
      </c>
      <c r="H108" s="43">
        <v>230.35</v>
      </c>
      <c r="I108" s="44">
        <v>234.14</v>
      </c>
      <c r="J108" s="53">
        <v>237.93</v>
      </c>
      <c r="K108" s="53">
        <v>241.71</v>
      </c>
      <c r="L108" s="44">
        <v>245.5</v>
      </c>
      <c r="M108" s="44">
        <v>249.28</v>
      </c>
      <c r="N108" s="44">
        <v>253.07</v>
      </c>
      <c r="O108" s="59">
        <v>256.85000000000002</v>
      </c>
      <c r="P108" s="65">
        <v>260.64</v>
      </c>
      <c r="Q108" s="65">
        <v>264.43</v>
      </c>
      <c r="R108" s="65">
        <v>268.20999999999998</v>
      </c>
      <c r="S108" s="65">
        <v>272</v>
      </c>
      <c r="T108" s="65">
        <v>275.77999999999997</v>
      </c>
      <c r="U108" s="65">
        <v>279.57</v>
      </c>
      <c r="V108" s="24">
        <v>230.48</v>
      </c>
      <c r="W108" s="24">
        <v>234.27</v>
      </c>
      <c r="X108" s="24">
        <v>238.05</v>
      </c>
      <c r="Y108" s="24">
        <v>241.84</v>
      </c>
      <c r="Z108" s="24">
        <v>173.7</v>
      </c>
      <c r="AA108" s="24">
        <v>169.91</v>
      </c>
      <c r="AB108" s="24">
        <v>166.13</v>
      </c>
      <c r="AC108" s="24">
        <v>162.34</v>
      </c>
      <c r="AD108" s="24">
        <v>158.56</v>
      </c>
      <c r="AE108" s="5">
        <v>104</v>
      </c>
      <c r="AF108" s="43">
        <v>122.26</v>
      </c>
      <c r="AG108" s="43">
        <v>124.93</v>
      </c>
      <c r="AH108" s="43">
        <v>127.61</v>
      </c>
      <c r="AI108" s="43">
        <v>130.28</v>
      </c>
      <c r="AJ108" s="43">
        <v>132.94999999999999</v>
      </c>
      <c r="AK108" s="43">
        <v>135.63</v>
      </c>
      <c r="AL108" s="43">
        <v>138.30000000000001</v>
      </c>
      <c r="AM108" s="43">
        <v>140.97</v>
      </c>
      <c r="AN108" s="44">
        <v>143.63999999999999</v>
      </c>
      <c r="AO108" s="53">
        <v>146.32</v>
      </c>
      <c r="AP108" s="53">
        <v>148.99</v>
      </c>
      <c r="AQ108" s="44">
        <v>151.66</v>
      </c>
      <c r="AR108" s="44">
        <v>154.34</v>
      </c>
      <c r="AS108" s="72">
        <v>157.01</v>
      </c>
      <c r="AT108" s="59">
        <v>159.68</v>
      </c>
      <c r="AU108" s="65">
        <v>162.35</v>
      </c>
      <c r="AV108" s="65">
        <v>165.03</v>
      </c>
      <c r="AW108" s="65">
        <v>167.7</v>
      </c>
      <c r="AX108" s="65">
        <v>170.37</v>
      </c>
      <c r="AY108" s="65">
        <v>173.05</v>
      </c>
      <c r="AZ108" s="65">
        <v>175.72</v>
      </c>
      <c r="BA108" s="24">
        <v>151.91</v>
      </c>
      <c r="BB108" s="24">
        <v>154.58000000000001</v>
      </c>
      <c r="BC108" s="24">
        <v>157.25</v>
      </c>
      <c r="BD108" s="24">
        <v>159.93</v>
      </c>
      <c r="BE108" s="24">
        <v>111.82</v>
      </c>
      <c r="BF108" s="24">
        <v>109.14</v>
      </c>
      <c r="BG108" s="24">
        <v>106.47</v>
      </c>
      <c r="BH108" s="24">
        <v>103.8</v>
      </c>
      <c r="BI108" s="24">
        <v>101.12</v>
      </c>
    </row>
    <row r="109" spans="1:61" x14ac:dyDescent="0.45">
      <c r="A109" s="43">
        <v>205.92</v>
      </c>
      <c r="B109" s="43">
        <v>209.74</v>
      </c>
      <c r="C109" s="43">
        <v>213.56</v>
      </c>
      <c r="D109" s="43">
        <v>217.39</v>
      </c>
      <c r="E109" s="43">
        <v>221.21</v>
      </c>
      <c r="F109" s="43">
        <v>225.03</v>
      </c>
      <c r="G109" s="43">
        <v>228.85</v>
      </c>
      <c r="H109" s="43">
        <v>232.67</v>
      </c>
      <c r="I109" s="44">
        <v>236.5</v>
      </c>
      <c r="J109" s="53">
        <v>240.32</v>
      </c>
      <c r="K109" s="53">
        <v>244.14</v>
      </c>
      <c r="L109" s="44">
        <v>247.96</v>
      </c>
      <c r="M109" s="44">
        <v>251.78</v>
      </c>
      <c r="N109" s="44">
        <v>255.61</v>
      </c>
      <c r="O109" s="59">
        <v>259.43</v>
      </c>
      <c r="P109" s="65">
        <v>263.25</v>
      </c>
      <c r="Q109" s="65">
        <v>267.07</v>
      </c>
      <c r="R109" s="65">
        <v>270.89</v>
      </c>
      <c r="S109" s="65">
        <v>274.72000000000003</v>
      </c>
      <c r="T109" s="65">
        <v>278.54000000000002</v>
      </c>
      <c r="U109" s="65">
        <v>282.36</v>
      </c>
      <c r="V109" s="24">
        <v>232.76</v>
      </c>
      <c r="W109" s="24">
        <v>236.58</v>
      </c>
      <c r="X109" s="24">
        <v>240.4</v>
      </c>
      <c r="Y109" s="24">
        <v>244.23</v>
      </c>
      <c r="Z109" s="24">
        <v>175.43</v>
      </c>
      <c r="AA109" s="24">
        <v>171.61</v>
      </c>
      <c r="AB109" s="24">
        <v>167.79</v>
      </c>
      <c r="AC109" s="24">
        <v>163.96</v>
      </c>
      <c r="AD109" s="24">
        <v>160.13999999999999</v>
      </c>
      <c r="AE109" s="5">
        <v>105</v>
      </c>
      <c r="AF109" s="43">
        <v>123.47</v>
      </c>
      <c r="AG109" s="43">
        <v>126.17</v>
      </c>
      <c r="AH109" s="43">
        <v>128.87</v>
      </c>
      <c r="AI109" s="43">
        <v>131.56</v>
      </c>
      <c r="AJ109" s="43">
        <v>134.26</v>
      </c>
      <c r="AK109" s="43">
        <v>136.96</v>
      </c>
      <c r="AL109" s="43">
        <v>139.66</v>
      </c>
      <c r="AM109" s="43">
        <v>142.36000000000001</v>
      </c>
      <c r="AN109" s="44">
        <v>145.06</v>
      </c>
      <c r="AO109" s="53">
        <v>147.76</v>
      </c>
      <c r="AP109" s="53">
        <v>150.44999999999999</v>
      </c>
      <c r="AQ109" s="44">
        <v>153.15</v>
      </c>
      <c r="AR109" s="44">
        <v>155.85</v>
      </c>
      <c r="AS109" s="72">
        <v>158.55000000000001</v>
      </c>
      <c r="AT109" s="59">
        <v>161.25</v>
      </c>
      <c r="AU109" s="65">
        <v>163.95</v>
      </c>
      <c r="AV109" s="65">
        <v>166.64</v>
      </c>
      <c r="AW109" s="65">
        <v>169.34</v>
      </c>
      <c r="AX109" s="65">
        <v>172.04</v>
      </c>
      <c r="AY109" s="65">
        <v>174.74</v>
      </c>
      <c r="AZ109" s="65">
        <v>177.44</v>
      </c>
      <c r="BA109" s="24">
        <v>153.38999999999999</v>
      </c>
      <c r="BB109" s="24">
        <v>156.09</v>
      </c>
      <c r="BC109" s="24">
        <v>158.78</v>
      </c>
      <c r="BD109" s="24">
        <v>161.47999999999999</v>
      </c>
      <c r="BE109" s="24">
        <v>112.91</v>
      </c>
      <c r="BF109" s="24">
        <v>110.21</v>
      </c>
      <c r="BG109" s="24">
        <v>107.51</v>
      </c>
      <c r="BH109" s="24">
        <v>104.8</v>
      </c>
      <c r="BI109" s="24">
        <v>102.12</v>
      </c>
    </row>
    <row r="110" spans="1:61" x14ac:dyDescent="0.45">
      <c r="A110" s="43">
        <v>207.8</v>
      </c>
      <c r="B110" s="43">
        <v>211.66</v>
      </c>
      <c r="C110" s="43">
        <v>215.52</v>
      </c>
      <c r="D110" s="43">
        <v>219.38</v>
      </c>
      <c r="E110" s="43">
        <v>223.24</v>
      </c>
      <c r="F110" s="43">
        <v>227.1</v>
      </c>
      <c r="G110" s="43">
        <v>230.96</v>
      </c>
      <c r="H110" s="43">
        <v>234.81</v>
      </c>
      <c r="I110" s="44">
        <v>238.67</v>
      </c>
      <c r="J110" s="53">
        <v>242.53</v>
      </c>
      <c r="K110" s="53">
        <v>246.39</v>
      </c>
      <c r="L110" s="44">
        <v>250.25</v>
      </c>
      <c r="M110" s="44">
        <v>254.11</v>
      </c>
      <c r="N110" s="44">
        <v>257.95999999999998</v>
      </c>
      <c r="O110" s="59">
        <v>261.82</v>
      </c>
      <c r="P110" s="65">
        <v>265.68</v>
      </c>
      <c r="Q110" s="65">
        <v>269.54000000000002</v>
      </c>
      <c r="R110" s="65">
        <v>273.39999999999998</v>
      </c>
      <c r="S110" s="65">
        <v>277.26</v>
      </c>
      <c r="T110" s="65">
        <v>281.11</v>
      </c>
      <c r="U110" s="65">
        <v>284.97000000000003</v>
      </c>
      <c r="V110" s="24">
        <v>234.93</v>
      </c>
      <c r="W110" s="24">
        <v>238.79</v>
      </c>
      <c r="X110" s="24">
        <v>242.65</v>
      </c>
      <c r="Y110" s="24">
        <v>246.51</v>
      </c>
      <c r="Z110" s="24">
        <v>177.06</v>
      </c>
      <c r="AA110" s="24">
        <v>173.2</v>
      </c>
      <c r="AB110" s="24">
        <v>169.34</v>
      </c>
      <c r="AC110" s="24">
        <v>165.48</v>
      </c>
      <c r="AD110" s="24">
        <v>161.62</v>
      </c>
      <c r="AE110" s="5">
        <v>106</v>
      </c>
      <c r="AF110" s="43">
        <v>124.63</v>
      </c>
      <c r="AG110" s="43">
        <v>127.35</v>
      </c>
      <c r="AH110" s="43">
        <v>130.08000000000001</v>
      </c>
      <c r="AI110" s="43">
        <v>132.80000000000001</v>
      </c>
      <c r="AJ110" s="43">
        <v>135.52000000000001</v>
      </c>
      <c r="AK110" s="43">
        <v>138.25</v>
      </c>
      <c r="AL110" s="43">
        <v>140.97</v>
      </c>
      <c r="AM110" s="43">
        <v>143.69999999999999</v>
      </c>
      <c r="AN110" s="44">
        <v>146.41999999999999</v>
      </c>
      <c r="AO110" s="53">
        <v>149.13999999999999</v>
      </c>
      <c r="AP110" s="53">
        <v>151.87</v>
      </c>
      <c r="AQ110" s="44">
        <v>154.59</v>
      </c>
      <c r="AR110" s="44">
        <v>157.32</v>
      </c>
      <c r="AS110" s="72">
        <v>160.04</v>
      </c>
      <c r="AT110" s="59">
        <v>162.77000000000001</v>
      </c>
      <c r="AU110" s="65">
        <v>165.49</v>
      </c>
      <c r="AV110" s="65">
        <v>168.21</v>
      </c>
      <c r="AW110" s="65">
        <v>170.94</v>
      </c>
      <c r="AX110" s="65">
        <v>173.66</v>
      </c>
      <c r="AY110" s="65">
        <v>176.39</v>
      </c>
      <c r="AZ110" s="65">
        <v>179.11</v>
      </c>
      <c r="BA110" s="24">
        <v>154.84</v>
      </c>
      <c r="BB110" s="24">
        <v>157.56</v>
      </c>
      <c r="BC110" s="24">
        <v>160.29</v>
      </c>
      <c r="BD110" s="24">
        <v>163.01</v>
      </c>
      <c r="BE110" s="24">
        <v>113.97</v>
      </c>
      <c r="BF110" s="24">
        <v>111.25</v>
      </c>
      <c r="BG110" s="24">
        <v>108.53</v>
      </c>
      <c r="BH110" s="24">
        <v>105.8</v>
      </c>
      <c r="BI110" s="24">
        <v>103.08</v>
      </c>
    </row>
    <row r="111" spans="1:61" x14ac:dyDescent="0.45">
      <c r="A111" s="43">
        <v>209.7</v>
      </c>
      <c r="B111" s="43">
        <v>213.59</v>
      </c>
      <c r="C111" s="43">
        <v>217.49</v>
      </c>
      <c r="D111" s="43">
        <v>221.38</v>
      </c>
      <c r="E111" s="43">
        <v>225.28</v>
      </c>
      <c r="F111" s="43">
        <v>229.17</v>
      </c>
      <c r="G111" s="43">
        <v>233.06</v>
      </c>
      <c r="H111" s="43">
        <v>236.96</v>
      </c>
      <c r="I111" s="44">
        <v>240.85</v>
      </c>
      <c r="J111" s="53">
        <v>244.75</v>
      </c>
      <c r="K111" s="53">
        <v>248.64</v>
      </c>
      <c r="L111" s="44">
        <v>252.54</v>
      </c>
      <c r="M111" s="44">
        <v>256.43</v>
      </c>
      <c r="N111" s="44">
        <v>260.33</v>
      </c>
      <c r="O111" s="59">
        <v>264.22000000000003</v>
      </c>
      <c r="P111" s="65">
        <v>268.12</v>
      </c>
      <c r="Q111" s="65">
        <v>272.01</v>
      </c>
      <c r="R111" s="65">
        <v>275.91000000000003</v>
      </c>
      <c r="S111" s="65">
        <v>279.8</v>
      </c>
      <c r="T111" s="65">
        <v>283.7</v>
      </c>
      <c r="U111" s="65">
        <v>287.58999999999997</v>
      </c>
      <c r="V111" s="24">
        <v>237.11</v>
      </c>
      <c r="W111" s="24">
        <v>241</v>
      </c>
      <c r="X111" s="24">
        <v>244.9</v>
      </c>
      <c r="Y111" s="24">
        <v>248.79</v>
      </c>
      <c r="Z111" s="24">
        <v>178.69</v>
      </c>
      <c r="AA111" s="24">
        <v>174.79</v>
      </c>
      <c r="AB111" s="24">
        <v>170.9</v>
      </c>
      <c r="AC111" s="24">
        <v>167</v>
      </c>
      <c r="AD111" s="24">
        <v>163.11000000000001</v>
      </c>
      <c r="AE111" s="5">
        <v>107</v>
      </c>
      <c r="AF111" s="43">
        <v>125.79</v>
      </c>
      <c r="AG111" s="43">
        <v>128.54</v>
      </c>
      <c r="AH111" s="43">
        <v>131.29</v>
      </c>
      <c r="AI111" s="43">
        <v>134.04</v>
      </c>
      <c r="AJ111" s="43">
        <v>136.79</v>
      </c>
      <c r="AK111" s="43">
        <v>139.54</v>
      </c>
      <c r="AL111" s="43">
        <v>142.29</v>
      </c>
      <c r="AM111" s="43">
        <v>145.04</v>
      </c>
      <c r="AN111" s="44">
        <v>147.79</v>
      </c>
      <c r="AO111" s="53">
        <v>150.54</v>
      </c>
      <c r="AP111" s="53">
        <v>153.29</v>
      </c>
      <c r="AQ111" s="44">
        <v>156.04</v>
      </c>
      <c r="AR111" s="44">
        <v>158.79</v>
      </c>
      <c r="AS111" s="72">
        <v>161.54</v>
      </c>
      <c r="AT111" s="59">
        <v>164.29</v>
      </c>
      <c r="AU111" s="65">
        <v>167.04</v>
      </c>
      <c r="AV111" s="65">
        <v>169.79</v>
      </c>
      <c r="AW111" s="65">
        <v>172.54</v>
      </c>
      <c r="AX111" s="65">
        <v>175.29</v>
      </c>
      <c r="AY111" s="65">
        <v>178.04</v>
      </c>
      <c r="AZ111" s="65">
        <v>180.79</v>
      </c>
      <c r="BA111" s="24">
        <v>156.29</v>
      </c>
      <c r="BB111" s="24">
        <v>159.04</v>
      </c>
      <c r="BC111" s="24">
        <v>161.79</v>
      </c>
      <c r="BD111" s="24">
        <v>164.54</v>
      </c>
      <c r="BE111" s="24">
        <v>115.04</v>
      </c>
      <c r="BF111" s="24">
        <v>112.29</v>
      </c>
      <c r="BG111" s="24">
        <v>109.54</v>
      </c>
      <c r="BH111" s="24">
        <v>106.79</v>
      </c>
      <c r="BI111" s="24">
        <v>104.04</v>
      </c>
    </row>
    <row r="112" spans="1:61" x14ac:dyDescent="0.45">
      <c r="A112" s="43">
        <v>211.59</v>
      </c>
      <c r="B112" s="43">
        <v>215.53</v>
      </c>
      <c r="C112" s="43">
        <v>219.46</v>
      </c>
      <c r="D112" s="43">
        <v>223.39</v>
      </c>
      <c r="E112" s="43">
        <v>227.32</v>
      </c>
      <c r="F112" s="43">
        <v>231.25</v>
      </c>
      <c r="G112" s="43">
        <v>235.18</v>
      </c>
      <c r="H112" s="43">
        <v>239.11</v>
      </c>
      <c r="I112" s="44">
        <v>243.04</v>
      </c>
      <c r="J112" s="53">
        <v>246.97</v>
      </c>
      <c r="K112" s="53">
        <v>250.91</v>
      </c>
      <c r="L112" s="44">
        <v>254.84</v>
      </c>
      <c r="M112" s="44">
        <v>258.77</v>
      </c>
      <c r="N112" s="44">
        <v>262.7</v>
      </c>
      <c r="O112" s="59">
        <v>266.63</v>
      </c>
      <c r="P112" s="65">
        <v>270.56</v>
      </c>
      <c r="Q112" s="65">
        <v>274.49</v>
      </c>
      <c r="R112" s="65">
        <v>278.42</v>
      </c>
      <c r="S112" s="65">
        <v>282.36</v>
      </c>
      <c r="T112" s="65">
        <v>286.29000000000002</v>
      </c>
      <c r="U112" s="65">
        <v>290.22000000000003</v>
      </c>
      <c r="V112" s="24">
        <v>239.29</v>
      </c>
      <c r="W112" s="24">
        <v>243.22</v>
      </c>
      <c r="X112" s="24">
        <v>247.15</v>
      </c>
      <c r="Y112" s="24">
        <v>251.08</v>
      </c>
      <c r="Z112" s="24">
        <v>180.32</v>
      </c>
      <c r="AA112" s="24">
        <v>176.39</v>
      </c>
      <c r="AB112" s="24">
        <v>172.46</v>
      </c>
      <c r="AC112" s="24">
        <v>168.53</v>
      </c>
      <c r="AD112" s="24">
        <v>164.6</v>
      </c>
      <c r="AE112" s="5">
        <v>108</v>
      </c>
      <c r="AF112" s="43">
        <v>126.95</v>
      </c>
      <c r="AG112" s="43">
        <v>129.72</v>
      </c>
      <c r="AH112" s="43">
        <v>132.5</v>
      </c>
      <c r="AI112" s="43">
        <v>135.28</v>
      </c>
      <c r="AJ112" s="43">
        <v>138.05000000000001</v>
      </c>
      <c r="AK112" s="43">
        <v>140.83000000000001</v>
      </c>
      <c r="AL112" s="43">
        <v>143.6</v>
      </c>
      <c r="AM112" s="43">
        <v>146.38</v>
      </c>
      <c r="AN112" s="44">
        <v>149.15</v>
      </c>
      <c r="AO112" s="53">
        <v>151.93</v>
      </c>
      <c r="AP112" s="53">
        <v>154.69999999999999</v>
      </c>
      <c r="AQ112" s="44">
        <v>157.47999999999999</v>
      </c>
      <c r="AR112" s="44">
        <v>160.26</v>
      </c>
      <c r="AS112" s="72">
        <v>163.03</v>
      </c>
      <c r="AT112" s="59">
        <v>165.81</v>
      </c>
      <c r="AU112" s="65">
        <v>168.58</v>
      </c>
      <c r="AV112" s="65">
        <v>171.36</v>
      </c>
      <c r="AW112" s="65">
        <v>174.13</v>
      </c>
      <c r="AX112" s="65">
        <v>176.91</v>
      </c>
      <c r="AY112" s="65">
        <v>179.69</v>
      </c>
      <c r="AZ112" s="65">
        <v>182.46</v>
      </c>
      <c r="BA112" s="24">
        <v>157.74</v>
      </c>
      <c r="BB112" s="24">
        <v>160.52000000000001</v>
      </c>
      <c r="BC112" s="24">
        <v>163.29</v>
      </c>
      <c r="BD112" s="24">
        <v>166.07</v>
      </c>
      <c r="BE112" s="24">
        <v>116.11</v>
      </c>
      <c r="BF112" s="24">
        <v>113.33</v>
      </c>
      <c r="BG112" s="24">
        <v>110.56</v>
      </c>
      <c r="BH112" s="24">
        <v>107.78</v>
      </c>
      <c r="BI112" s="24">
        <v>105</v>
      </c>
    </row>
    <row r="113" spans="1:61" x14ac:dyDescent="0.45">
      <c r="A113" s="43">
        <v>213.7</v>
      </c>
      <c r="B113" s="43">
        <v>217.67</v>
      </c>
      <c r="C113" s="43">
        <v>221.63</v>
      </c>
      <c r="D113" s="43">
        <v>225.6</v>
      </c>
      <c r="E113" s="43">
        <v>229.57</v>
      </c>
      <c r="F113" s="43">
        <v>233.54</v>
      </c>
      <c r="G113" s="43">
        <v>237.5</v>
      </c>
      <c r="H113" s="43">
        <v>241.47</v>
      </c>
      <c r="I113" s="44">
        <v>245.44</v>
      </c>
      <c r="J113" s="53">
        <v>249.41</v>
      </c>
      <c r="K113" s="53">
        <v>253.37</v>
      </c>
      <c r="L113" s="44">
        <v>257.33999999999997</v>
      </c>
      <c r="M113" s="44">
        <v>261.31</v>
      </c>
      <c r="N113" s="44">
        <v>265.27999999999997</v>
      </c>
      <c r="O113" s="59">
        <v>269.25</v>
      </c>
      <c r="P113" s="65">
        <v>273.20999999999998</v>
      </c>
      <c r="Q113" s="65">
        <v>277.18</v>
      </c>
      <c r="R113" s="65">
        <v>281.14999999999998</v>
      </c>
      <c r="S113" s="65">
        <v>285.12</v>
      </c>
      <c r="T113" s="65">
        <v>289.08</v>
      </c>
      <c r="U113" s="65">
        <v>293.05</v>
      </c>
      <c r="V113" s="24">
        <v>241.59</v>
      </c>
      <c r="W113" s="24">
        <v>245.56</v>
      </c>
      <c r="X113" s="24">
        <v>249.52</v>
      </c>
      <c r="Y113" s="24">
        <v>253.49</v>
      </c>
      <c r="Z113" s="24">
        <v>182.07</v>
      </c>
      <c r="AA113" s="24">
        <v>178.11</v>
      </c>
      <c r="AB113" s="24">
        <v>174.14</v>
      </c>
      <c r="AC113" s="24">
        <v>170.17</v>
      </c>
      <c r="AD113" s="24">
        <v>166.2</v>
      </c>
      <c r="AE113" s="5">
        <v>109</v>
      </c>
      <c r="AF113" s="43">
        <v>128.11000000000001</v>
      </c>
      <c r="AG113" s="43">
        <v>130.91</v>
      </c>
      <c r="AH113" s="43">
        <v>133.71</v>
      </c>
      <c r="AI113" s="43">
        <v>136.52000000000001</v>
      </c>
      <c r="AJ113" s="43">
        <v>139.32</v>
      </c>
      <c r="AK113" s="43">
        <v>142.12</v>
      </c>
      <c r="AL113" s="43">
        <v>144.91999999999999</v>
      </c>
      <c r="AM113" s="43">
        <v>147.72</v>
      </c>
      <c r="AN113" s="44">
        <v>150.52000000000001</v>
      </c>
      <c r="AO113" s="53">
        <v>153.32</v>
      </c>
      <c r="AP113" s="53">
        <v>156.13</v>
      </c>
      <c r="AQ113" s="44">
        <v>158.93</v>
      </c>
      <c r="AR113" s="44">
        <v>161.72999999999999</v>
      </c>
      <c r="AS113" s="72">
        <v>164.53</v>
      </c>
      <c r="AT113" s="59">
        <v>167.33</v>
      </c>
      <c r="AU113" s="65">
        <v>170.13</v>
      </c>
      <c r="AV113" s="65">
        <v>172.93</v>
      </c>
      <c r="AW113" s="65">
        <v>175.73</v>
      </c>
      <c r="AX113" s="65">
        <v>178.54</v>
      </c>
      <c r="AY113" s="65">
        <v>181.34</v>
      </c>
      <c r="AZ113" s="65">
        <v>184.14</v>
      </c>
      <c r="BA113" s="24">
        <v>159.19</v>
      </c>
      <c r="BB113" s="24">
        <v>162</v>
      </c>
      <c r="BC113" s="24">
        <v>164.8</v>
      </c>
      <c r="BD113" s="24">
        <v>167.6</v>
      </c>
      <c r="BE113" s="24">
        <v>117.17</v>
      </c>
      <c r="BF113" s="24">
        <v>114.37</v>
      </c>
      <c r="BG113" s="24">
        <v>111.57</v>
      </c>
      <c r="BH113" s="24">
        <v>108.77</v>
      </c>
      <c r="BI113" s="24">
        <v>105.97</v>
      </c>
    </row>
    <row r="114" spans="1:61" x14ac:dyDescent="0.45">
      <c r="A114" s="43">
        <v>215.61</v>
      </c>
      <c r="B114" s="43">
        <v>219.62</v>
      </c>
      <c r="C114" s="43">
        <v>223.62</v>
      </c>
      <c r="D114" s="43">
        <v>227.62</v>
      </c>
      <c r="E114" s="43">
        <v>231.63</v>
      </c>
      <c r="F114" s="43">
        <v>235.63</v>
      </c>
      <c r="G114" s="43">
        <v>239.64</v>
      </c>
      <c r="H114" s="43">
        <v>243.64</v>
      </c>
      <c r="I114" s="44">
        <v>247.64</v>
      </c>
      <c r="J114" s="53">
        <v>251.65</v>
      </c>
      <c r="K114" s="53">
        <v>255.65</v>
      </c>
      <c r="L114" s="44">
        <v>259.66000000000003</v>
      </c>
      <c r="M114" s="44">
        <v>263.66000000000003</v>
      </c>
      <c r="N114" s="44">
        <v>267.66000000000003</v>
      </c>
      <c r="O114" s="59">
        <v>271.67</v>
      </c>
      <c r="P114" s="65">
        <v>275.67</v>
      </c>
      <c r="Q114" s="65">
        <v>279.68</v>
      </c>
      <c r="R114" s="65">
        <v>283.68</v>
      </c>
      <c r="S114" s="65">
        <v>287.68</v>
      </c>
      <c r="T114" s="65">
        <v>291.69</v>
      </c>
      <c r="U114" s="65">
        <v>295.69</v>
      </c>
      <c r="V114" s="24">
        <v>243.78</v>
      </c>
      <c r="W114" s="24">
        <v>247.78</v>
      </c>
      <c r="X114" s="24">
        <v>251.79</v>
      </c>
      <c r="Y114" s="24">
        <v>255.79</v>
      </c>
      <c r="Z114" s="24">
        <v>183.72</v>
      </c>
      <c r="AA114" s="24">
        <v>179.71</v>
      </c>
      <c r="AB114" s="24">
        <v>175.71</v>
      </c>
      <c r="AC114" s="24">
        <v>171.71</v>
      </c>
      <c r="AD114" s="24">
        <v>167.7</v>
      </c>
      <c r="AE114" s="5">
        <v>110</v>
      </c>
      <c r="AF114" s="43">
        <v>129.28</v>
      </c>
      <c r="AG114" s="43">
        <v>132.1</v>
      </c>
      <c r="AH114" s="43">
        <v>134.93</v>
      </c>
      <c r="AI114" s="43">
        <v>137.76</v>
      </c>
      <c r="AJ114" s="43">
        <v>140.59</v>
      </c>
      <c r="AK114" s="43">
        <v>143.41</v>
      </c>
      <c r="AL114" s="43">
        <v>146.24</v>
      </c>
      <c r="AM114" s="43">
        <v>149.07</v>
      </c>
      <c r="AN114" s="44">
        <v>151.88999999999999</v>
      </c>
      <c r="AO114" s="53">
        <v>154.72</v>
      </c>
      <c r="AP114" s="53">
        <v>157.55000000000001</v>
      </c>
      <c r="AQ114" s="44">
        <v>160.37</v>
      </c>
      <c r="AR114" s="44">
        <v>163.19999999999999</v>
      </c>
      <c r="AS114" s="72">
        <v>166.03</v>
      </c>
      <c r="AT114" s="59">
        <v>168.86</v>
      </c>
      <c r="AU114" s="65">
        <v>171.68</v>
      </c>
      <c r="AV114" s="65">
        <v>174.51</v>
      </c>
      <c r="AW114" s="65">
        <v>177.34</v>
      </c>
      <c r="AX114" s="65">
        <v>180.16</v>
      </c>
      <c r="AY114" s="65">
        <v>182.99</v>
      </c>
      <c r="AZ114" s="65">
        <v>185.82</v>
      </c>
      <c r="BA114" s="24">
        <v>160.65</v>
      </c>
      <c r="BB114" s="24">
        <v>163.47999999999999</v>
      </c>
      <c r="BC114" s="24">
        <v>166.3</v>
      </c>
      <c r="BD114" s="24">
        <v>169.13</v>
      </c>
      <c r="BE114" s="24">
        <v>118.24</v>
      </c>
      <c r="BF114" s="24">
        <v>115.42</v>
      </c>
      <c r="BG114" s="24">
        <v>112.59</v>
      </c>
      <c r="BH114" s="24">
        <v>109.76</v>
      </c>
      <c r="BI114" s="24">
        <v>106.94</v>
      </c>
    </row>
    <row r="115" spans="1:61" x14ac:dyDescent="0.45">
      <c r="A115" s="43">
        <v>217.53</v>
      </c>
      <c r="B115" s="43">
        <v>221.57</v>
      </c>
      <c r="C115" s="43">
        <v>225.61</v>
      </c>
      <c r="D115" s="43">
        <v>229.65</v>
      </c>
      <c r="E115" s="43">
        <v>233.7</v>
      </c>
      <c r="F115" s="43">
        <v>237.74</v>
      </c>
      <c r="G115" s="43">
        <v>241.78</v>
      </c>
      <c r="H115" s="43">
        <v>245.82</v>
      </c>
      <c r="I115" s="44">
        <v>249.86</v>
      </c>
      <c r="J115" s="53">
        <v>253.9</v>
      </c>
      <c r="K115" s="53">
        <v>257.94</v>
      </c>
      <c r="L115" s="44">
        <v>261.98</v>
      </c>
      <c r="M115" s="44">
        <v>266.02</v>
      </c>
      <c r="N115" s="44">
        <v>270.06</v>
      </c>
      <c r="O115" s="59">
        <v>274.10000000000002</v>
      </c>
      <c r="P115" s="65">
        <v>278.14</v>
      </c>
      <c r="Q115" s="65">
        <v>282.18</v>
      </c>
      <c r="R115" s="65">
        <v>286.22000000000003</v>
      </c>
      <c r="S115" s="65">
        <v>290.26</v>
      </c>
      <c r="T115" s="65">
        <v>294.3</v>
      </c>
      <c r="U115" s="65">
        <v>298.33999999999997</v>
      </c>
      <c r="V115" s="24">
        <v>245.97</v>
      </c>
      <c r="W115" s="24">
        <v>250.01</v>
      </c>
      <c r="X115" s="24">
        <v>254.05</v>
      </c>
      <c r="Y115" s="24">
        <v>258.08999999999997</v>
      </c>
      <c r="Z115" s="24">
        <v>185.36</v>
      </c>
      <c r="AA115" s="24">
        <v>181.32</v>
      </c>
      <c r="AB115" s="24">
        <v>177.28</v>
      </c>
      <c r="AC115" s="24">
        <v>173.24</v>
      </c>
      <c r="AD115" s="24">
        <v>169.2</v>
      </c>
      <c r="AE115" s="5">
        <v>111</v>
      </c>
      <c r="AF115" s="43">
        <v>130.44</v>
      </c>
      <c r="AG115" s="43">
        <v>133.30000000000001</v>
      </c>
      <c r="AH115" s="43">
        <v>136.15</v>
      </c>
      <c r="AI115" s="43">
        <v>139</v>
      </c>
      <c r="AJ115" s="43">
        <v>141.86000000000001</v>
      </c>
      <c r="AK115" s="43">
        <v>144.71</v>
      </c>
      <c r="AL115" s="43">
        <v>147.56</v>
      </c>
      <c r="AM115" s="43">
        <v>150.41</v>
      </c>
      <c r="AN115" s="44">
        <v>153.27000000000001</v>
      </c>
      <c r="AO115" s="53">
        <v>156.12</v>
      </c>
      <c r="AP115" s="53">
        <v>158.97</v>
      </c>
      <c r="AQ115" s="44">
        <v>161.82</v>
      </c>
      <c r="AR115" s="44">
        <v>164.68</v>
      </c>
      <c r="AS115" s="72">
        <v>167.53</v>
      </c>
      <c r="AT115" s="59">
        <v>170.38</v>
      </c>
      <c r="AU115" s="65">
        <v>173.24</v>
      </c>
      <c r="AV115" s="65">
        <v>176.09</v>
      </c>
      <c r="AW115" s="65">
        <v>178.94</v>
      </c>
      <c r="AX115" s="65">
        <v>181.79</v>
      </c>
      <c r="AY115" s="65">
        <v>184.65</v>
      </c>
      <c r="AZ115" s="65">
        <v>187.5</v>
      </c>
      <c r="BA115" s="24">
        <v>162.1</v>
      </c>
      <c r="BB115" s="24">
        <v>164.96</v>
      </c>
      <c r="BC115" s="24">
        <v>167.81</v>
      </c>
      <c r="BD115" s="24">
        <v>170.66</v>
      </c>
      <c r="BE115" s="24">
        <v>119.31</v>
      </c>
      <c r="BF115" s="24">
        <v>116.46</v>
      </c>
      <c r="BG115" s="24">
        <v>113.61</v>
      </c>
      <c r="BH115" s="24">
        <v>110.75</v>
      </c>
      <c r="BI115" s="24">
        <v>107.9</v>
      </c>
    </row>
    <row r="116" spans="1:61" x14ac:dyDescent="0.45">
      <c r="A116" s="43">
        <v>219.46</v>
      </c>
      <c r="B116" s="43">
        <v>223.54</v>
      </c>
      <c r="C116" s="43">
        <v>227.61</v>
      </c>
      <c r="D116" s="43">
        <v>231.69</v>
      </c>
      <c r="E116" s="43">
        <v>235.77</v>
      </c>
      <c r="F116" s="43">
        <v>239.84</v>
      </c>
      <c r="G116" s="43">
        <v>243.92</v>
      </c>
      <c r="H116" s="43">
        <v>248</v>
      </c>
      <c r="I116" s="44">
        <v>252.08</v>
      </c>
      <c r="J116" s="53">
        <v>256.14999999999998</v>
      </c>
      <c r="K116" s="53">
        <v>260.23</v>
      </c>
      <c r="L116" s="44">
        <v>264.31</v>
      </c>
      <c r="M116" s="44">
        <v>268.38</v>
      </c>
      <c r="N116" s="44">
        <v>272.45999999999998</v>
      </c>
      <c r="O116" s="59">
        <v>276.54000000000002</v>
      </c>
      <c r="P116" s="65">
        <v>280.61</v>
      </c>
      <c r="Q116" s="65">
        <v>284.69</v>
      </c>
      <c r="R116" s="65">
        <v>288.77</v>
      </c>
      <c r="S116" s="65">
        <v>292.83999999999997</v>
      </c>
      <c r="T116" s="65">
        <v>296.92</v>
      </c>
      <c r="U116" s="65">
        <v>301</v>
      </c>
      <c r="V116" s="24">
        <v>248.17</v>
      </c>
      <c r="W116" s="24">
        <v>252.24</v>
      </c>
      <c r="X116" s="24">
        <v>256.32</v>
      </c>
      <c r="Y116" s="24">
        <v>260.39999999999998</v>
      </c>
      <c r="Z116" s="24">
        <v>187.02</v>
      </c>
      <c r="AA116" s="24">
        <v>182.94</v>
      </c>
      <c r="AB116" s="24">
        <v>178.86</v>
      </c>
      <c r="AC116" s="24">
        <v>174.79</v>
      </c>
      <c r="AD116" s="24">
        <v>170.71</v>
      </c>
      <c r="AE116" s="5">
        <v>112</v>
      </c>
      <c r="AF116" s="43">
        <v>131.61000000000001</v>
      </c>
      <c r="AG116" s="43">
        <v>134.49</v>
      </c>
      <c r="AH116" s="43">
        <v>137.37</v>
      </c>
      <c r="AI116" s="43">
        <v>140.25</v>
      </c>
      <c r="AJ116" s="43">
        <v>143.13</v>
      </c>
      <c r="AK116" s="43">
        <v>146.01</v>
      </c>
      <c r="AL116" s="43">
        <v>148.88</v>
      </c>
      <c r="AM116" s="43">
        <v>151.76</v>
      </c>
      <c r="AN116" s="44">
        <v>154.63999999999999</v>
      </c>
      <c r="AO116" s="53">
        <v>157.52000000000001</v>
      </c>
      <c r="AP116" s="53">
        <v>160.4</v>
      </c>
      <c r="AQ116" s="44">
        <v>163.28</v>
      </c>
      <c r="AR116" s="44">
        <v>166.15</v>
      </c>
      <c r="AS116" s="72">
        <v>169.03</v>
      </c>
      <c r="AT116" s="59">
        <v>171.91</v>
      </c>
      <c r="AU116" s="65">
        <v>174.79</v>
      </c>
      <c r="AV116" s="65">
        <v>177.67</v>
      </c>
      <c r="AW116" s="65">
        <v>180.55</v>
      </c>
      <c r="AX116" s="65">
        <v>183.43</v>
      </c>
      <c r="AY116" s="65">
        <v>186.3</v>
      </c>
      <c r="AZ116" s="65">
        <v>189.18</v>
      </c>
      <c r="BA116" s="24">
        <v>163.56</v>
      </c>
      <c r="BB116" s="24">
        <v>166.44</v>
      </c>
      <c r="BC116" s="24">
        <v>169.32</v>
      </c>
      <c r="BD116" s="24">
        <v>172.2</v>
      </c>
      <c r="BE116" s="24">
        <v>120.38</v>
      </c>
      <c r="BF116" s="24">
        <v>117.51</v>
      </c>
      <c r="BG116" s="24">
        <v>114.63</v>
      </c>
      <c r="BH116" s="24">
        <v>111.75</v>
      </c>
      <c r="BI116" s="24">
        <v>108.87</v>
      </c>
    </row>
    <row r="117" spans="1:61" x14ac:dyDescent="0.45">
      <c r="A117" s="43">
        <v>221.4</v>
      </c>
      <c r="B117" s="43">
        <v>225.51</v>
      </c>
      <c r="C117" s="43">
        <v>229.62</v>
      </c>
      <c r="D117" s="43">
        <v>233.74</v>
      </c>
      <c r="E117" s="43">
        <v>237.85</v>
      </c>
      <c r="F117" s="43">
        <v>241.96</v>
      </c>
      <c r="G117" s="43">
        <v>246.07</v>
      </c>
      <c r="H117" s="43">
        <v>250.19</v>
      </c>
      <c r="I117" s="44">
        <v>254.3</v>
      </c>
      <c r="J117" s="53">
        <v>258.41000000000003</v>
      </c>
      <c r="K117" s="53">
        <v>262.52999999999997</v>
      </c>
      <c r="L117" s="44">
        <v>266.64</v>
      </c>
      <c r="M117" s="44">
        <v>270.75</v>
      </c>
      <c r="N117" s="44">
        <v>274.87</v>
      </c>
      <c r="O117" s="59">
        <v>278.98</v>
      </c>
      <c r="P117" s="65">
        <v>283.08999999999997</v>
      </c>
      <c r="Q117" s="65">
        <v>287.20999999999998</v>
      </c>
      <c r="R117" s="65">
        <v>291.32</v>
      </c>
      <c r="S117" s="65">
        <v>295.43</v>
      </c>
      <c r="T117" s="65">
        <v>299.55</v>
      </c>
      <c r="U117" s="65">
        <v>303.66000000000003</v>
      </c>
      <c r="V117" s="24">
        <v>250.37</v>
      </c>
      <c r="W117" s="24">
        <v>254.48</v>
      </c>
      <c r="X117" s="24">
        <v>258.60000000000002</v>
      </c>
      <c r="Y117" s="24">
        <v>262.70999999999998</v>
      </c>
      <c r="Z117" s="24">
        <v>188.67</v>
      </c>
      <c r="AA117" s="24">
        <v>184.56</v>
      </c>
      <c r="AB117" s="24">
        <v>180.45</v>
      </c>
      <c r="AC117" s="24">
        <v>176.33</v>
      </c>
      <c r="AD117" s="24">
        <v>172.22</v>
      </c>
      <c r="AE117" s="5">
        <v>113</v>
      </c>
      <c r="AF117" s="43">
        <v>132.78</v>
      </c>
      <c r="AG117" s="43">
        <v>135.69</v>
      </c>
      <c r="AH117" s="43">
        <v>138.59</v>
      </c>
      <c r="AI117" s="43">
        <v>141.5</v>
      </c>
      <c r="AJ117" s="43">
        <v>144.4</v>
      </c>
      <c r="AK117" s="43">
        <v>147.31</v>
      </c>
      <c r="AL117" s="43">
        <v>150.21</v>
      </c>
      <c r="AM117" s="43">
        <v>153.11000000000001</v>
      </c>
      <c r="AN117" s="44">
        <v>156.02000000000001</v>
      </c>
      <c r="AO117" s="53">
        <v>158.91999999999999</v>
      </c>
      <c r="AP117" s="53">
        <v>161.83000000000001</v>
      </c>
      <c r="AQ117" s="44">
        <v>164.73</v>
      </c>
      <c r="AR117" s="44">
        <v>167.63</v>
      </c>
      <c r="AS117" s="72">
        <v>170.54</v>
      </c>
      <c r="AT117" s="59">
        <v>173.44</v>
      </c>
      <c r="AU117" s="65">
        <v>176.35</v>
      </c>
      <c r="AV117" s="65">
        <v>179.25</v>
      </c>
      <c r="AW117" s="65">
        <v>182.15</v>
      </c>
      <c r="AX117" s="65">
        <v>185.06</v>
      </c>
      <c r="AY117" s="65">
        <v>187.96</v>
      </c>
      <c r="AZ117" s="65">
        <v>190.87</v>
      </c>
      <c r="BA117" s="24">
        <v>165.02</v>
      </c>
      <c r="BB117" s="24">
        <v>167.92</v>
      </c>
      <c r="BC117" s="24">
        <v>170.83</v>
      </c>
      <c r="BD117" s="24">
        <v>173.3</v>
      </c>
      <c r="BE117" s="24">
        <v>121.46</v>
      </c>
      <c r="BF117" s="24">
        <v>118.55</v>
      </c>
      <c r="BG117" s="24">
        <v>115.65</v>
      </c>
      <c r="BH117" s="24">
        <v>112.74</v>
      </c>
      <c r="BI117" s="24">
        <v>109.84</v>
      </c>
    </row>
    <row r="118" spans="1:61" x14ac:dyDescent="0.45">
      <c r="A118" s="43">
        <v>223.34</v>
      </c>
      <c r="B118" s="43">
        <v>227.49</v>
      </c>
      <c r="C118" s="43">
        <v>231.64</v>
      </c>
      <c r="D118" s="43">
        <v>235.79</v>
      </c>
      <c r="E118" s="43">
        <v>239.94</v>
      </c>
      <c r="F118" s="43">
        <v>244.09</v>
      </c>
      <c r="G118" s="43">
        <v>248.24</v>
      </c>
      <c r="H118" s="43">
        <v>252.38</v>
      </c>
      <c r="I118" s="44">
        <v>256.52999999999997</v>
      </c>
      <c r="J118" s="53">
        <v>260.68</v>
      </c>
      <c r="K118" s="53">
        <v>264.83</v>
      </c>
      <c r="L118" s="44">
        <v>268.98</v>
      </c>
      <c r="M118" s="44">
        <v>273.13</v>
      </c>
      <c r="N118" s="44">
        <v>277.27999999999997</v>
      </c>
      <c r="O118" s="59">
        <v>281.43</v>
      </c>
      <c r="P118" s="65">
        <v>285.58</v>
      </c>
      <c r="Q118" s="65">
        <v>289.73</v>
      </c>
      <c r="R118" s="65">
        <v>293.88</v>
      </c>
      <c r="S118" s="65">
        <v>298.02999999999997</v>
      </c>
      <c r="T118" s="65">
        <v>302.18</v>
      </c>
      <c r="U118" s="65">
        <v>306.33</v>
      </c>
      <c r="V118" s="24">
        <v>252.57</v>
      </c>
      <c r="W118" s="24">
        <v>256.72000000000003</v>
      </c>
      <c r="X118" s="24">
        <v>260.87</v>
      </c>
      <c r="Y118" s="24">
        <v>265.02</v>
      </c>
      <c r="Z118" s="24">
        <v>190.33</v>
      </c>
      <c r="AA118" s="24">
        <v>186.18</v>
      </c>
      <c r="AB118" s="24">
        <v>182.03</v>
      </c>
      <c r="AC118" s="24">
        <v>177.88</v>
      </c>
      <c r="AD118" s="24">
        <v>173.73</v>
      </c>
      <c r="AE118" s="5">
        <v>114</v>
      </c>
      <c r="AF118" s="43">
        <v>133.96</v>
      </c>
      <c r="AG118" s="43">
        <v>136.88999999999999</v>
      </c>
      <c r="AH118" s="43">
        <v>139.82</v>
      </c>
      <c r="AI118" s="43">
        <v>142.75</v>
      </c>
      <c r="AJ118" s="43">
        <v>145.68</v>
      </c>
      <c r="AK118" s="43">
        <v>148.61000000000001</v>
      </c>
      <c r="AL118" s="43">
        <v>151.54</v>
      </c>
      <c r="AM118" s="43">
        <v>154.47</v>
      </c>
      <c r="AN118" s="44">
        <v>157.4</v>
      </c>
      <c r="AO118" s="53">
        <v>160.33000000000001</v>
      </c>
      <c r="AP118" s="53">
        <v>163.26</v>
      </c>
      <c r="AQ118" s="44">
        <v>166.19</v>
      </c>
      <c r="AR118" s="44">
        <v>169.12</v>
      </c>
      <c r="AS118" s="72">
        <v>172.05</v>
      </c>
      <c r="AT118" s="59">
        <v>174.98</v>
      </c>
      <c r="AU118" s="65">
        <v>177.91</v>
      </c>
      <c r="AV118" s="65">
        <v>180.83</v>
      </c>
      <c r="AW118" s="65">
        <v>183.76</v>
      </c>
      <c r="AX118" s="65">
        <v>186.69</v>
      </c>
      <c r="AY118" s="65">
        <v>189.62</v>
      </c>
      <c r="AZ118" s="65">
        <v>192.55</v>
      </c>
      <c r="BA118" s="24">
        <v>166.48</v>
      </c>
      <c r="BB118" s="24">
        <v>169.41</v>
      </c>
      <c r="BC118" s="24">
        <v>172.34</v>
      </c>
      <c r="BD118" s="24">
        <v>175.27</v>
      </c>
      <c r="BE118" s="24">
        <v>122.53</v>
      </c>
      <c r="BF118" s="24">
        <v>119.6</v>
      </c>
      <c r="BG118" s="24">
        <v>116.67</v>
      </c>
      <c r="BH118" s="24">
        <v>113.74</v>
      </c>
      <c r="BI118" s="24">
        <v>110.81</v>
      </c>
    </row>
    <row r="119" spans="1:61" x14ac:dyDescent="0.45">
      <c r="A119" s="43">
        <v>225.29</v>
      </c>
      <c r="B119" s="43">
        <v>229.47</v>
      </c>
      <c r="C119" s="43">
        <v>233.66</v>
      </c>
      <c r="D119" s="43">
        <v>237.84</v>
      </c>
      <c r="E119" s="43">
        <v>242.03</v>
      </c>
      <c r="F119" s="43">
        <v>246.22</v>
      </c>
      <c r="G119" s="43">
        <v>250.4</v>
      </c>
      <c r="H119" s="43">
        <v>254.59</v>
      </c>
      <c r="I119" s="44">
        <v>258.77</v>
      </c>
      <c r="J119" s="53">
        <v>262.95999999999998</v>
      </c>
      <c r="K119" s="53">
        <v>267.14999999999998</v>
      </c>
      <c r="L119" s="44">
        <v>271.33</v>
      </c>
      <c r="M119" s="44">
        <v>275.52</v>
      </c>
      <c r="N119" s="44">
        <v>279.7</v>
      </c>
      <c r="O119" s="59">
        <v>283.89</v>
      </c>
      <c r="P119" s="65">
        <v>288.08</v>
      </c>
      <c r="Q119" s="65">
        <v>292.26</v>
      </c>
      <c r="R119" s="65">
        <v>296.45</v>
      </c>
      <c r="S119" s="65">
        <v>300.63</v>
      </c>
      <c r="T119" s="65">
        <v>304.82</v>
      </c>
      <c r="U119" s="65">
        <v>309.01</v>
      </c>
      <c r="V119" s="24">
        <v>254.78</v>
      </c>
      <c r="W119" s="24">
        <v>258.97000000000003</v>
      </c>
      <c r="X119" s="24">
        <v>263.16000000000003</v>
      </c>
      <c r="Y119" s="24">
        <v>267.33999999999997</v>
      </c>
      <c r="Z119" s="24">
        <v>191.99</v>
      </c>
      <c r="AA119" s="24">
        <v>187.81</v>
      </c>
      <c r="AB119" s="24">
        <v>183.62</v>
      </c>
      <c r="AC119" s="24">
        <v>179.44</v>
      </c>
      <c r="AD119" s="24">
        <v>175.25</v>
      </c>
      <c r="AE119" s="5">
        <v>115</v>
      </c>
      <c r="AF119" s="43">
        <v>135.13</v>
      </c>
      <c r="AG119" s="43">
        <v>138.09</v>
      </c>
      <c r="AH119" s="43">
        <v>141.04</v>
      </c>
      <c r="AI119" s="43">
        <v>144</v>
      </c>
      <c r="AJ119" s="43">
        <v>146.6</v>
      </c>
      <c r="AK119" s="43">
        <v>149.91</v>
      </c>
      <c r="AL119" s="43">
        <v>152.87</v>
      </c>
      <c r="AM119" s="43">
        <v>155.82</v>
      </c>
      <c r="AN119" s="44">
        <v>158.78</v>
      </c>
      <c r="AO119" s="53">
        <v>161.72999999999999</v>
      </c>
      <c r="AP119" s="53">
        <v>164.69</v>
      </c>
      <c r="AQ119" s="44">
        <v>167.64</v>
      </c>
      <c r="AR119" s="44">
        <v>170.6</v>
      </c>
      <c r="AS119" s="72">
        <v>173.55</v>
      </c>
      <c r="AT119" s="59">
        <v>176.51</v>
      </c>
      <c r="AU119" s="65">
        <v>179.47</v>
      </c>
      <c r="AV119" s="65">
        <v>182.42</v>
      </c>
      <c r="AW119" s="65">
        <v>185.38</v>
      </c>
      <c r="AX119" s="65">
        <v>188.33</v>
      </c>
      <c r="AY119" s="65">
        <v>191.29</v>
      </c>
      <c r="AZ119" s="65">
        <v>194.24</v>
      </c>
      <c r="BA119" s="24">
        <v>167.4</v>
      </c>
      <c r="BB119" s="24">
        <v>170.89</v>
      </c>
      <c r="BC119" s="24">
        <v>173.85</v>
      </c>
      <c r="BD119" s="24">
        <v>176.8</v>
      </c>
      <c r="BE119" s="24">
        <v>123.6</v>
      </c>
      <c r="BF119" s="24">
        <v>120.65</v>
      </c>
      <c r="BG119" s="24">
        <v>117.69</v>
      </c>
      <c r="BH119" s="24">
        <v>114.74</v>
      </c>
      <c r="BI119" s="24">
        <v>111.78</v>
      </c>
    </row>
    <row r="120" spans="1:61" x14ac:dyDescent="0.45">
      <c r="A120" s="43">
        <v>227.24</v>
      </c>
      <c r="B120" s="43">
        <v>231.47</v>
      </c>
      <c r="C120" s="43">
        <v>235.69</v>
      </c>
      <c r="D120" s="43">
        <v>239.91</v>
      </c>
      <c r="E120" s="43">
        <v>244.13</v>
      </c>
      <c r="F120" s="43">
        <v>248.36</v>
      </c>
      <c r="G120" s="43">
        <v>252.58</v>
      </c>
      <c r="H120" s="43">
        <v>256.8</v>
      </c>
      <c r="I120" s="44">
        <v>261.02</v>
      </c>
      <c r="J120" s="53">
        <v>265.25</v>
      </c>
      <c r="K120" s="53">
        <v>269.47000000000003</v>
      </c>
      <c r="L120" s="44">
        <v>273.69</v>
      </c>
      <c r="M120" s="44">
        <v>277.91000000000003</v>
      </c>
      <c r="N120" s="44">
        <v>282.14</v>
      </c>
      <c r="O120" s="59">
        <v>286.36</v>
      </c>
      <c r="P120" s="65">
        <v>290.58</v>
      </c>
      <c r="Q120" s="65">
        <v>294.8</v>
      </c>
      <c r="R120" s="65">
        <v>299.02</v>
      </c>
      <c r="S120" s="65">
        <v>303.25</v>
      </c>
      <c r="T120" s="65">
        <v>307.47000000000003</v>
      </c>
      <c r="U120" s="65">
        <v>311.69</v>
      </c>
      <c r="V120" s="24">
        <v>257</v>
      </c>
      <c r="W120" s="24">
        <v>261.22000000000003</v>
      </c>
      <c r="X120" s="24">
        <v>265.44</v>
      </c>
      <c r="Y120" s="24">
        <v>269.67</v>
      </c>
      <c r="Z120" s="24">
        <v>193.66</v>
      </c>
      <c r="AA120" s="24">
        <v>189.44</v>
      </c>
      <c r="AB120" s="24">
        <v>185.22</v>
      </c>
      <c r="AC120" s="24">
        <v>181</v>
      </c>
      <c r="AD120" s="24">
        <v>176.77</v>
      </c>
      <c r="AE120" s="5">
        <v>116</v>
      </c>
      <c r="AF120" s="43">
        <v>136.31</v>
      </c>
      <c r="AG120" s="43">
        <v>139.29</v>
      </c>
      <c r="AH120" s="43">
        <v>142.27000000000001</v>
      </c>
      <c r="AI120" s="43">
        <v>145.25</v>
      </c>
      <c r="AJ120" s="43">
        <v>148.24</v>
      </c>
      <c r="AK120" s="43">
        <v>151.22</v>
      </c>
      <c r="AL120" s="43">
        <v>154.19999999999999</v>
      </c>
      <c r="AM120" s="43">
        <v>157.18</v>
      </c>
      <c r="AN120" s="44">
        <v>160.16</v>
      </c>
      <c r="AO120" s="53">
        <v>163.13999999999999</v>
      </c>
      <c r="AP120" s="53">
        <v>166.12</v>
      </c>
      <c r="AQ120" s="44">
        <v>169.1</v>
      </c>
      <c r="AR120" s="44">
        <v>172.08</v>
      </c>
      <c r="AS120" s="72">
        <v>175.07</v>
      </c>
      <c r="AT120" s="59">
        <v>178.05</v>
      </c>
      <c r="AU120" s="65">
        <v>181.03</v>
      </c>
      <c r="AV120" s="65">
        <v>184.01</v>
      </c>
      <c r="AW120" s="65">
        <v>186.99</v>
      </c>
      <c r="AX120" s="65">
        <v>189.97</v>
      </c>
      <c r="AY120" s="65">
        <v>192.95</v>
      </c>
      <c r="AZ120" s="65">
        <v>195.93</v>
      </c>
      <c r="BA120" s="24">
        <v>169.4</v>
      </c>
      <c r="BB120" s="24">
        <v>172.38</v>
      </c>
      <c r="BC120" s="24">
        <v>175.36</v>
      </c>
      <c r="BD120" s="24">
        <v>178.34</v>
      </c>
      <c r="BE120" s="24">
        <v>134.68</v>
      </c>
      <c r="BF120" s="24">
        <v>121.7</v>
      </c>
      <c r="BG120" s="24">
        <v>118.72</v>
      </c>
      <c r="BH120" s="24">
        <v>115.74</v>
      </c>
      <c r="BI120" s="24">
        <v>112.76</v>
      </c>
    </row>
    <row r="121" spans="1:61" x14ac:dyDescent="0.45">
      <c r="A121" s="43">
        <v>229.21</v>
      </c>
      <c r="B121" s="43">
        <v>233.47</v>
      </c>
      <c r="C121" s="43">
        <v>237.73</v>
      </c>
      <c r="D121" s="43">
        <v>241.99</v>
      </c>
      <c r="E121" s="43">
        <v>246.24</v>
      </c>
      <c r="F121" s="43">
        <v>250.5</v>
      </c>
      <c r="G121" s="43">
        <v>254.76</v>
      </c>
      <c r="H121" s="43">
        <v>259.02</v>
      </c>
      <c r="I121" s="44">
        <v>265.27999999999997</v>
      </c>
      <c r="J121" s="53">
        <v>267.54000000000002</v>
      </c>
      <c r="K121" s="53">
        <v>271.8</v>
      </c>
      <c r="L121" s="44">
        <v>276.06</v>
      </c>
      <c r="M121" s="44">
        <v>280.31</v>
      </c>
      <c r="N121" s="44">
        <v>284.57</v>
      </c>
      <c r="O121" s="59">
        <v>288.83</v>
      </c>
      <c r="P121" s="65">
        <v>293.08999999999997</v>
      </c>
      <c r="Q121" s="65">
        <v>297.35000000000002</v>
      </c>
      <c r="R121" s="65">
        <v>301.61</v>
      </c>
      <c r="S121" s="65">
        <v>305.87</v>
      </c>
      <c r="T121" s="65">
        <v>310.13</v>
      </c>
      <c r="U121" s="65">
        <v>314.38</v>
      </c>
      <c r="V121" s="24">
        <v>259.22000000000003</v>
      </c>
      <c r="W121" s="24">
        <v>263.48</v>
      </c>
      <c r="X121" s="24">
        <v>267.74</v>
      </c>
      <c r="Y121" s="24">
        <v>271.99</v>
      </c>
      <c r="Z121" s="24">
        <v>195.34</v>
      </c>
      <c r="AA121" s="24">
        <v>191.08</v>
      </c>
      <c r="AB121" s="24">
        <v>186.82</v>
      </c>
      <c r="AC121" s="24">
        <v>182.56</v>
      </c>
      <c r="AD121" s="24">
        <v>178.3</v>
      </c>
      <c r="AE121" s="5">
        <v>117</v>
      </c>
      <c r="AF121" s="43">
        <v>137.49</v>
      </c>
      <c r="AG121" s="43">
        <v>140.5</v>
      </c>
      <c r="AH121" s="43">
        <v>143.5</v>
      </c>
      <c r="AI121" s="43">
        <v>146.51</v>
      </c>
      <c r="AJ121" s="43">
        <v>149.52000000000001</v>
      </c>
      <c r="AK121" s="43">
        <v>152.52000000000001</v>
      </c>
      <c r="AL121" s="43">
        <v>155.53</v>
      </c>
      <c r="AM121" s="43">
        <v>158.54</v>
      </c>
      <c r="AN121" s="44">
        <v>161.54</v>
      </c>
      <c r="AO121" s="53">
        <v>164.55</v>
      </c>
      <c r="AP121" s="53">
        <v>167.56</v>
      </c>
      <c r="AQ121" s="44">
        <v>170.57</v>
      </c>
      <c r="AR121" s="44">
        <v>173.57</v>
      </c>
      <c r="AS121" s="72">
        <v>176.58</v>
      </c>
      <c r="AT121" s="59">
        <v>179.59</v>
      </c>
      <c r="AU121" s="65">
        <v>182.59</v>
      </c>
      <c r="AV121" s="65">
        <v>185.6</v>
      </c>
      <c r="AW121" s="65">
        <v>188.61</v>
      </c>
      <c r="AX121" s="65">
        <v>191.61</v>
      </c>
      <c r="AY121" s="65">
        <v>194.62</v>
      </c>
      <c r="AZ121" s="65">
        <v>197.63</v>
      </c>
      <c r="BA121" s="24">
        <v>170.86</v>
      </c>
      <c r="BB121" s="24">
        <v>173.87</v>
      </c>
      <c r="BC121" s="24">
        <v>176.88</v>
      </c>
      <c r="BD121" s="24">
        <v>179.88</v>
      </c>
      <c r="BE121" s="24">
        <v>125.76</v>
      </c>
      <c r="BF121" s="24">
        <v>122.75</v>
      </c>
      <c r="BG121" s="24">
        <v>119.74</v>
      </c>
      <c r="BH121" s="24">
        <v>116.74</v>
      </c>
      <c r="BI121" s="24">
        <v>113.73</v>
      </c>
    </row>
    <row r="122" spans="1:61" x14ac:dyDescent="0.45">
      <c r="A122" s="43">
        <v>231.18</v>
      </c>
      <c r="B122" s="43">
        <v>235.48</v>
      </c>
      <c r="C122" s="43">
        <v>239.77</v>
      </c>
      <c r="D122" s="43">
        <v>244.07</v>
      </c>
      <c r="E122" s="43">
        <v>248.36</v>
      </c>
      <c r="F122" s="43">
        <v>252.66</v>
      </c>
      <c r="G122" s="43">
        <v>256.95</v>
      </c>
      <c r="H122" s="43">
        <v>261.25</v>
      </c>
      <c r="I122" s="44">
        <v>265.54000000000002</v>
      </c>
      <c r="J122" s="53">
        <v>269.83999999999997</v>
      </c>
      <c r="K122" s="53">
        <v>274.13</v>
      </c>
      <c r="L122" s="44">
        <v>278.43</v>
      </c>
      <c r="M122" s="44">
        <v>282.72000000000003</v>
      </c>
      <c r="N122" s="44">
        <v>287.02</v>
      </c>
      <c r="O122" s="59">
        <v>291.94</v>
      </c>
      <c r="P122" s="65">
        <v>295.61</v>
      </c>
      <c r="Q122" s="65">
        <v>299.91000000000003</v>
      </c>
      <c r="R122" s="65">
        <v>304.2</v>
      </c>
      <c r="S122" s="65">
        <v>308.5</v>
      </c>
      <c r="T122" s="65">
        <v>312.79000000000002</v>
      </c>
      <c r="U122" s="65">
        <v>317.08999999999997</v>
      </c>
      <c r="V122" s="24">
        <v>261.44</v>
      </c>
      <c r="W122" s="24">
        <v>265.74</v>
      </c>
      <c r="X122" s="24">
        <v>270.02999999999997</v>
      </c>
      <c r="Y122" s="24">
        <v>274.33</v>
      </c>
      <c r="Z122" s="24">
        <v>197.01</v>
      </c>
      <c r="AA122" s="24">
        <v>192.72</v>
      </c>
      <c r="AB122" s="24">
        <v>188.42</v>
      </c>
      <c r="AC122" s="24">
        <v>184.13</v>
      </c>
      <c r="AD122" s="24">
        <v>179.83</v>
      </c>
      <c r="AE122" s="5">
        <v>118</v>
      </c>
      <c r="AF122" s="43">
        <v>138.66999999999999</v>
      </c>
      <c r="AG122" s="43">
        <v>141.69999999999999</v>
      </c>
      <c r="AH122" s="43">
        <v>144.74</v>
      </c>
      <c r="AI122" s="43">
        <v>147.77000000000001</v>
      </c>
      <c r="AJ122" s="43">
        <v>150.80000000000001</v>
      </c>
      <c r="AK122" s="43">
        <v>153.83000000000001</v>
      </c>
      <c r="AL122" s="43">
        <v>156.87</v>
      </c>
      <c r="AM122" s="43">
        <v>159.9</v>
      </c>
      <c r="AN122" s="44">
        <v>162.93</v>
      </c>
      <c r="AO122" s="53">
        <v>165.56</v>
      </c>
      <c r="AP122" s="53">
        <v>169</v>
      </c>
      <c r="AQ122" s="44">
        <v>172.01</v>
      </c>
      <c r="AR122" s="44">
        <v>175.06</v>
      </c>
      <c r="AS122" s="72">
        <v>178.09</v>
      </c>
      <c r="AT122" s="59">
        <v>181.13</v>
      </c>
      <c r="AU122" s="65">
        <v>184.16</v>
      </c>
      <c r="AV122" s="65">
        <v>187.19</v>
      </c>
      <c r="AW122" s="65">
        <v>190.23</v>
      </c>
      <c r="AX122" s="65">
        <v>193.26</v>
      </c>
      <c r="AY122" s="65">
        <v>196.29</v>
      </c>
      <c r="AZ122" s="65">
        <v>199.22</v>
      </c>
      <c r="BA122" s="24">
        <v>172.33</v>
      </c>
      <c r="BB122" s="24">
        <v>175.36</v>
      </c>
      <c r="BC122" s="24">
        <v>178.39</v>
      </c>
      <c r="BD122" s="24">
        <v>181.42</v>
      </c>
      <c r="BE122" s="24">
        <v>126.84</v>
      </c>
      <c r="BF122" s="24">
        <v>123.8</v>
      </c>
      <c r="BG122" s="24">
        <v>120.77</v>
      </c>
      <c r="BH122" s="24">
        <v>117.74</v>
      </c>
      <c r="BI122" s="24">
        <v>114.71</v>
      </c>
    </row>
    <row r="123" spans="1:61" x14ac:dyDescent="0.45">
      <c r="A123" s="43">
        <v>233.16</v>
      </c>
      <c r="B123" s="43">
        <v>237.49</v>
      </c>
      <c r="C123" s="43">
        <v>241.83</v>
      </c>
      <c r="D123" s="43">
        <v>246.16</v>
      </c>
      <c r="E123" s="43">
        <v>250.49</v>
      </c>
      <c r="F123" s="43">
        <v>254.82</v>
      </c>
      <c r="G123" s="43">
        <v>259.14999999999998</v>
      </c>
      <c r="H123" s="43">
        <v>263.48</v>
      </c>
      <c r="I123" s="44">
        <v>267.82</v>
      </c>
      <c r="J123" s="53">
        <v>272.14999999999998</v>
      </c>
      <c r="K123" s="53">
        <v>276.48</v>
      </c>
      <c r="L123" s="44">
        <v>280.81</v>
      </c>
      <c r="M123" s="44">
        <v>285.14</v>
      </c>
      <c r="N123" s="44">
        <v>289.47000000000003</v>
      </c>
      <c r="O123" s="59">
        <v>293.81</v>
      </c>
      <c r="P123" s="65">
        <v>298.44</v>
      </c>
      <c r="Q123" s="65">
        <v>302</v>
      </c>
      <c r="R123" s="65">
        <v>306.8</v>
      </c>
      <c r="S123" s="65">
        <v>311.13</v>
      </c>
      <c r="T123" s="65">
        <v>315.45999999999998</v>
      </c>
      <c r="U123" s="65">
        <v>319.8</v>
      </c>
      <c r="V123" s="24">
        <v>263.67</v>
      </c>
      <c r="W123" s="24">
        <v>268</v>
      </c>
      <c r="X123" s="24">
        <v>272.33</v>
      </c>
      <c r="Y123" s="24">
        <v>276.67</v>
      </c>
      <c r="Z123" s="24">
        <v>198.7</v>
      </c>
      <c r="AA123" s="24">
        <v>194.36</v>
      </c>
      <c r="AB123" s="24">
        <v>190.03</v>
      </c>
      <c r="AC123" s="24">
        <v>185.7</v>
      </c>
      <c r="AD123" s="24">
        <v>181.37</v>
      </c>
      <c r="AE123" s="5">
        <v>119</v>
      </c>
      <c r="AF123" s="43">
        <v>139.85</v>
      </c>
      <c r="AG123" s="43">
        <v>142.91</v>
      </c>
      <c r="AH123" s="43">
        <v>145.97</v>
      </c>
      <c r="AI123" s="43">
        <v>149.03</v>
      </c>
      <c r="AJ123" s="43">
        <v>152.09</v>
      </c>
      <c r="AK123" s="43">
        <v>155.13999999999999</v>
      </c>
      <c r="AL123" s="43">
        <v>158.19999999999999</v>
      </c>
      <c r="AM123" s="43">
        <v>161.25</v>
      </c>
      <c r="AN123" s="44">
        <v>164.32</v>
      </c>
      <c r="AO123" s="53">
        <v>167.28</v>
      </c>
      <c r="AP123" s="53">
        <v>170.44</v>
      </c>
      <c r="AQ123" s="44">
        <v>173.5</v>
      </c>
      <c r="AR123" s="44">
        <v>176.55</v>
      </c>
      <c r="AS123" s="72">
        <v>179.61</v>
      </c>
      <c r="AT123" s="59">
        <v>183.17</v>
      </c>
      <c r="AU123" s="65">
        <v>185.23</v>
      </c>
      <c r="AV123" s="65">
        <v>188.79</v>
      </c>
      <c r="AW123" s="65">
        <v>191.83</v>
      </c>
      <c r="AX123" s="65">
        <v>194.4</v>
      </c>
      <c r="AY123" s="65">
        <v>197.96</v>
      </c>
      <c r="AZ123" s="65">
        <v>201</v>
      </c>
      <c r="BA123" s="24">
        <v>173.79</v>
      </c>
      <c r="BB123" s="24">
        <v>176.85</v>
      </c>
      <c r="BC123" s="24">
        <v>179.91</v>
      </c>
      <c r="BD123" s="24">
        <v>182.97</v>
      </c>
      <c r="BE123" s="24">
        <v>127.92</v>
      </c>
      <c r="BF123" s="24">
        <v>124.86</v>
      </c>
      <c r="BG123" s="24">
        <v>121.8</v>
      </c>
      <c r="BH123" s="24">
        <v>118.74</v>
      </c>
      <c r="BI123" s="24">
        <v>115.68</v>
      </c>
    </row>
    <row r="124" spans="1:61" x14ac:dyDescent="0.45">
      <c r="A124" s="43">
        <v>235.15</v>
      </c>
      <c r="B124" s="43">
        <v>239.52</v>
      </c>
      <c r="C124" s="43">
        <v>243.89</v>
      </c>
      <c r="D124" s="43">
        <v>248.26</v>
      </c>
      <c r="E124" s="43">
        <v>252.62</v>
      </c>
      <c r="F124" s="43">
        <v>256.99</v>
      </c>
      <c r="G124" s="43">
        <v>261.36</v>
      </c>
      <c r="H124" s="43">
        <v>265.73</v>
      </c>
      <c r="I124" s="44">
        <v>270.10000000000002</v>
      </c>
      <c r="J124" s="53">
        <v>274.42</v>
      </c>
      <c r="K124" s="53">
        <v>278.83</v>
      </c>
      <c r="L124" s="44">
        <v>283.2</v>
      </c>
      <c r="M124" s="44">
        <v>287.57</v>
      </c>
      <c r="N124" s="44">
        <v>291.94</v>
      </c>
      <c r="O124" s="59">
        <v>296.3</v>
      </c>
      <c r="P124" s="65">
        <v>300.07</v>
      </c>
      <c r="Q124" s="65">
        <v>305.04000000000002</v>
      </c>
      <c r="R124" s="65">
        <v>309.41000000000003</v>
      </c>
      <c r="S124" s="65">
        <v>313.77999999999997</v>
      </c>
      <c r="T124" s="65">
        <v>318.14</v>
      </c>
      <c r="U124" s="65">
        <v>322.51</v>
      </c>
      <c r="V124" s="24">
        <v>265.89999999999998</v>
      </c>
      <c r="W124" s="24">
        <v>270.27</v>
      </c>
      <c r="X124" s="24">
        <v>274.64</v>
      </c>
      <c r="Y124" s="24">
        <v>279.01</v>
      </c>
      <c r="Z124" s="24">
        <v>200.38</v>
      </c>
      <c r="AA124" s="24">
        <v>196.02</v>
      </c>
      <c r="AB124" s="24">
        <v>191.65</v>
      </c>
      <c r="AC124" s="24">
        <v>187.28</v>
      </c>
      <c r="AD124" s="24">
        <v>182.91</v>
      </c>
      <c r="AE124" s="5">
        <v>120</v>
      </c>
      <c r="AF124" s="43">
        <v>140.97999999999999</v>
      </c>
      <c r="AG124" s="43">
        <v>144.06</v>
      </c>
      <c r="AH124" s="43">
        <v>147.13999999999999</v>
      </c>
      <c r="AI124" s="43">
        <v>150.22999999999999</v>
      </c>
      <c r="AJ124" s="43">
        <v>153.31</v>
      </c>
      <c r="AK124" s="43">
        <v>156.4</v>
      </c>
      <c r="AL124" s="43">
        <v>159.47999999999999</v>
      </c>
      <c r="AM124" s="43">
        <v>162.36000000000001</v>
      </c>
      <c r="AN124" s="44">
        <v>165.63</v>
      </c>
      <c r="AO124" s="53">
        <v>168.73</v>
      </c>
      <c r="AP124" s="53">
        <v>171.82</v>
      </c>
      <c r="AQ124" s="44">
        <v>174.9</v>
      </c>
      <c r="AR124" s="44">
        <v>177.98</v>
      </c>
      <c r="AS124" s="72">
        <v>181.07</v>
      </c>
      <c r="AT124" s="59">
        <v>184.15</v>
      </c>
      <c r="AU124" s="65">
        <v>187.24</v>
      </c>
      <c r="AV124" s="65">
        <v>190.32</v>
      </c>
      <c r="AW124" s="65">
        <v>193.4</v>
      </c>
      <c r="AX124" s="65">
        <v>196.4</v>
      </c>
      <c r="AY124" s="65">
        <v>199.57</v>
      </c>
      <c r="AZ124" s="65">
        <v>202.66</v>
      </c>
      <c r="BA124" s="24">
        <v>175.22</v>
      </c>
      <c r="BB124" s="24">
        <v>178.3</v>
      </c>
      <c r="BC124" s="24">
        <v>181.39</v>
      </c>
      <c r="BD124" s="24">
        <v>184.47</v>
      </c>
      <c r="BE124" s="24">
        <v>128.96</v>
      </c>
      <c r="BF124" s="24">
        <v>125.87</v>
      </c>
      <c r="BG124" s="24">
        <v>122.79</v>
      </c>
      <c r="BH124" s="24">
        <v>119.71</v>
      </c>
      <c r="BI124" s="24">
        <v>116.62</v>
      </c>
    </row>
    <row r="125" spans="1:61" x14ac:dyDescent="0.45">
      <c r="A125" s="43">
        <v>236.9</v>
      </c>
      <c r="B125" s="43">
        <v>241.31</v>
      </c>
      <c r="C125" s="43">
        <v>245.71</v>
      </c>
      <c r="D125" s="43">
        <v>250.12</v>
      </c>
      <c r="E125" s="43">
        <v>254.52</v>
      </c>
      <c r="F125" s="43">
        <v>258.93</v>
      </c>
      <c r="G125" s="43">
        <v>263.33</v>
      </c>
      <c r="H125" s="43">
        <v>267.74</v>
      </c>
      <c r="I125" s="44">
        <v>272.14</v>
      </c>
      <c r="J125" s="53">
        <v>276.54000000000002</v>
      </c>
      <c r="K125" s="53">
        <v>280.95</v>
      </c>
      <c r="L125" s="44">
        <v>285.35000000000002</v>
      </c>
      <c r="M125" s="44">
        <v>289.76</v>
      </c>
      <c r="N125" s="44">
        <v>294.16000000000003</v>
      </c>
      <c r="O125" s="59">
        <v>298.57</v>
      </c>
      <c r="P125" s="65">
        <v>302.97000000000003</v>
      </c>
      <c r="Q125" s="65">
        <v>307.38</v>
      </c>
      <c r="R125" s="65">
        <v>311.77999999999997</v>
      </c>
      <c r="S125" s="65">
        <v>316.18</v>
      </c>
      <c r="T125" s="65">
        <v>320.58999999999997</v>
      </c>
      <c r="U125" s="65">
        <v>324.99</v>
      </c>
      <c r="V125" s="24">
        <v>268</v>
      </c>
      <c r="W125" s="24">
        <v>272.39999999999998</v>
      </c>
      <c r="X125" s="24">
        <v>276.81</v>
      </c>
      <c r="Y125" s="24">
        <v>281.20999999999998</v>
      </c>
      <c r="Z125" s="24">
        <v>201.93</v>
      </c>
      <c r="AA125" s="24">
        <v>197.53</v>
      </c>
      <c r="AB125" s="24">
        <v>193.12</v>
      </c>
      <c r="AC125" s="24">
        <v>188.72</v>
      </c>
      <c r="AD125" s="24">
        <v>184.31</v>
      </c>
      <c r="AE125" s="5">
        <v>121</v>
      </c>
      <c r="AF125" s="43">
        <v>142.16</v>
      </c>
      <c r="AG125" s="43">
        <v>145.27000000000001</v>
      </c>
      <c r="AH125" s="43">
        <v>148.38</v>
      </c>
      <c r="AI125" s="43">
        <v>151.49</v>
      </c>
      <c r="AJ125" s="43">
        <v>154.6</v>
      </c>
      <c r="AK125" s="43">
        <v>157.71</v>
      </c>
      <c r="AL125" s="43">
        <v>160.82</v>
      </c>
      <c r="AM125" s="43">
        <v>163.93</v>
      </c>
      <c r="AN125" s="44">
        <v>167.04</v>
      </c>
      <c r="AO125" s="53">
        <v>170.15</v>
      </c>
      <c r="AP125" s="53">
        <v>173.26</v>
      </c>
      <c r="AQ125" s="44">
        <v>176.37</v>
      </c>
      <c r="AR125" s="44">
        <v>179.48</v>
      </c>
      <c r="AS125" s="72">
        <v>182.59</v>
      </c>
      <c r="AT125" s="59">
        <v>185.7</v>
      </c>
      <c r="AU125" s="65">
        <v>188.81</v>
      </c>
      <c r="AV125" s="65">
        <v>191.92</v>
      </c>
      <c r="AW125" s="65">
        <v>195.03</v>
      </c>
      <c r="AX125" s="65">
        <v>198.14</v>
      </c>
      <c r="AY125" s="65">
        <v>201.25</v>
      </c>
      <c r="AZ125" s="65">
        <v>204.36</v>
      </c>
      <c r="BA125" s="24">
        <v>176.69</v>
      </c>
      <c r="BB125" s="24">
        <v>179.8</v>
      </c>
      <c r="BC125" s="24">
        <v>182.91</v>
      </c>
      <c r="BD125" s="24">
        <v>186.02</v>
      </c>
      <c r="BE125" s="24">
        <v>130.04</v>
      </c>
      <c r="BF125" s="24">
        <v>126.93</v>
      </c>
      <c r="BG125" s="24">
        <v>123.82</v>
      </c>
      <c r="BH125" s="24">
        <v>120.71</v>
      </c>
      <c r="BI125" s="24">
        <v>117.6</v>
      </c>
    </row>
    <row r="126" spans="1:61" x14ac:dyDescent="0.45">
      <c r="A126" s="43">
        <v>238.91</v>
      </c>
      <c r="B126" s="43">
        <v>243.35</v>
      </c>
      <c r="C126" s="43">
        <v>247.79</v>
      </c>
      <c r="D126" s="43">
        <v>252.3</v>
      </c>
      <c r="E126" s="43">
        <v>256.67</v>
      </c>
      <c r="F126" s="43">
        <v>261.11</v>
      </c>
      <c r="G126" s="43">
        <v>265.55</v>
      </c>
      <c r="H126" s="43">
        <v>269.99</v>
      </c>
      <c r="I126" s="44">
        <v>274.43</v>
      </c>
      <c r="J126" s="53">
        <v>278.87</v>
      </c>
      <c r="K126" s="53">
        <v>283.32</v>
      </c>
      <c r="L126" s="44">
        <v>287.76</v>
      </c>
      <c r="M126" s="44">
        <v>292.2</v>
      </c>
      <c r="N126" s="44">
        <v>296.64</v>
      </c>
      <c r="O126" s="59">
        <v>301.08</v>
      </c>
      <c r="P126" s="65">
        <v>305.52</v>
      </c>
      <c r="Q126" s="65">
        <v>309.95999999999998</v>
      </c>
      <c r="R126" s="65">
        <v>314.39999999999998</v>
      </c>
      <c r="S126" s="65">
        <v>318.83999999999997</v>
      </c>
      <c r="T126" s="65">
        <v>323.27999999999997</v>
      </c>
      <c r="U126" s="65">
        <v>327.72</v>
      </c>
      <c r="V126" s="24">
        <v>270.24</v>
      </c>
      <c r="W126" s="24">
        <v>274.68</v>
      </c>
      <c r="X126" s="24">
        <v>279.12</v>
      </c>
      <c r="Y126" s="24">
        <v>283.56</v>
      </c>
      <c r="Z126" s="24">
        <v>203.63</v>
      </c>
      <c r="AA126" s="24">
        <v>199.19</v>
      </c>
      <c r="AB126" s="24">
        <v>194.75</v>
      </c>
      <c r="AC126" s="24">
        <v>190.31</v>
      </c>
      <c r="AD126" s="24">
        <v>185.86</v>
      </c>
      <c r="AE126" s="5">
        <v>122</v>
      </c>
      <c r="AF126" s="43">
        <v>143.35</v>
      </c>
      <c r="AG126" s="43">
        <v>146.49</v>
      </c>
      <c r="AH126" s="43">
        <v>149.62</v>
      </c>
      <c r="AI126" s="43">
        <v>152.76</v>
      </c>
      <c r="AJ126" s="43">
        <v>155.88999999999999</v>
      </c>
      <c r="AK126" s="43">
        <v>159.03</v>
      </c>
      <c r="AL126" s="43">
        <v>162.16999999999999</v>
      </c>
      <c r="AM126" s="43">
        <v>165.3</v>
      </c>
      <c r="AN126" s="44">
        <v>168.44</v>
      </c>
      <c r="AO126" s="53">
        <v>171.57</v>
      </c>
      <c r="AP126" s="53">
        <v>174.71</v>
      </c>
      <c r="AQ126" s="44">
        <v>177.84</v>
      </c>
      <c r="AR126" s="44">
        <v>180.98</v>
      </c>
      <c r="AS126" s="72">
        <v>154.11000000000001</v>
      </c>
      <c r="AT126" s="59">
        <v>187.25</v>
      </c>
      <c r="AU126" s="65">
        <v>190.38</v>
      </c>
      <c r="AV126" s="65">
        <v>193.52</v>
      </c>
      <c r="AW126" s="65">
        <v>196.65</v>
      </c>
      <c r="AX126" s="65">
        <v>199.79</v>
      </c>
      <c r="AY126" s="65">
        <v>202.93</v>
      </c>
      <c r="AZ126" s="65">
        <v>206.06</v>
      </c>
      <c r="BA126" s="24">
        <v>178.16</v>
      </c>
      <c r="BB126" s="24">
        <v>181.29</v>
      </c>
      <c r="BC126" s="24">
        <v>184.43</v>
      </c>
      <c r="BD126" s="24">
        <v>187.56</v>
      </c>
      <c r="BE126" s="24">
        <v>131.13</v>
      </c>
      <c r="BF126" s="24">
        <v>127.99</v>
      </c>
      <c r="BG126" s="24">
        <v>124.85</v>
      </c>
      <c r="BH126" s="24">
        <v>121.72</v>
      </c>
      <c r="BI126" s="24">
        <v>118.58</v>
      </c>
    </row>
    <row r="127" spans="1:61" x14ac:dyDescent="0.45">
      <c r="A127" s="43">
        <v>240.92</v>
      </c>
      <c r="B127" s="43">
        <v>245.4</v>
      </c>
      <c r="C127" s="43">
        <v>249.87</v>
      </c>
      <c r="D127" s="43">
        <v>254.35</v>
      </c>
      <c r="E127" s="43">
        <v>258.83</v>
      </c>
      <c r="F127" s="43">
        <v>263.31</v>
      </c>
      <c r="G127" s="43">
        <v>267.77999999999997</v>
      </c>
      <c r="H127" s="43">
        <v>272.26</v>
      </c>
      <c r="I127" s="44">
        <v>276.74</v>
      </c>
      <c r="J127" s="53">
        <v>281.20999999999998</v>
      </c>
      <c r="K127" s="53">
        <v>285.69</v>
      </c>
      <c r="L127" s="44">
        <v>290.17</v>
      </c>
      <c r="M127" s="44">
        <v>294.64999999999998</v>
      </c>
      <c r="N127" s="44">
        <v>299.12</v>
      </c>
      <c r="O127" s="59">
        <v>303.60000000000002</v>
      </c>
      <c r="P127" s="65">
        <v>308.08</v>
      </c>
      <c r="Q127" s="65">
        <v>312.55</v>
      </c>
      <c r="R127" s="65">
        <v>317.02999999999997</v>
      </c>
      <c r="S127" s="65">
        <v>321.51</v>
      </c>
      <c r="T127" s="65">
        <v>325.99</v>
      </c>
      <c r="U127" s="65">
        <v>330.46</v>
      </c>
      <c r="V127" s="24">
        <v>272.49</v>
      </c>
      <c r="W127" s="24">
        <v>276.95999999999998</v>
      </c>
      <c r="X127" s="24">
        <v>281.44</v>
      </c>
      <c r="Y127" s="24">
        <v>285.92</v>
      </c>
      <c r="Z127" s="24">
        <v>205.33</v>
      </c>
      <c r="AA127" s="24">
        <v>200.85</v>
      </c>
      <c r="AB127" s="24">
        <v>196.37</v>
      </c>
      <c r="AC127" s="24">
        <v>191.9</v>
      </c>
      <c r="AD127" s="24">
        <v>187.42</v>
      </c>
      <c r="AE127" s="5">
        <v>123</v>
      </c>
      <c r="AF127" s="43">
        <v>144.47999999999999</v>
      </c>
      <c r="AG127" s="43">
        <v>147.63999999999999</v>
      </c>
      <c r="AH127" s="43">
        <v>150.80000000000001</v>
      </c>
      <c r="AI127" s="43">
        <v>153.96</v>
      </c>
      <c r="AJ127" s="43">
        <v>157.12</v>
      </c>
      <c r="AK127" s="43">
        <v>160.28</v>
      </c>
      <c r="AL127" s="43">
        <v>163.44</v>
      </c>
      <c r="AM127" s="43">
        <v>166.6</v>
      </c>
      <c r="AN127" s="44">
        <v>169.77</v>
      </c>
      <c r="AO127" s="53">
        <v>172.93</v>
      </c>
      <c r="AP127" s="53">
        <v>176.09</v>
      </c>
      <c r="AQ127" s="44">
        <v>179.25</v>
      </c>
      <c r="AR127" s="44">
        <v>182.41</v>
      </c>
      <c r="AS127" s="72">
        <v>185.57</v>
      </c>
      <c r="AT127" s="59">
        <v>188.73</v>
      </c>
      <c r="AU127" s="65">
        <v>191.89</v>
      </c>
      <c r="AV127" s="65">
        <v>195.05</v>
      </c>
      <c r="AW127" s="65">
        <v>198.22</v>
      </c>
      <c r="AX127" s="65">
        <v>201.38</v>
      </c>
      <c r="AY127" s="65">
        <v>204.54</v>
      </c>
      <c r="AZ127" s="65">
        <v>207.7</v>
      </c>
      <c r="BA127" s="24">
        <v>179.58</v>
      </c>
      <c r="BB127" s="24">
        <v>182.75</v>
      </c>
      <c r="BC127" s="24">
        <v>185.91</v>
      </c>
      <c r="BD127" s="24">
        <v>189.07</v>
      </c>
      <c r="BE127" s="24">
        <v>132.16999999999999</v>
      </c>
      <c r="BF127" s="24">
        <v>129.01</v>
      </c>
      <c r="BG127" s="24">
        <v>125.85</v>
      </c>
      <c r="BH127" s="24">
        <v>122.68</v>
      </c>
      <c r="BI127" s="24">
        <v>119.52</v>
      </c>
    </row>
    <row r="128" spans="1:61" x14ac:dyDescent="0.45">
      <c r="A128" s="43">
        <v>242.94</v>
      </c>
      <c r="B128" s="43">
        <v>247.45</v>
      </c>
      <c r="C128" s="43">
        <v>251.97</v>
      </c>
      <c r="D128" s="43">
        <v>256.48</v>
      </c>
      <c r="E128" s="43">
        <v>261</v>
      </c>
      <c r="F128" s="43">
        <v>265.51</v>
      </c>
      <c r="G128" s="43">
        <v>270.02</v>
      </c>
      <c r="H128" s="43">
        <v>274.54000000000002</v>
      </c>
      <c r="I128" s="44">
        <v>279.05</v>
      </c>
      <c r="J128" s="53">
        <v>283.56</v>
      </c>
      <c r="K128" s="53">
        <v>288.08</v>
      </c>
      <c r="L128" s="44">
        <v>292.58999999999997</v>
      </c>
      <c r="M128" s="44">
        <v>297.10000000000002</v>
      </c>
      <c r="N128" s="44">
        <v>301.62</v>
      </c>
      <c r="O128" s="59">
        <v>306.13</v>
      </c>
      <c r="P128" s="65">
        <v>310.64999999999998</v>
      </c>
      <c r="Q128" s="65">
        <v>315.16000000000003</v>
      </c>
      <c r="R128" s="65">
        <v>319.67</v>
      </c>
      <c r="S128" s="65">
        <v>324.19</v>
      </c>
      <c r="T128" s="65">
        <v>328.7</v>
      </c>
      <c r="U128" s="65">
        <v>333.21</v>
      </c>
      <c r="V128" s="24">
        <v>274.74</v>
      </c>
      <c r="W128" s="24">
        <v>279.25</v>
      </c>
      <c r="X128" s="24">
        <v>283.77</v>
      </c>
      <c r="Y128" s="24">
        <v>288.27999999999997</v>
      </c>
      <c r="Z128" s="24">
        <v>207.03</v>
      </c>
      <c r="AA128" s="24">
        <v>202.52</v>
      </c>
      <c r="AB128" s="24">
        <v>198.01</v>
      </c>
      <c r="AC128" s="24">
        <v>193.49</v>
      </c>
      <c r="AD128" s="24">
        <v>188.98</v>
      </c>
      <c r="AE128" s="5">
        <v>124</v>
      </c>
      <c r="AF128" s="43">
        <v>145.66999999999999</v>
      </c>
      <c r="AG128" s="43">
        <v>148.86000000000001</v>
      </c>
      <c r="AH128" s="43">
        <v>152.04</v>
      </c>
      <c r="AI128" s="43">
        <v>155.22999999999999</v>
      </c>
      <c r="AJ128" s="43">
        <v>158.41999999999999</v>
      </c>
      <c r="AK128" s="43">
        <v>161.6</v>
      </c>
      <c r="AL128" s="43">
        <v>164.79</v>
      </c>
      <c r="AM128" s="43">
        <v>167.98</v>
      </c>
      <c r="AN128" s="44">
        <v>171.17</v>
      </c>
      <c r="AO128" s="53">
        <v>174.35</v>
      </c>
      <c r="AP128" s="53">
        <v>177.54</v>
      </c>
      <c r="AQ128" s="44">
        <v>180.73</v>
      </c>
      <c r="AR128" s="44">
        <v>183.91</v>
      </c>
      <c r="AS128" s="72">
        <v>187.1</v>
      </c>
      <c r="AT128" s="59">
        <v>190.29</v>
      </c>
      <c r="AU128" s="65">
        <v>193.47</v>
      </c>
      <c r="AV128" s="65">
        <v>196.66</v>
      </c>
      <c r="AW128" s="65">
        <v>199.85</v>
      </c>
      <c r="AX128" s="65">
        <v>203.03</v>
      </c>
      <c r="AY128" s="65">
        <v>206.22</v>
      </c>
      <c r="AZ128" s="65">
        <v>209.41</v>
      </c>
      <c r="BA128" s="24">
        <v>181.06</v>
      </c>
      <c r="BB128" s="24">
        <v>184.24</v>
      </c>
      <c r="BC128" s="24">
        <v>187.43</v>
      </c>
      <c r="BD128" s="24">
        <v>190.62</v>
      </c>
      <c r="BE128" s="24">
        <v>133.25</v>
      </c>
      <c r="BF128" s="24">
        <v>130.07</v>
      </c>
      <c r="BG128" s="24">
        <v>126.88</v>
      </c>
      <c r="BH128" s="24">
        <v>123.69</v>
      </c>
      <c r="BI128" s="24">
        <v>120.51</v>
      </c>
    </row>
    <row r="129" spans="1:61" x14ac:dyDescent="0.45">
      <c r="A129" s="43">
        <v>244.71</v>
      </c>
      <c r="B129" s="43">
        <v>249.26</v>
      </c>
      <c r="C129" s="43">
        <v>253.81</v>
      </c>
      <c r="D129" s="43">
        <v>258.36</v>
      </c>
      <c r="E129" s="43">
        <v>262.91000000000003</v>
      </c>
      <c r="F129" s="43">
        <v>267.45999999999998</v>
      </c>
      <c r="G129" s="43">
        <v>272.01</v>
      </c>
      <c r="H129" s="43">
        <v>276.56</v>
      </c>
      <c r="I129" s="44">
        <v>281.11</v>
      </c>
      <c r="J129" s="53">
        <v>285.66000000000003</v>
      </c>
      <c r="K129" s="53">
        <v>290.20999999999998</v>
      </c>
      <c r="L129" s="44">
        <v>294.76</v>
      </c>
      <c r="M129" s="44">
        <v>299.31</v>
      </c>
      <c r="N129" s="44">
        <v>303.86</v>
      </c>
      <c r="O129" s="59">
        <v>308.41000000000003</v>
      </c>
      <c r="P129" s="65">
        <v>312.95999999999998</v>
      </c>
      <c r="Q129" s="65">
        <v>317.51</v>
      </c>
      <c r="R129" s="65">
        <v>322.06</v>
      </c>
      <c r="S129" s="65">
        <v>326.61</v>
      </c>
      <c r="T129" s="65">
        <v>331.16</v>
      </c>
      <c r="U129" s="65">
        <v>335.71</v>
      </c>
      <c r="V129" s="24">
        <v>276.83999999999997</v>
      </c>
      <c r="W129" s="24">
        <v>281.39</v>
      </c>
      <c r="X129" s="24">
        <v>285.94</v>
      </c>
      <c r="Y129" s="24">
        <v>290.49</v>
      </c>
      <c r="Z129" s="24">
        <v>208.59</v>
      </c>
      <c r="AA129" s="24">
        <v>204.04</v>
      </c>
      <c r="AB129" s="24">
        <v>199.49</v>
      </c>
      <c r="AC129" s="24">
        <v>194.94</v>
      </c>
      <c r="AD129" s="24">
        <v>190.39</v>
      </c>
      <c r="AE129" s="5">
        <v>125</v>
      </c>
      <c r="AF129" s="43">
        <v>146.87</v>
      </c>
      <c r="AG129" s="43">
        <v>150.08000000000001</v>
      </c>
      <c r="AH129" s="43">
        <v>153.29</v>
      </c>
      <c r="AI129" s="43">
        <v>156.5</v>
      </c>
      <c r="AJ129" s="43">
        <v>159.72</v>
      </c>
      <c r="AK129" s="43">
        <v>162.93</v>
      </c>
      <c r="AL129" s="43">
        <v>166.14</v>
      </c>
      <c r="AM129" s="43">
        <v>169.35</v>
      </c>
      <c r="AN129" s="44">
        <v>172.57</v>
      </c>
      <c r="AO129" s="53">
        <v>175.78</v>
      </c>
      <c r="AP129" s="53">
        <v>178.99</v>
      </c>
      <c r="AQ129" s="44">
        <v>182.2</v>
      </c>
      <c r="AR129" s="44">
        <v>185.42</v>
      </c>
      <c r="AS129" s="72">
        <v>188.63</v>
      </c>
      <c r="AT129" s="59">
        <v>191.84</v>
      </c>
      <c r="AU129" s="65">
        <v>195.05</v>
      </c>
      <c r="AV129" s="65">
        <v>198.27</v>
      </c>
      <c r="AW129" s="65">
        <v>201.48</v>
      </c>
      <c r="AX129" s="65">
        <v>204.69</v>
      </c>
      <c r="AY129" s="65">
        <v>207.9</v>
      </c>
      <c r="AZ129" s="65">
        <v>211.12</v>
      </c>
      <c r="BA129" s="24">
        <v>182.53</v>
      </c>
      <c r="BB129" s="24">
        <v>185.74</v>
      </c>
      <c r="BC129" s="24">
        <v>188.95</v>
      </c>
      <c r="BD129" s="24">
        <v>192.17</v>
      </c>
      <c r="BE129" s="24">
        <v>134.34</v>
      </c>
      <c r="BF129" s="24">
        <v>131.13</v>
      </c>
      <c r="BG129" s="24">
        <v>127.92</v>
      </c>
      <c r="BH129" s="24">
        <v>124.7</v>
      </c>
      <c r="BI129" s="24">
        <v>121.49</v>
      </c>
    </row>
    <row r="130" spans="1:61" x14ac:dyDescent="0.45">
      <c r="A130" s="43">
        <v>246.74</v>
      </c>
      <c r="B130" s="43">
        <v>251.33</v>
      </c>
      <c r="C130" s="43">
        <v>255.92</v>
      </c>
      <c r="D130" s="43">
        <v>260.5</v>
      </c>
      <c r="E130" s="43">
        <v>265.08999999999997</v>
      </c>
      <c r="F130" s="43">
        <v>269.68</v>
      </c>
      <c r="G130" s="43">
        <v>274.26</v>
      </c>
      <c r="H130" s="43">
        <v>278.85000000000002</v>
      </c>
      <c r="I130" s="44">
        <v>283.44</v>
      </c>
      <c r="J130" s="53">
        <v>288.02</v>
      </c>
      <c r="K130" s="53">
        <v>292.61</v>
      </c>
      <c r="L130" s="44">
        <v>297.2</v>
      </c>
      <c r="M130" s="44">
        <v>301.77999999999997</v>
      </c>
      <c r="N130" s="44">
        <v>306.37</v>
      </c>
      <c r="O130" s="59">
        <v>310.95</v>
      </c>
      <c r="P130" s="65">
        <v>315.54000000000002</v>
      </c>
      <c r="Q130" s="65">
        <v>320.13</v>
      </c>
      <c r="R130" s="65">
        <v>324.70999999999998</v>
      </c>
      <c r="S130" s="65">
        <v>329.3</v>
      </c>
      <c r="T130" s="65">
        <v>333.89</v>
      </c>
      <c r="U130" s="65">
        <v>338.47</v>
      </c>
      <c r="V130" s="24">
        <v>279.10000000000002</v>
      </c>
      <c r="W130" s="24">
        <v>283.69</v>
      </c>
      <c r="X130" s="24">
        <v>288.27999999999997</v>
      </c>
      <c r="Y130" s="24">
        <v>292.86</v>
      </c>
      <c r="Z130" s="24">
        <v>210.31</v>
      </c>
      <c r="AA130" s="24">
        <v>205.72</v>
      </c>
      <c r="AB130" s="24">
        <v>201.13</v>
      </c>
      <c r="AC130" s="24">
        <v>196.55</v>
      </c>
      <c r="AD130" s="24">
        <v>191.96</v>
      </c>
      <c r="AE130" s="5">
        <v>126</v>
      </c>
      <c r="AF130" s="43">
        <v>147.99</v>
      </c>
      <c r="AG130" s="43">
        <v>151.22999999999999</v>
      </c>
      <c r="AH130" s="43">
        <v>154.47</v>
      </c>
      <c r="AI130" s="43">
        <v>157.71</v>
      </c>
      <c r="AJ130" s="43">
        <v>160.94999999999999</v>
      </c>
      <c r="AK130" s="43">
        <v>164.19</v>
      </c>
      <c r="AL130" s="43">
        <v>167.42</v>
      </c>
      <c r="AM130" s="43">
        <v>170.66</v>
      </c>
      <c r="AN130" s="44">
        <v>173.9</v>
      </c>
      <c r="AO130" s="53">
        <v>177.14</v>
      </c>
      <c r="AP130" s="53">
        <v>180.38</v>
      </c>
      <c r="AQ130" s="44">
        <v>183.61</v>
      </c>
      <c r="AR130" s="44">
        <v>186.85</v>
      </c>
      <c r="AS130" s="72">
        <v>190.09</v>
      </c>
      <c r="AT130" s="59">
        <v>193.33</v>
      </c>
      <c r="AU130" s="65">
        <v>196.57</v>
      </c>
      <c r="AV130" s="65">
        <v>199.81</v>
      </c>
      <c r="AW130" s="65">
        <v>203.04</v>
      </c>
      <c r="AX130" s="65">
        <v>206.28</v>
      </c>
      <c r="AY130" s="65">
        <v>209.52</v>
      </c>
      <c r="AZ130" s="65">
        <v>212.76</v>
      </c>
      <c r="BA130" s="24">
        <v>183.96</v>
      </c>
      <c r="BB130" s="24">
        <v>187.2</v>
      </c>
      <c r="BC130" s="24">
        <v>190.44</v>
      </c>
      <c r="BD130" s="24">
        <v>193.67</v>
      </c>
      <c r="BE130" s="24">
        <v>135.38999999999999</v>
      </c>
      <c r="BF130" s="24">
        <v>132.15</v>
      </c>
      <c r="BG130" s="24">
        <v>128.91</v>
      </c>
      <c r="BH130" s="24">
        <v>125.67</v>
      </c>
      <c r="BI130" s="24">
        <v>122.43</v>
      </c>
    </row>
    <row r="131" spans="1:61" x14ac:dyDescent="0.45">
      <c r="A131" s="43">
        <v>248.79</v>
      </c>
      <c r="B131" s="43">
        <v>253.41</v>
      </c>
      <c r="C131" s="43">
        <v>258.04000000000002</v>
      </c>
      <c r="D131" s="43">
        <v>262.66000000000003</v>
      </c>
      <c r="E131" s="43">
        <v>267.27999999999997</v>
      </c>
      <c r="F131" s="43">
        <v>271.89999999999998</v>
      </c>
      <c r="G131" s="43">
        <v>276.52999999999997</v>
      </c>
      <c r="H131" s="43">
        <v>281.14999999999998</v>
      </c>
      <c r="I131" s="44">
        <v>285.77</v>
      </c>
      <c r="J131" s="53">
        <v>290.39999999999998</v>
      </c>
      <c r="K131" s="53">
        <v>295.02</v>
      </c>
      <c r="L131" s="44">
        <v>299.64</v>
      </c>
      <c r="M131" s="44">
        <v>304.26</v>
      </c>
      <c r="N131" s="44">
        <v>308.89</v>
      </c>
      <c r="O131" s="59">
        <v>313.51</v>
      </c>
      <c r="P131" s="65">
        <v>318.13</v>
      </c>
      <c r="Q131" s="65">
        <v>322.76</v>
      </c>
      <c r="R131" s="65">
        <v>327.38</v>
      </c>
      <c r="S131" s="65">
        <v>332</v>
      </c>
      <c r="T131" s="65">
        <v>336.62</v>
      </c>
      <c r="U131" s="65">
        <v>341.25</v>
      </c>
      <c r="V131" s="24">
        <v>281.37</v>
      </c>
      <c r="W131" s="24">
        <v>285.99</v>
      </c>
      <c r="X131" s="24">
        <v>290.61</v>
      </c>
      <c r="Y131" s="24">
        <v>295.24</v>
      </c>
      <c r="Z131" s="24">
        <v>212.03</v>
      </c>
      <c r="AA131" s="24">
        <v>207.4</v>
      </c>
      <c r="AB131" s="24">
        <v>202.78</v>
      </c>
      <c r="AC131" s="24">
        <v>198.16</v>
      </c>
      <c r="AD131" s="24">
        <v>193.54</v>
      </c>
      <c r="AE131" s="5">
        <v>127</v>
      </c>
      <c r="AF131" s="43">
        <v>149.19</v>
      </c>
      <c r="AG131" s="43">
        <v>152.46</v>
      </c>
      <c r="AH131" s="43">
        <v>155.72</v>
      </c>
      <c r="AI131" s="43">
        <v>158.99</v>
      </c>
      <c r="AJ131" s="43">
        <v>162.25</v>
      </c>
      <c r="AK131" s="43">
        <v>165.51</v>
      </c>
      <c r="AL131" s="43">
        <v>168.78</v>
      </c>
      <c r="AM131" s="43">
        <v>172.04</v>
      </c>
      <c r="AN131" s="44">
        <v>175.31</v>
      </c>
      <c r="AO131" s="53">
        <v>178.57</v>
      </c>
      <c r="AP131" s="53">
        <v>181.83</v>
      </c>
      <c r="AQ131" s="44">
        <v>185.1</v>
      </c>
      <c r="AR131" s="44">
        <v>188.36</v>
      </c>
      <c r="AS131" s="72">
        <v>191.63</v>
      </c>
      <c r="AT131" s="59">
        <v>194.89</v>
      </c>
      <c r="AU131" s="65">
        <v>198.15</v>
      </c>
      <c r="AV131" s="65">
        <v>201.42</v>
      </c>
      <c r="AW131" s="65">
        <v>204.68</v>
      </c>
      <c r="AX131" s="65">
        <v>207.94</v>
      </c>
      <c r="AY131" s="65">
        <v>211.21</v>
      </c>
      <c r="AZ131" s="65">
        <v>214.47</v>
      </c>
      <c r="BA131" s="24">
        <v>185.44</v>
      </c>
      <c r="BB131" s="24">
        <v>188.7</v>
      </c>
      <c r="BC131" s="24">
        <v>191.96</v>
      </c>
      <c r="BD131" s="24">
        <v>195.23</v>
      </c>
      <c r="BE131" s="24">
        <v>136.47999999999999</v>
      </c>
      <c r="BF131" s="24">
        <v>133.21</v>
      </c>
      <c r="BG131" s="24">
        <v>129.94999999999999</v>
      </c>
      <c r="BH131" s="24">
        <v>126.69</v>
      </c>
      <c r="BI131" s="24">
        <v>123.42</v>
      </c>
    </row>
    <row r="132" spans="1:61" x14ac:dyDescent="0.45">
      <c r="A132" s="43">
        <v>250.57</v>
      </c>
      <c r="B132" s="43">
        <v>255.23</v>
      </c>
      <c r="C132" s="43">
        <v>259.89</v>
      </c>
      <c r="D132" s="43">
        <v>264.55</v>
      </c>
      <c r="E132" s="43">
        <v>269.20999999999998</v>
      </c>
      <c r="F132" s="43">
        <v>273.87</v>
      </c>
      <c r="G132" s="43">
        <v>278.52999999999997</v>
      </c>
      <c r="H132" s="43">
        <v>283.19</v>
      </c>
      <c r="I132" s="44">
        <v>287.83999999999997</v>
      </c>
      <c r="J132" s="53">
        <v>292.5</v>
      </c>
      <c r="K132" s="53">
        <v>297.16000000000003</v>
      </c>
      <c r="L132" s="44">
        <v>301.82</v>
      </c>
      <c r="M132" s="44">
        <v>306.48</v>
      </c>
      <c r="N132" s="44">
        <v>311.14</v>
      </c>
      <c r="O132" s="59">
        <v>315.8</v>
      </c>
      <c r="P132" s="65">
        <v>320.45999999999998</v>
      </c>
      <c r="Q132" s="65">
        <v>325.12</v>
      </c>
      <c r="R132" s="65">
        <v>329.78</v>
      </c>
      <c r="S132" s="65">
        <v>334.44</v>
      </c>
      <c r="T132" s="65">
        <v>339.1</v>
      </c>
      <c r="U132" s="65">
        <v>343.76</v>
      </c>
      <c r="V132" s="24">
        <v>283.48</v>
      </c>
      <c r="W132" s="24">
        <v>288.14</v>
      </c>
      <c r="X132" s="24">
        <v>292.8</v>
      </c>
      <c r="Y132" s="24">
        <v>297.45999999999998</v>
      </c>
      <c r="Z132" s="24">
        <v>213.59</v>
      </c>
      <c r="AA132" s="24">
        <v>208.93</v>
      </c>
      <c r="AB132" s="24">
        <v>204.27</v>
      </c>
      <c r="AC132" s="24">
        <v>199.61</v>
      </c>
      <c r="AD132" s="24">
        <v>196.54</v>
      </c>
      <c r="AE132" s="5">
        <v>128</v>
      </c>
      <c r="AF132" s="43">
        <v>150.4</v>
      </c>
      <c r="AG132" s="43">
        <v>153.69</v>
      </c>
      <c r="AH132" s="43">
        <v>156.97999999999999</v>
      </c>
      <c r="AI132" s="43">
        <v>160.27000000000001</v>
      </c>
      <c r="AJ132" s="43">
        <v>163.56</v>
      </c>
      <c r="AK132" s="43">
        <v>166.85</v>
      </c>
      <c r="AL132" s="43">
        <v>170.13</v>
      </c>
      <c r="AM132" s="43">
        <v>173.42</v>
      </c>
      <c r="AN132" s="44">
        <v>176.71</v>
      </c>
      <c r="AO132" s="53">
        <v>180</v>
      </c>
      <c r="AP132" s="53">
        <v>183.29</v>
      </c>
      <c r="AQ132" s="44">
        <v>186.58</v>
      </c>
      <c r="AR132" s="44">
        <v>189.87</v>
      </c>
      <c r="AS132" s="72">
        <v>193.16</v>
      </c>
      <c r="AT132" s="59">
        <v>196.45</v>
      </c>
      <c r="AU132" s="65">
        <v>199.74</v>
      </c>
      <c r="AV132" s="65">
        <v>203.03</v>
      </c>
      <c r="AW132" s="65">
        <v>206.32</v>
      </c>
      <c r="AX132" s="65">
        <v>209.61</v>
      </c>
      <c r="AY132" s="65">
        <v>212.9</v>
      </c>
      <c r="AZ132" s="65">
        <v>216.19</v>
      </c>
      <c r="BA132" s="24">
        <v>186.91</v>
      </c>
      <c r="BB132" s="24">
        <v>190.2</v>
      </c>
      <c r="BC132" s="24">
        <v>193.49</v>
      </c>
      <c r="BD132" s="24">
        <v>196.78</v>
      </c>
      <c r="BE132" s="24">
        <v>137.57</v>
      </c>
      <c r="BF132" s="24">
        <v>134.28</v>
      </c>
      <c r="BG132" s="24">
        <v>130.99</v>
      </c>
      <c r="BH132" s="24">
        <v>127.7</v>
      </c>
      <c r="BI132" s="24">
        <v>124.41</v>
      </c>
    </row>
    <row r="133" spans="1:61" x14ac:dyDescent="0.45">
      <c r="A133" s="43">
        <v>252.63</v>
      </c>
      <c r="B133" s="43">
        <v>257.33</v>
      </c>
      <c r="C133" s="43">
        <v>262.02</v>
      </c>
      <c r="D133" s="43">
        <v>266.72000000000003</v>
      </c>
      <c r="E133" s="43">
        <v>271.42</v>
      </c>
      <c r="F133" s="43">
        <v>276.11</v>
      </c>
      <c r="G133" s="43">
        <v>280.81</v>
      </c>
      <c r="H133" s="43">
        <v>285.5</v>
      </c>
      <c r="I133" s="44">
        <v>290.2</v>
      </c>
      <c r="J133" s="53">
        <v>294.89</v>
      </c>
      <c r="K133" s="53">
        <v>299.58999999999997</v>
      </c>
      <c r="L133" s="44">
        <v>304.82</v>
      </c>
      <c r="M133" s="44">
        <v>308.98</v>
      </c>
      <c r="N133" s="44">
        <v>313.68</v>
      </c>
      <c r="O133" s="59">
        <v>318.37</v>
      </c>
      <c r="P133" s="65">
        <v>323.07</v>
      </c>
      <c r="Q133" s="65">
        <v>327.76</v>
      </c>
      <c r="R133" s="65">
        <v>332.46</v>
      </c>
      <c r="S133" s="65">
        <v>337.15</v>
      </c>
      <c r="T133" s="65">
        <v>341.85</v>
      </c>
      <c r="U133" s="65">
        <v>346.54</v>
      </c>
      <c r="V133" s="24">
        <v>285.76</v>
      </c>
      <c r="W133" s="24">
        <v>290.45</v>
      </c>
      <c r="X133" s="24">
        <v>295.14999999999998</v>
      </c>
      <c r="Y133" s="24">
        <v>299.83999999999997</v>
      </c>
      <c r="Z133" s="24">
        <v>215.32</v>
      </c>
      <c r="AA133" s="24">
        <v>210.63</v>
      </c>
      <c r="AB133" s="24">
        <v>205.93</v>
      </c>
      <c r="AC133" s="24">
        <v>201.23</v>
      </c>
      <c r="AD133" s="24">
        <v>198.13</v>
      </c>
      <c r="AE133" s="5">
        <v>129</v>
      </c>
      <c r="AF133" s="43">
        <v>150.53</v>
      </c>
      <c r="AG133" s="43">
        <v>154.84</v>
      </c>
      <c r="AH133" s="43">
        <v>158.16</v>
      </c>
      <c r="AI133" s="43">
        <v>161.47</v>
      </c>
      <c r="AJ133" s="43">
        <v>164.79</v>
      </c>
      <c r="AK133" s="43">
        <v>168.1</v>
      </c>
      <c r="AL133" s="43">
        <v>171.42</v>
      </c>
      <c r="AM133" s="43">
        <v>174.74</v>
      </c>
      <c r="AN133" s="44">
        <v>178.05</v>
      </c>
      <c r="AO133" s="53">
        <v>181.37</v>
      </c>
      <c r="AP133" s="53">
        <v>184.68</v>
      </c>
      <c r="AQ133" s="44">
        <v>188</v>
      </c>
      <c r="AR133" s="44">
        <v>191.31</v>
      </c>
      <c r="AS133" s="72">
        <v>194.63</v>
      </c>
      <c r="AT133" s="59">
        <v>197.94</v>
      </c>
      <c r="AU133" s="65">
        <v>201.26</v>
      </c>
      <c r="AV133" s="65">
        <v>204.57</v>
      </c>
      <c r="AW133" s="65">
        <v>207.89</v>
      </c>
      <c r="AX133" s="65">
        <v>211.2</v>
      </c>
      <c r="AY133" s="65">
        <v>214.52</v>
      </c>
      <c r="AZ133" s="65">
        <v>217.83</v>
      </c>
      <c r="BA133" s="24">
        <v>188.35</v>
      </c>
      <c r="BB133" s="24">
        <v>191.66</v>
      </c>
      <c r="BC133" s="24">
        <v>194.98</v>
      </c>
      <c r="BD133" s="24">
        <v>198.29</v>
      </c>
      <c r="BE133" s="24">
        <v>138.62</v>
      </c>
      <c r="BF133" s="24">
        <v>135.30000000000001</v>
      </c>
      <c r="BG133" s="24">
        <v>131.99</v>
      </c>
      <c r="BH133" s="24">
        <v>128.66999999999999</v>
      </c>
      <c r="BI133" s="24">
        <v>125.36</v>
      </c>
    </row>
    <row r="134" spans="1:61" x14ac:dyDescent="0.45">
      <c r="A134" s="43">
        <v>254.71</v>
      </c>
      <c r="B134" s="43">
        <v>259.44</v>
      </c>
      <c r="C134" s="43">
        <v>264.17</v>
      </c>
      <c r="D134" s="43">
        <v>268.89999999999998</v>
      </c>
      <c r="E134" s="43">
        <v>273.63</v>
      </c>
      <c r="F134" s="43">
        <v>278.37</v>
      </c>
      <c r="G134" s="43">
        <v>283.10000000000002</v>
      </c>
      <c r="H134" s="43">
        <v>287.83</v>
      </c>
      <c r="I134" s="44">
        <v>292.56</v>
      </c>
      <c r="J134" s="53">
        <v>297.29000000000002</v>
      </c>
      <c r="K134" s="53">
        <v>302.02999999999997</v>
      </c>
      <c r="L134" s="44">
        <v>306.76</v>
      </c>
      <c r="M134" s="44">
        <v>311.49</v>
      </c>
      <c r="N134" s="44">
        <v>316.22000000000003</v>
      </c>
      <c r="O134" s="59">
        <v>320.95</v>
      </c>
      <c r="P134" s="65">
        <v>325.69</v>
      </c>
      <c r="Q134" s="65">
        <v>330.42</v>
      </c>
      <c r="R134" s="65">
        <v>335.15</v>
      </c>
      <c r="S134" s="65">
        <v>339.88</v>
      </c>
      <c r="T134" s="65">
        <v>344.61</v>
      </c>
      <c r="U134" s="65">
        <v>349.35</v>
      </c>
      <c r="V134" s="24">
        <v>288.04000000000002</v>
      </c>
      <c r="W134" s="24">
        <v>292.77</v>
      </c>
      <c r="X134" s="24">
        <v>297.5</v>
      </c>
      <c r="Y134" s="24">
        <v>302.23</v>
      </c>
      <c r="Z134" s="24">
        <v>217.06</v>
      </c>
      <c r="AA134" s="24">
        <v>212.32</v>
      </c>
      <c r="AB134" s="24">
        <v>207.59</v>
      </c>
      <c r="AC134" s="24">
        <v>202.86</v>
      </c>
      <c r="AD134" s="24">
        <v>199.56</v>
      </c>
      <c r="AE134" s="5">
        <v>130</v>
      </c>
      <c r="AF134" s="43">
        <v>152.74</v>
      </c>
      <c r="AG134" s="43">
        <v>156.08000000000001</v>
      </c>
      <c r="AH134" s="43">
        <v>159.41999999999999</v>
      </c>
      <c r="AI134" s="43">
        <v>162.76</v>
      </c>
      <c r="AJ134" s="43">
        <v>166.1</v>
      </c>
      <c r="AK134" s="43">
        <v>169.44</v>
      </c>
      <c r="AL134" s="43">
        <v>172.78</v>
      </c>
      <c r="AM134" s="43">
        <v>176.12</v>
      </c>
      <c r="AN134" s="44">
        <v>179.46</v>
      </c>
      <c r="AO134" s="53">
        <v>182.8</v>
      </c>
      <c r="AP134" s="53">
        <v>186.15</v>
      </c>
      <c r="AQ134" s="44">
        <v>189.49</v>
      </c>
      <c r="AR134" s="44">
        <v>192.83</v>
      </c>
      <c r="AS134" s="72">
        <v>196.17</v>
      </c>
      <c r="AT134" s="59">
        <v>199.51</v>
      </c>
      <c r="AU134" s="65">
        <v>202.85</v>
      </c>
      <c r="AV134" s="65">
        <v>206.19</v>
      </c>
      <c r="AW134" s="65">
        <v>209.53</v>
      </c>
      <c r="AX134" s="65">
        <v>212.87</v>
      </c>
      <c r="AY134" s="65">
        <v>216.21</v>
      </c>
      <c r="AZ134" s="65">
        <v>219.56</v>
      </c>
      <c r="BA134" s="24">
        <v>189.83</v>
      </c>
      <c r="BB134" s="24">
        <v>193.17</v>
      </c>
      <c r="BC134" s="24">
        <v>196.51</v>
      </c>
      <c r="BD134" s="24">
        <v>199.85</v>
      </c>
      <c r="BE134" s="24">
        <v>139.71</v>
      </c>
      <c r="BF134" s="24">
        <v>136.37</v>
      </c>
      <c r="BG134" s="24">
        <v>133.03</v>
      </c>
      <c r="BH134" s="24">
        <v>129.69</v>
      </c>
      <c r="BI134" s="24">
        <v>126.35</v>
      </c>
    </row>
    <row r="135" spans="1:61" x14ac:dyDescent="0.45">
      <c r="A135" s="43">
        <v>256.5</v>
      </c>
      <c r="B135" s="43">
        <v>261.27</v>
      </c>
      <c r="C135" s="43">
        <v>266.04000000000002</v>
      </c>
      <c r="D135" s="43">
        <v>270.8</v>
      </c>
      <c r="E135" s="43">
        <v>275.57</v>
      </c>
      <c r="F135" s="43">
        <v>280.33999999999997</v>
      </c>
      <c r="G135" s="43">
        <v>285.11</v>
      </c>
      <c r="H135" s="43">
        <v>289.88</v>
      </c>
      <c r="I135" s="44">
        <v>294.64999999999998</v>
      </c>
      <c r="J135" s="53">
        <v>299.41000000000003</v>
      </c>
      <c r="K135" s="53">
        <v>304.18</v>
      </c>
      <c r="L135" s="44">
        <v>308.95</v>
      </c>
      <c r="M135" s="44">
        <v>313.72000000000003</v>
      </c>
      <c r="N135" s="44">
        <v>318.49</v>
      </c>
      <c r="O135" s="59">
        <v>323.26</v>
      </c>
      <c r="P135" s="65">
        <v>328.03</v>
      </c>
      <c r="Q135" s="65">
        <v>332.79</v>
      </c>
      <c r="R135" s="65">
        <v>337.56</v>
      </c>
      <c r="S135" s="65">
        <v>342.23</v>
      </c>
      <c r="T135" s="65">
        <v>347.1</v>
      </c>
      <c r="U135" s="65">
        <v>351.87</v>
      </c>
      <c r="V135" s="24">
        <v>290.16000000000003</v>
      </c>
      <c r="W135" s="24">
        <v>294.92</v>
      </c>
      <c r="X135" s="24">
        <v>299.69</v>
      </c>
      <c r="Y135" s="24">
        <v>304.45999999999998</v>
      </c>
      <c r="Z135" s="24">
        <v>218.63</v>
      </c>
      <c r="AA135" s="24">
        <v>213.86</v>
      </c>
      <c r="AB135" s="24">
        <v>209.09</v>
      </c>
      <c r="AC135" s="24">
        <v>204.32</v>
      </c>
      <c r="AD135" s="24">
        <v>201.16</v>
      </c>
      <c r="AE135" s="5">
        <v>131</v>
      </c>
      <c r="AF135" s="43">
        <v>153.87</v>
      </c>
      <c r="AG135" s="43">
        <v>157.24</v>
      </c>
      <c r="AH135" s="43">
        <v>160.6</v>
      </c>
      <c r="AI135" s="43">
        <v>163.97</v>
      </c>
      <c r="AJ135" s="43">
        <v>167.34</v>
      </c>
      <c r="AK135" s="43">
        <v>170.7</v>
      </c>
      <c r="AL135" s="43">
        <v>174.07</v>
      </c>
      <c r="AM135" s="43">
        <v>177.44</v>
      </c>
      <c r="AN135" s="44">
        <v>180.8</v>
      </c>
      <c r="AO135" s="53">
        <v>184.17</v>
      </c>
      <c r="AP135" s="53">
        <v>187.54</v>
      </c>
      <c r="AQ135" s="44">
        <v>190.9</v>
      </c>
      <c r="AR135" s="44">
        <v>194.27</v>
      </c>
      <c r="AS135" s="72">
        <v>197.64</v>
      </c>
      <c r="AT135" s="59">
        <v>201</v>
      </c>
      <c r="AU135" s="65">
        <v>204.37</v>
      </c>
      <c r="AV135" s="65">
        <v>207.74</v>
      </c>
      <c r="AW135" s="65">
        <v>211.1</v>
      </c>
      <c r="AX135" s="65">
        <v>214.47</v>
      </c>
      <c r="AY135" s="65">
        <v>217.84</v>
      </c>
      <c r="AZ135" s="65">
        <v>221.2</v>
      </c>
      <c r="BA135" s="24">
        <v>191.26</v>
      </c>
      <c r="BB135" s="24">
        <v>194.63</v>
      </c>
      <c r="BC135" s="24">
        <v>197.99</v>
      </c>
      <c r="BD135" s="24">
        <v>201.36</v>
      </c>
      <c r="BE135" s="24">
        <v>140.76</v>
      </c>
      <c r="BF135" s="24">
        <v>137.38999999999999</v>
      </c>
      <c r="BG135" s="24">
        <v>134.03</v>
      </c>
      <c r="BH135" s="24">
        <v>130.66</v>
      </c>
      <c r="BI135" s="24">
        <v>127.29</v>
      </c>
    </row>
    <row r="136" spans="1:61" x14ac:dyDescent="0.45">
      <c r="A136" s="43">
        <v>258.58999999999997</v>
      </c>
      <c r="B136" s="43">
        <v>263.39</v>
      </c>
      <c r="C136" s="43">
        <v>268.2</v>
      </c>
      <c r="D136" s="43">
        <v>273</v>
      </c>
      <c r="E136" s="43">
        <v>277.81</v>
      </c>
      <c r="F136" s="43">
        <v>282.61</v>
      </c>
      <c r="G136" s="43">
        <v>287.42</v>
      </c>
      <c r="H136" s="43">
        <v>292.22000000000003</v>
      </c>
      <c r="I136" s="44">
        <v>297.02999999999997</v>
      </c>
      <c r="J136" s="53">
        <v>301.83</v>
      </c>
      <c r="K136" s="53">
        <v>306.64</v>
      </c>
      <c r="L136" s="44">
        <v>311.44</v>
      </c>
      <c r="M136" s="44">
        <v>316.25</v>
      </c>
      <c r="N136" s="44">
        <v>321.05</v>
      </c>
      <c r="O136" s="59">
        <v>325.86</v>
      </c>
      <c r="P136" s="65">
        <v>330.66</v>
      </c>
      <c r="Q136" s="65">
        <v>335.46</v>
      </c>
      <c r="R136" s="65">
        <v>340.27</v>
      </c>
      <c r="S136" s="65">
        <v>345.07</v>
      </c>
      <c r="T136" s="65">
        <v>349.88</v>
      </c>
      <c r="U136" s="65">
        <v>354.68</v>
      </c>
      <c r="V136" s="24">
        <v>292.45</v>
      </c>
      <c r="W136" s="24">
        <v>297.25</v>
      </c>
      <c r="X136" s="24">
        <v>302.06</v>
      </c>
      <c r="Y136" s="24">
        <v>306.86</v>
      </c>
      <c r="Z136" s="24">
        <v>220.38</v>
      </c>
      <c r="AA136" s="24">
        <v>215.57</v>
      </c>
      <c r="AB136" s="24">
        <v>210.77</v>
      </c>
      <c r="AC136" s="24">
        <v>205.96</v>
      </c>
      <c r="AD136" s="24">
        <v>202.59</v>
      </c>
      <c r="AE136" s="5">
        <v>132</v>
      </c>
      <c r="AF136" s="43">
        <v>155</v>
      </c>
      <c r="AG136" s="43">
        <v>158.38999999999999</v>
      </c>
      <c r="AH136" s="43">
        <v>161.79</v>
      </c>
      <c r="AI136" s="43">
        <v>156.18</v>
      </c>
      <c r="AJ136" s="43">
        <v>168.57</v>
      </c>
      <c r="AK136" s="43">
        <v>171.96</v>
      </c>
      <c r="AL136" s="43">
        <v>175.36</v>
      </c>
      <c r="AM136" s="43">
        <v>178.75</v>
      </c>
      <c r="AN136" s="44">
        <v>182.14</v>
      </c>
      <c r="AO136" s="53">
        <v>185.53</v>
      </c>
      <c r="AP136" s="53">
        <v>188.93</v>
      </c>
      <c r="AQ136" s="44">
        <v>192.32</v>
      </c>
      <c r="AR136" s="44">
        <v>195.71</v>
      </c>
      <c r="AS136" s="72">
        <v>199.1</v>
      </c>
      <c r="AT136" s="59">
        <v>202.5</v>
      </c>
      <c r="AU136" s="65">
        <v>205.89</v>
      </c>
      <c r="AV136" s="65">
        <v>209.28</v>
      </c>
      <c r="AW136" s="65">
        <v>212.67</v>
      </c>
      <c r="AX136" s="65">
        <v>216.07</v>
      </c>
      <c r="AY136" s="65">
        <v>219.46</v>
      </c>
      <c r="AZ136" s="65">
        <v>222.85</v>
      </c>
      <c r="BA136" s="24">
        <v>192.7</v>
      </c>
      <c r="BB136" s="24">
        <v>196.09</v>
      </c>
      <c r="BC136" s="24">
        <v>199.48</v>
      </c>
      <c r="BD136" s="24">
        <v>202.87</v>
      </c>
      <c r="BE136" s="24">
        <v>141.81</v>
      </c>
      <c r="BF136" s="24">
        <v>138.41999999999999</v>
      </c>
      <c r="BG136" s="24">
        <v>135.03</v>
      </c>
      <c r="BH136" s="24">
        <v>131.63</v>
      </c>
      <c r="BI136" s="24">
        <v>128.24</v>
      </c>
    </row>
    <row r="137" spans="1:61" x14ac:dyDescent="0.45">
      <c r="A137" s="43">
        <v>260.39</v>
      </c>
      <c r="B137" s="43">
        <v>265.23</v>
      </c>
      <c r="C137" s="43">
        <v>270.07</v>
      </c>
      <c r="D137" s="43">
        <v>274.91000000000003</v>
      </c>
      <c r="E137" s="43">
        <v>279.76</v>
      </c>
      <c r="F137" s="43">
        <v>284.60000000000002</v>
      </c>
      <c r="G137" s="43">
        <v>289.44</v>
      </c>
      <c r="H137" s="43">
        <v>294.27999999999997</v>
      </c>
      <c r="I137" s="44">
        <v>299.12</v>
      </c>
      <c r="J137" s="53">
        <v>303.95999999999998</v>
      </c>
      <c r="K137" s="53">
        <v>308.8</v>
      </c>
      <c r="L137" s="44">
        <v>313.64</v>
      </c>
      <c r="M137" s="44">
        <v>318.48</v>
      </c>
      <c r="N137" s="44">
        <v>323.33</v>
      </c>
      <c r="O137" s="59">
        <v>328.17</v>
      </c>
      <c r="P137" s="65">
        <v>333.01</v>
      </c>
      <c r="Q137" s="65">
        <v>337.85</v>
      </c>
      <c r="R137" s="65">
        <v>342.69</v>
      </c>
      <c r="S137" s="65">
        <v>347.53</v>
      </c>
      <c r="T137" s="65">
        <v>352.37</v>
      </c>
      <c r="U137" s="65">
        <v>357.21</v>
      </c>
      <c r="V137" s="24">
        <v>294.57</v>
      </c>
      <c r="W137" s="24">
        <v>299.41000000000003</v>
      </c>
      <c r="X137" s="24">
        <v>304.25</v>
      </c>
      <c r="Y137" s="24">
        <v>309.10000000000002</v>
      </c>
      <c r="Z137" s="24">
        <v>221.95</v>
      </c>
      <c r="AA137" s="24">
        <v>217.11</v>
      </c>
      <c r="AB137" s="24">
        <v>212.27</v>
      </c>
      <c r="AC137" s="24">
        <v>207.43</v>
      </c>
      <c r="AD137" s="24">
        <v>204.2</v>
      </c>
      <c r="AE137" s="5">
        <v>133</v>
      </c>
      <c r="AF137" s="43">
        <v>156.22</v>
      </c>
      <c r="AG137" s="43">
        <v>159.63</v>
      </c>
      <c r="AH137" s="43">
        <v>163.05000000000001</v>
      </c>
      <c r="AI137" s="43">
        <v>166.47</v>
      </c>
      <c r="AJ137" s="43">
        <v>169.89</v>
      </c>
      <c r="AK137" s="43">
        <v>173.31</v>
      </c>
      <c r="AL137" s="43">
        <v>176.72</v>
      </c>
      <c r="AM137" s="43">
        <v>180.14</v>
      </c>
      <c r="AN137" s="44">
        <v>183.56</v>
      </c>
      <c r="AO137" s="53">
        <v>186.98</v>
      </c>
      <c r="AP137" s="53">
        <v>190.4</v>
      </c>
      <c r="AQ137" s="44">
        <v>193.82</v>
      </c>
      <c r="AR137" s="44">
        <v>197.23</v>
      </c>
      <c r="AS137" s="72">
        <v>200.65</v>
      </c>
      <c r="AT137" s="59">
        <v>204.07</v>
      </c>
      <c r="AU137" s="65">
        <v>207.49</v>
      </c>
      <c r="AV137" s="65">
        <v>210.91</v>
      </c>
      <c r="AW137" s="65">
        <v>214.32</v>
      </c>
      <c r="AX137" s="65">
        <v>217.74</v>
      </c>
      <c r="AY137" s="65">
        <v>221.16</v>
      </c>
      <c r="AZ137" s="65">
        <v>224.58</v>
      </c>
      <c r="BA137" s="24">
        <v>194.18</v>
      </c>
      <c r="BB137" s="24">
        <v>197.6</v>
      </c>
      <c r="BC137" s="24">
        <v>201.02</v>
      </c>
      <c r="BD137" s="24">
        <v>204.43</v>
      </c>
      <c r="BE137" s="24">
        <v>142.91</v>
      </c>
      <c r="BF137" s="24">
        <v>139.49</v>
      </c>
      <c r="BG137" s="24">
        <v>136.07</v>
      </c>
      <c r="BH137" s="24">
        <v>132.65</v>
      </c>
      <c r="BI137" s="24">
        <v>129.24</v>
      </c>
    </row>
    <row r="138" spans="1:61" x14ac:dyDescent="0.45">
      <c r="A138" s="43">
        <v>262.5</v>
      </c>
      <c r="B138" s="43">
        <v>267.37</v>
      </c>
      <c r="C138" s="43">
        <v>272.25</v>
      </c>
      <c r="D138" s="43">
        <v>277.13</v>
      </c>
      <c r="E138" s="43">
        <v>282.01</v>
      </c>
      <c r="F138" s="43">
        <v>286.89</v>
      </c>
      <c r="G138" s="43">
        <v>291.76</v>
      </c>
      <c r="H138" s="43">
        <v>296.64</v>
      </c>
      <c r="I138" s="44">
        <v>301.52</v>
      </c>
      <c r="J138" s="53">
        <v>306.39999999999998</v>
      </c>
      <c r="K138" s="53">
        <v>311.27</v>
      </c>
      <c r="L138" s="44">
        <v>316.14999999999998</v>
      </c>
      <c r="M138" s="44">
        <v>321.02999999999997</v>
      </c>
      <c r="N138" s="44">
        <v>325.91000000000003</v>
      </c>
      <c r="O138" s="59">
        <v>330.78</v>
      </c>
      <c r="P138" s="65">
        <v>335.66</v>
      </c>
      <c r="Q138" s="65">
        <v>340.54</v>
      </c>
      <c r="R138" s="65">
        <v>345.42</v>
      </c>
      <c r="S138" s="65">
        <v>350.29</v>
      </c>
      <c r="T138" s="65">
        <v>355.17</v>
      </c>
      <c r="U138" s="65">
        <v>360.05</v>
      </c>
      <c r="V138" s="24">
        <v>296.87</v>
      </c>
      <c r="W138" s="24">
        <v>301.75</v>
      </c>
      <c r="X138" s="24">
        <v>306.63</v>
      </c>
      <c r="Y138" s="24">
        <v>311.51</v>
      </c>
      <c r="Z138" s="24">
        <v>223.71</v>
      </c>
      <c r="AA138" s="24">
        <v>218.83</v>
      </c>
      <c r="AB138" s="24">
        <v>213.95</v>
      </c>
      <c r="AC138" s="24">
        <v>209.08</v>
      </c>
      <c r="AD138" s="24">
        <v>205.64</v>
      </c>
      <c r="AE138" s="5">
        <v>134</v>
      </c>
      <c r="AF138" s="43">
        <v>157.35</v>
      </c>
      <c r="AG138" s="43">
        <v>160.80000000000001</v>
      </c>
      <c r="AH138" s="43">
        <v>164.24</v>
      </c>
      <c r="AI138" s="43">
        <v>167.68</v>
      </c>
      <c r="AJ138" s="43">
        <v>171.13</v>
      </c>
      <c r="AK138" s="43">
        <v>174.57</v>
      </c>
      <c r="AL138" s="43">
        <v>178.01</v>
      </c>
      <c r="AM138" s="43">
        <v>181.46</v>
      </c>
      <c r="AN138" s="44">
        <v>184.9</v>
      </c>
      <c r="AO138" s="53">
        <v>188.35</v>
      </c>
      <c r="AP138" s="53">
        <v>191.79</v>
      </c>
      <c r="AQ138" s="44">
        <v>195.23</v>
      </c>
      <c r="AR138" s="44">
        <v>198.68</v>
      </c>
      <c r="AS138" s="72">
        <v>202.12</v>
      </c>
      <c r="AT138" s="59">
        <v>205.57</v>
      </c>
      <c r="AU138" s="65">
        <v>209.01</v>
      </c>
      <c r="AV138" s="65">
        <v>212.45</v>
      </c>
      <c r="AW138" s="65">
        <v>215.9</v>
      </c>
      <c r="AX138" s="65">
        <v>219.34</v>
      </c>
      <c r="AY138" s="65">
        <v>222.78</v>
      </c>
      <c r="AZ138" s="65">
        <v>226.23</v>
      </c>
      <c r="BA138" s="24">
        <v>195.62</v>
      </c>
      <c r="BB138" s="24">
        <v>199.06</v>
      </c>
      <c r="BC138" s="24">
        <v>202.5</v>
      </c>
      <c r="BD138" s="24">
        <v>205.95</v>
      </c>
      <c r="BE138" s="24">
        <v>143.96</v>
      </c>
      <c r="BF138" s="24">
        <v>140.52000000000001</v>
      </c>
      <c r="BG138" s="24">
        <v>137.07</v>
      </c>
      <c r="BH138" s="24">
        <v>133.63</v>
      </c>
      <c r="BI138" s="24">
        <v>130.18</v>
      </c>
    </row>
    <row r="139" spans="1:61" x14ac:dyDescent="0.45">
      <c r="A139" s="43">
        <v>264.31</v>
      </c>
      <c r="B139" s="43">
        <v>269.22000000000003</v>
      </c>
      <c r="C139" s="43">
        <v>274.14</v>
      </c>
      <c r="D139" s="43">
        <v>279.05</v>
      </c>
      <c r="E139" s="43">
        <v>283.95999999999998</v>
      </c>
      <c r="F139" s="43">
        <v>288.88</v>
      </c>
      <c r="G139" s="43">
        <v>293.79000000000002</v>
      </c>
      <c r="H139" s="43">
        <v>298.70999999999998</v>
      </c>
      <c r="I139" s="44">
        <v>303.62</v>
      </c>
      <c r="J139" s="53">
        <v>308.52999999999997</v>
      </c>
      <c r="K139" s="53">
        <v>313.45</v>
      </c>
      <c r="L139" s="44">
        <v>318.36</v>
      </c>
      <c r="M139" s="44">
        <v>323.27999999999997</v>
      </c>
      <c r="N139" s="44">
        <v>328.19</v>
      </c>
      <c r="O139" s="59">
        <v>333.1</v>
      </c>
      <c r="P139" s="65">
        <v>338.02</v>
      </c>
      <c r="Q139" s="65">
        <v>342.93</v>
      </c>
      <c r="R139" s="65">
        <v>347.85</v>
      </c>
      <c r="S139" s="65">
        <v>352.76</v>
      </c>
      <c r="T139" s="65">
        <v>357.67</v>
      </c>
      <c r="U139" s="65">
        <v>362.59</v>
      </c>
      <c r="V139" s="24">
        <v>299</v>
      </c>
      <c r="W139" s="24">
        <v>303.92</v>
      </c>
      <c r="X139" s="24">
        <v>308.83</v>
      </c>
      <c r="Y139" s="24">
        <v>313.74</v>
      </c>
      <c r="Z139" s="24">
        <v>225.29</v>
      </c>
      <c r="AA139" s="24">
        <v>220.38</v>
      </c>
      <c r="AB139" s="24">
        <v>215.46</v>
      </c>
      <c r="AC139" s="24">
        <v>210.55</v>
      </c>
      <c r="AD139" s="24">
        <v>207.08</v>
      </c>
      <c r="AE139" s="5">
        <v>135</v>
      </c>
      <c r="AF139" s="43">
        <v>158.57</v>
      </c>
      <c r="AG139" s="43">
        <v>162.04</v>
      </c>
      <c r="AH139" s="43">
        <v>165.51</v>
      </c>
      <c r="AI139" s="43">
        <v>168.98</v>
      </c>
      <c r="AJ139" s="43">
        <v>172.45</v>
      </c>
      <c r="AK139" s="43">
        <v>175.92</v>
      </c>
      <c r="AL139" s="43">
        <v>179.39</v>
      </c>
      <c r="AM139" s="43">
        <v>182.86</v>
      </c>
      <c r="AN139" s="44">
        <v>186.33</v>
      </c>
      <c r="AO139" s="53">
        <v>189.8</v>
      </c>
      <c r="AP139" s="53">
        <v>193.27</v>
      </c>
      <c r="AQ139" s="44">
        <v>196.74</v>
      </c>
      <c r="AR139" s="44">
        <v>200.2</v>
      </c>
      <c r="AS139" s="72">
        <v>203.67</v>
      </c>
      <c r="AT139" s="59">
        <v>207.14</v>
      </c>
      <c r="AU139" s="65">
        <v>210.61</v>
      </c>
      <c r="AV139" s="65">
        <v>214.08</v>
      </c>
      <c r="AW139" s="65">
        <v>217.55</v>
      </c>
      <c r="AX139" s="65">
        <v>221.02</v>
      </c>
      <c r="AY139" s="65">
        <v>224.49</v>
      </c>
      <c r="AZ139" s="65">
        <v>227.96</v>
      </c>
      <c r="BA139" s="24">
        <v>197.1</v>
      </c>
      <c r="BB139" s="24">
        <v>200.57</v>
      </c>
      <c r="BC139" s="24">
        <v>204.04</v>
      </c>
      <c r="BD139" s="24">
        <v>207.51</v>
      </c>
      <c r="BE139" s="24">
        <v>145.06</v>
      </c>
      <c r="BF139" s="24">
        <v>141.59</v>
      </c>
      <c r="BG139" s="24">
        <v>138.12</v>
      </c>
      <c r="BH139" s="24">
        <v>134.65</v>
      </c>
      <c r="BI139" s="24">
        <v>131.18</v>
      </c>
    </row>
    <row r="140" spans="1:61" x14ac:dyDescent="0.45">
      <c r="A140" s="43">
        <v>266.12</v>
      </c>
      <c r="B140" s="43">
        <v>271.07</v>
      </c>
      <c r="C140" s="43">
        <v>276.02</v>
      </c>
      <c r="D140" s="43">
        <v>280.97000000000003</v>
      </c>
      <c r="E140" s="43">
        <v>285.92</v>
      </c>
      <c r="F140" s="43">
        <v>290.87</v>
      </c>
      <c r="G140" s="43">
        <v>295.83</v>
      </c>
      <c r="H140" s="43">
        <v>300.77999999999997</v>
      </c>
      <c r="I140" s="44">
        <v>305.73</v>
      </c>
      <c r="J140" s="53">
        <v>310.68</v>
      </c>
      <c r="K140" s="53">
        <v>315.63</v>
      </c>
      <c r="L140" s="44">
        <v>320.58</v>
      </c>
      <c r="M140" s="44">
        <v>325.52999999999997</v>
      </c>
      <c r="N140" s="44">
        <v>330.48</v>
      </c>
      <c r="O140" s="59">
        <v>335.43</v>
      </c>
      <c r="P140" s="65">
        <v>340.38</v>
      </c>
      <c r="Q140" s="65">
        <v>345.33</v>
      </c>
      <c r="R140" s="65">
        <v>350.28</v>
      </c>
      <c r="S140" s="65">
        <v>355.23</v>
      </c>
      <c r="T140" s="65">
        <v>360.18</v>
      </c>
      <c r="U140" s="65">
        <v>365.13</v>
      </c>
      <c r="V140" s="24">
        <v>301.13</v>
      </c>
      <c r="W140" s="24">
        <v>306.08</v>
      </c>
      <c r="X140" s="24">
        <v>311.02999999999997</v>
      </c>
      <c r="Y140" s="24">
        <v>315.98</v>
      </c>
      <c r="Z140" s="24">
        <v>226.88</v>
      </c>
      <c r="AA140" s="24">
        <v>221.93</v>
      </c>
      <c r="AB140" s="24">
        <v>216.98</v>
      </c>
      <c r="AC140" s="24">
        <v>212.03</v>
      </c>
      <c r="AD140" s="24">
        <v>208.7</v>
      </c>
      <c r="AE140" s="5">
        <v>136</v>
      </c>
      <c r="AF140" s="43">
        <v>159.71</v>
      </c>
      <c r="AG140" s="43">
        <v>163.19999999999999</v>
      </c>
      <c r="AH140" s="43">
        <v>166.7</v>
      </c>
      <c r="AI140" s="43">
        <v>170.19</v>
      </c>
      <c r="AJ140" s="43">
        <v>173.69</v>
      </c>
      <c r="AK140" s="43">
        <v>177.19</v>
      </c>
      <c r="AL140" s="43">
        <v>180.68</v>
      </c>
      <c r="AM140" s="43">
        <v>184.18</v>
      </c>
      <c r="AN140" s="44">
        <v>187.67</v>
      </c>
      <c r="AO140" s="53">
        <v>191.17</v>
      </c>
      <c r="AP140" s="53">
        <v>194.66</v>
      </c>
      <c r="AQ140" s="44">
        <v>198.16</v>
      </c>
      <c r="AR140" s="44">
        <v>201.65</v>
      </c>
      <c r="AS140" s="72">
        <v>205.15</v>
      </c>
      <c r="AT140" s="59">
        <v>208.64</v>
      </c>
      <c r="AU140" s="65">
        <v>212.14</v>
      </c>
      <c r="AV140" s="65">
        <v>215.63</v>
      </c>
      <c r="AW140" s="65">
        <v>219.13</v>
      </c>
      <c r="AX140" s="65">
        <v>222.62</v>
      </c>
      <c r="AY140" s="65">
        <v>226.12</v>
      </c>
      <c r="AZ140" s="65">
        <v>229.61</v>
      </c>
      <c r="BA140" s="24">
        <v>198.54</v>
      </c>
      <c r="BB140" s="24">
        <v>202.04</v>
      </c>
      <c r="BC140" s="24">
        <v>205.53</v>
      </c>
      <c r="BD140" s="24">
        <v>209.03</v>
      </c>
      <c r="BE140" s="24">
        <v>146.11000000000001</v>
      </c>
      <c r="BF140" s="24">
        <v>142.62</v>
      </c>
      <c r="BG140" s="24">
        <v>139.12</v>
      </c>
      <c r="BH140" s="24">
        <v>135.63</v>
      </c>
      <c r="BI140" s="24">
        <v>132.13</v>
      </c>
    </row>
    <row r="141" spans="1:61" x14ac:dyDescent="0.45">
      <c r="A141" s="43">
        <v>268.25</v>
      </c>
      <c r="B141" s="43">
        <v>273.24</v>
      </c>
      <c r="C141" s="43">
        <v>278.23</v>
      </c>
      <c r="D141" s="43">
        <v>283.20999999999998</v>
      </c>
      <c r="E141" s="43">
        <v>288.2</v>
      </c>
      <c r="F141" s="43">
        <v>293.19</v>
      </c>
      <c r="G141" s="43">
        <v>298.17</v>
      </c>
      <c r="H141" s="43">
        <v>303.16000000000003</v>
      </c>
      <c r="I141" s="44">
        <v>308.14999999999998</v>
      </c>
      <c r="J141" s="53">
        <v>313.14</v>
      </c>
      <c r="K141" s="53">
        <v>318.12</v>
      </c>
      <c r="L141" s="44">
        <v>323.11</v>
      </c>
      <c r="M141" s="44">
        <v>328.1</v>
      </c>
      <c r="N141" s="44">
        <v>333.08</v>
      </c>
      <c r="O141" s="59">
        <v>338.07</v>
      </c>
      <c r="P141" s="65">
        <v>343.06</v>
      </c>
      <c r="Q141" s="65">
        <v>348.04</v>
      </c>
      <c r="R141" s="65">
        <v>353.03</v>
      </c>
      <c r="S141" s="65">
        <v>358.02</v>
      </c>
      <c r="T141" s="65">
        <v>363</v>
      </c>
      <c r="U141" s="65">
        <v>367.99</v>
      </c>
      <c r="V141" s="24">
        <v>303.45</v>
      </c>
      <c r="W141" s="24">
        <v>308.44</v>
      </c>
      <c r="X141" s="24">
        <v>313.42</v>
      </c>
      <c r="Y141" s="24">
        <v>318.41000000000003</v>
      </c>
      <c r="Z141" s="24">
        <v>228.65</v>
      </c>
      <c r="AA141" s="24">
        <v>223.66</v>
      </c>
      <c r="AB141" s="24">
        <v>218.67</v>
      </c>
      <c r="AC141" s="24">
        <v>213.69</v>
      </c>
      <c r="AD141" s="24">
        <v>210</v>
      </c>
      <c r="AE141" s="5">
        <v>137</v>
      </c>
      <c r="AF141" s="43">
        <v>160.93</v>
      </c>
      <c r="AG141" s="43">
        <v>164.45</v>
      </c>
      <c r="AH141" s="43">
        <v>167.97</v>
      </c>
      <c r="AI141" s="43">
        <v>171.5</v>
      </c>
      <c r="AJ141" s="43">
        <v>175.02</v>
      </c>
      <c r="AK141" s="43">
        <v>178.54</v>
      </c>
      <c r="AL141" s="43">
        <v>182.06</v>
      </c>
      <c r="AM141" s="43">
        <v>185.58</v>
      </c>
      <c r="AN141" s="44">
        <v>189.1</v>
      </c>
      <c r="AO141" s="53">
        <v>192.62</v>
      </c>
      <c r="AP141" s="53">
        <v>196.14</v>
      </c>
      <c r="AQ141" s="44">
        <v>199.66</v>
      </c>
      <c r="AR141" s="44">
        <v>203.18</v>
      </c>
      <c r="AS141" s="72">
        <v>206.7</v>
      </c>
      <c r="AT141" s="59">
        <v>210.23</v>
      </c>
      <c r="AU141" s="65">
        <v>213.75</v>
      </c>
      <c r="AV141" s="65">
        <v>217.27</v>
      </c>
      <c r="AW141" s="65">
        <v>220.79</v>
      </c>
      <c r="AX141" s="65">
        <v>224.31</v>
      </c>
      <c r="AY141" s="65">
        <v>227.83</v>
      </c>
      <c r="AZ141" s="65">
        <v>231.35</v>
      </c>
      <c r="BA141" s="24">
        <v>200.03</v>
      </c>
      <c r="BB141" s="24">
        <v>203.55</v>
      </c>
      <c r="BC141" s="24">
        <v>207.07</v>
      </c>
      <c r="BD141" s="24">
        <v>210.59</v>
      </c>
      <c r="BE141" s="24">
        <v>147.22</v>
      </c>
      <c r="BF141" s="24">
        <v>143.69999999999999</v>
      </c>
      <c r="BG141" s="24">
        <v>140.18</v>
      </c>
      <c r="BH141" s="24">
        <v>136.66</v>
      </c>
      <c r="BI141" s="24">
        <v>133.13</v>
      </c>
    </row>
    <row r="142" spans="1:61" x14ac:dyDescent="0.45">
      <c r="A142" s="43">
        <v>270.08</v>
      </c>
      <c r="B142" s="43">
        <v>275.10000000000002</v>
      </c>
      <c r="C142" s="43">
        <v>280.12</v>
      </c>
      <c r="D142" s="43">
        <v>285.14999999999998</v>
      </c>
      <c r="E142" s="43">
        <v>290.17</v>
      </c>
      <c r="F142" s="43">
        <v>295.19</v>
      </c>
      <c r="G142" s="43">
        <v>300.22000000000003</v>
      </c>
      <c r="H142" s="43">
        <v>305.24</v>
      </c>
      <c r="I142" s="44">
        <v>310.26</v>
      </c>
      <c r="J142" s="53">
        <v>315.29000000000002</v>
      </c>
      <c r="K142" s="53">
        <v>320.31</v>
      </c>
      <c r="L142" s="44">
        <v>325.33</v>
      </c>
      <c r="M142" s="44">
        <v>330.36</v>
      </c>
      <c r="N142" s="44">
        <v>335.38</v>
      </c>
      <c r="O142" s="59">
        <v>340.4</v>
      </c>
      <c r="P142" s="65">
        <v>345.43</v>
      </c>
      <c r="Q142" s="65">
        <v>350.45</v>
      </c>
      <c r="R142" s="65">
        <v>355.47</v>
      </c>
      <c r="S142" s="65">
        <v>360.5</v>
      </c>
      <c r="T142" s="65">
        <v>365.52</v>
      </c>
      <c r="U142" s="65">
        <v>370.54</v>
      </c>
      <c r="V142" s="24">
        <v>305.58999999999997</v>
      </c>
      <c r="W142" s="24">
        <v>310.61</v>
      </c>
      <c r="X142" s="24">
        <v>615.63</v>
      </c>
      <c r="Y142" s="24">
        <v>320.66000000000003</v>
      </c>
      <c r="Z142" s="24">
        <v>230.24</v>
      </c>
      <c r="AA142" s="24">
        <v>225.22</v>
      </c>
      <c r="AB142" s="24">
        <v>220.19</v>
      </c>
      <c r="AC142" s="24">
        <v>215.17</v>
      </c>
      <c r="AD142" s="24">
        <v>15</v>
      </c>
      <c r="AE142" s="5">
        <v>138</v>
      </c>
      <c r="AF142" s="43">
        <v>162.07</v>
      </c>
      <c r="AG142" s="43">
        <v>165.62</v>
      </c>
      <c r="AH142" s="43">
        <v>169.17</v>
      </c>
      <c r="AI142" s="43">
        <v>172.71</v>
      </c>
      <c r="AJ142" s="43">
        <v>176.26</v>
      </c>
      <c r="AK142" s="43">
        <v>179.81</v>
      </c>
      <c r="AL142" s="43">
        <v>183.35</v>
      </c>
      <c r="AM142" s="43">
        <v>186.9</v>
      </c>
      <c r="AN142" s="44">
        <v>190.45</v>
      </c>
      <c r="AO142" s="53">
        <v>193.99</v>
      </c>
      <c r="AP142" s="53">
        <v>197.54</v>
      </c>
      <c r="AQ142" s="44">
        <v>201.09</v>
      </c>
      <c r="AR142" s="44">
        <v>204.63</v>
      </c>
      <c r="AS142" s="72">
        <v>208.18</v>
      </c>
      <c r="AT142" s="59">
        <v>211.73</v>
      </c>
      <c r="AU142" s="65">
        <v>215.27</v>
      </c>
      <c r="AV142" s="65">
        <v>218.82</v>
      </c>
      <c r="AW142" s="65">
        <v>222.37</v>
      </c>
      <c r="AX142" s="65">
        <v>225.91</v>
      </c>
      <c r="AY142" s="65">
        <v>229.46</v>
      </c>
      <c r="AZ142" s="65">
        <v>233.01</v>
      </c>
      <c r="BA142" s="24">
        <v>201.47</v>
      </c>
      <c r="BB142" s="24">
        <v>205.02</v>
      </c>
      <c r="BC142" s="24">
        <v>208.56</v>
      </c>
      <c r="BD142" s="24">
        <v>212.11</v>
      </c>
      <c r="BE142" s="24">
        <v>148.27000000000001</v>
      </c>
      <c r="BF142" s="24">
        <v>144.72999999999999</v>
      </c>
      <c r="BG142" s="24">
        <v>141.18</v>
      </c>
      <c r="BH142" s="24">
        <v>137.63</v>
      </c>
      <c r="BI142" s="24">
        <v>134.09</v>
      </c>
    </row>
    <row r="143" spans="1:61" x14ac:dyDescent="0.45">
      <c r="A143" s="43">
        <v>272.23</v>
      </c>
      <c r="B143" s="43">
        <v>277.29000000000002</v>
      </c>
      <c r="C143" s="43">
        <v>282.35000000000002</v>
      </c>
      <c r="D143" s="43">
        <v>287.41000000000003</v>
      </c>
      <c r="E143" s="43">
        <v>292.47000000000003</v>
      </c>
      <c r="F143" s="43">
        <v>297.52999999999997</v>
      </c>
      <c r="G143" s="43">
        <v>302.58999999999997</v>
      </c>
      <c r="H143" s="43">
        <v>307.64999999999998</v>
      </c>
      <c r="I143" s="44">
        <v>312.70999999999998</v>
      </c>
      <c r="J143" s="53">
        <v>317.76</v>
      </c>
      <c r="K143" s="53">
        <v>322.82</v>
      </c>
      <c r="L143" s="44">
        <v>327.88</v>
      </c>
      <c r="M143" s="44">
        <v>332.94</v>
      </c>
      <c r="N143" s="44">
        <v>338</v>
      </c>
      <c r="O143" s="59">
        <v>343.06</v>
      </c>
      <c r="P143" s="65">
        <v>348.12</v>
      </c>
      <c r="Q143" s="65">
        <v>353.18</v>
      </c>
      <c r="R143" s="65">
        <v>358.24</v>
      </c>
      <c r="S143" s="65">
        <v>363.3</v>
      </c>
      <c r="T143" s="65">
        <v>368.36</v>
      </c>
      <c r="U143" s="65">
        <v>373.42</v>
      </c>
      <c r="V143" s="24">
        <v>307.91000000000003</v>
      </c>
      <c r="W143" s="24">
        <v>312.97000000000003</v>
      </c>
      <c r="X143" s="24">
        <v>318.02999999999997</v>
      </c>
      <c r="Y143" s="24">
        <v>323.08999999999997</v>
      </c>
      <c r="Z143" s="24">
        <v>232.02</v>
      </c>
      <c r="AA143" s="24">
        <v>226.96</v>
      </c>
      <c r="AB143" s="24">
        <v>221.9</v>
      </c>
      <c r="AC143" s="24">
        <v>216.84</v>
      </c>
      <c r="AD143" s="24">
        <v>211.78</v>
      </c>
      <c r="AE143" s="5">
        <v>139</v>
      </c>
      <c r="AF143" s="43">
        <v>163.22</v>
      </c>
      <c r="AG143" s="43">
        <v>166.79</v>
      </c>
      <c r="AH143" s="43">
        <v>170.36</v>
      </c>
      <c r="AI143" s="43">
        <v>173.93</v>
      </c>
      <c r="AJ143" s="43">
        <v>177.51</v>
      </c>
      <c r="AK143" s="43">
        <v>181.08</v>
      </c>
      <c r="AL143" s="43">
        <v>184.65</v>
      </c>
      <c r="AM143" s="43">
        <v>188.22</v>
      </c>
      <c r="AN143" s="44">
        <v>191.79</v>
      </c>
      <c r="AO143" s="53">
        <v>195.37</v>
      </c>
      <c r="AP143" s="53">
        <v>198.94</v>
      </c>
      <c r="AQ143" s="44">
        <v>202.51</v>
      </c>
      <c r="AR143" s="44">
        <v>206.08</v>
      </c>
      <c r="AS143" s="72">
        <v>209.66</v>
      </c>
      <c r="AT143" s="59">
        <v>213.23</v>
      </c>
      <c r="AU143" s="65">
        <v>216.8</v>
      </c>
      <c r="AV143" s="65">
        <v>220.37</v>
      </c>
      <c r="AW143" s="65">
        <v>223.95</v>
      </c>
      <c r="AX143" s="65">
        <v>227.52</v>
      </c>
      <c r="AY143" s="65">
        <v>231.09</v>
      </c>
      <c r="AZ143" s="65">
        <v>234.66</v>
      </c>
      <c r="BA143" s="24">
        <v>202.91</v>
      </c>
      <c r="BB143" s="24">
        <v>206.48</v>
      </c>
      <c r="BC143" s="24">
        <v>210.06</v>
      </c>
      <c r="BD143" s="24">
        <v>213.63</v>
      </c>
      <c r="BE143" s="24">
        <v>149.33000000000001</v>
      </c>
      <c r="BF143" s="24">
        <v>145.75</v>
      </c>
      <c r="BG143" s="24">
        <v>142.18</v>
      </c>
      <c r="BH143" s="24">
        <v>138.61000000000001</v>
      </c>
      <c r="BI143" s="24">
        <v>135.04</v>
      </c>
    </row>
    <row r="144" spans="1:61" x14ac:dyDescent="0.45">
      <c r="A144" s="43">
        <v>274.06</v>
      </c>
      <c r="B144" s="43">
        <v>279.16000000000003</v>
      </c>
      <c r="C144" s="43">
        <v>284.25</v>
      </c>
      <c r="D144" s="43">
        <v>289.36</v>
      </c>
      <c r="E144" s="43">
        <v>294.45</v>
      </c>
      <c r="F144" s="43">
        <v>299.54000000000002</v>
      </c>
      <c r="G144" s="43">
        <v>304.64</v>
      </c>
      <c r="H144" s="43">
        <v>309.73</v>
      </c>
      <c r="I144" s="44">
        <v>314.83</v>
      </c>
      <c r="J144" s="53">
        <v>319.93</v>
      </c>
      <c r="K144" s="53">
        <v>325.02</v>
      </c>
      <c r="L144" s="44">
        <v>330.12</v>
      </c>
      <c r="M144" s="44">
        <v>335.21</v>
      </c>
      <c r="N144" s="44">
        <v>340.31</v>
      </c>
      <c r="O144" s="59">
        <v>345.41</v>
      </c>
      <c r="P144" s="65">
        <v>350.5</v>
      </c>
      <c r="Q144" s="65">
        <v>355.6</v>
      </c>
      <c r="R144" s="65">
        <v>360.69</v>
      </c>
      <c r="S144" s="65">
        <v>365.79</v>
      </c>
      <c r="T144" s="65">
        <v>370.89</v>
      </c>
      <c r="U144" s="65">
        <v>375.98</v>
      </c>
      <c r="V144" s="24">
        <v>310.06</v>
      </c>
      <c r="W144" s="24">
        <v>315.14999999999998</v>
      </c>
      <c r="X144" s="24">
        <v>320.25</v>
      </c>
      <c r="Y144" s="24">
        <v>325.33999999999997</v>
      </c>
      <c r="Z144" s="24">
        <v>233.62</v>
      </c>
      <c r="AA144" s="24">
        <v>228.52</v>
      </c>
      <c r="AB144" s="24">
        <v>223.42</v>
      </c>
      <c r="AC144" s="24">
        <v>218.33</v>
      </c>
      <c r="AD144" s="24">
        <v>213.23</v>
      </c>
      <c r="AE144" s="5">
        <v>140</v>
      </c>
      <c r="AF144" s="43">
        <v>164.36</v>
      </c>
      <c r="AG144" s="43">
        <v>167.96</v>
      </c>
      <c r="AH144" s="43">
        <v>171.56</v>
      </c>
      <c r="AI144" s="43">
        <v>175.15</v>
      </c>
      <c r="AJ144" s="43">
        <v>178.75</v>
      </c>
      <c r="AK144" s="43">
        <v>182.35</v>
      </c>
      <c r="AL144" s="43">
        <v>185.95</v>
      </c>
      <c r="AM144" s="43">
        <v>189.55</v>
      </c>
      <c r="AN144" s="44">
        <v>193.14</v>
      </c>
      <c r="AO144" s="53">
        <v>196.74</v>
      </c>
      <c r="AP144" s="53">
        <v>200.34</v>
      </c>
      <c r="AQ144" s="44">
        <v>203.94</v>
      </c>
      <c r="AR144" s="44">
        <v>207.54</v>
      </c>
      <c r="AS144" s="72">
        <v>211.13</v>
      </c>
      <c r="AT144" s="59">
        <v>214.73</v>
      </c>
      <c r="AU144" s="65">
        <v>218.33</v>
      </c>
      <c r="AV144" s="65">
        <v>221.93</v>
      </c>
      <c r="AW144" s="65">
        <v>225.53</v>
      </c>
      <c r="AX144" s="65">
        <v>229.12</v>
      </c>
      <c r="AY144" s="65">
        <v>232.72</v>
      </c>
      <c r="AZ144" s="65">
        <v>236.32</v>
      </c>
      <c r="BA144" s="24">
        <v>204.35</v>
      </c>
      <c r="BB144" s="24">
        <v>207.95</v>
      </c>
      <c r="BC144" s="24">
        <v>211.55</v>
      </c>
      <c r="BD144" s="24">
        <v>215.15</v>
      </c>
      <c r="BE144" s="24">
        <v>150.38</v>
      </c>
      <c r="BF144" s="24">
        <v>146.77799999999999</v>
      </c>
      <c r="BG144" s="24">
        <v>143.19</v>
      </c>
      <c r="BH144" s="24">
        <v>139.59</v>
      </c>
      <c r="BI144" s="24">
        <v>135.99</v>
      </c>
    </row>
    <row r="145" spans="1:61" x14ac:dyDescent="0.45">
      <c r="A145" s="43">
        <v>275.89999999999998</v>
      </c>
      <c r="B145" s="43">
        <v>281.02999999999997</v>
      </c>
      <c r="C145" s="43">
        <v>286.16000000000003</v>
      </c>
      <c r="D145" s="43">
        <v>291.3</v>
      </c>
      <c r="E145" s="43">
        <v>296.43</v>
      </c>
      <c r="F145" s="43">
        <v>301.56</v>
      </c>
      <c r="G145" s="43">
        <v>306.69</v>
      </c>
      <c r="H145" s="43">
        <v>311.83</v>
      </c>
      <c r="I145" s="44">
        <v>316.95999999999998</v>
      </c>
      <c r="J145" s="53">
        <v>322.08999999999997</v>
      </c>
      <c r="K145" s="53">
        <v>327.22000000000003</v>
      </c>
      <c r="L145" s="44">
        <v>332.36</v>
      </c>
      <c r="M145" s="44">
        <v>337.49</v>
      </c>
      <c r="N145" s="44">
        <v>342.62</v>
      </c>
      <c r="O145" s="59">
        <v>347.75</v>
      </c>
      <c r="P145" s="65">
        <v>352.89</v>
      </c>
      <c r="Q145" s="65">
        <v>358.02</v>
      </c>
      <c r="R145" s="65">
        <v>363.15</v>
      </c>
      <c r="S145" s="65">
        <v>368.28</v>
      </c>
      <c r="T145" s="65">
        <v>373.42</v>
      </c>
      <c r="U145" s="65">
        <v>378.55</v>
      </c>
      <c r="V145" s="24">
        <v>312.2</v>
      </c>
      <c r="W145" s="24">
        <v>317.33</v>
      </c>
      <c r="X145" s="24">
        <v>322.47000000000003</v>
      </c>
      <c r="Y145" s="24">
        <v>327.60000000000002</v>
      </c>
      <c r="Z145" s="24">
        <v>235.21</v>
      </c>
      <c r="AA145" s="24">
        <v>230.08</v>
      </c>
      <c r="AB145" s="24">
        <v>224.95</v>
      </c>
      <c r="AC145" s="24">
        <v>219.82</v>
      </c>
      <c r="AD145" s="24">
        <v>214.69</v>
      </c>
      <c r="AE145" s="5">
        <v>141</v>
      </c>
      <c r="AF145" s="43">
        <v>165.59</v>
      </c>
      <c r="AG145" s="43">
        <v>169.22</v>
      </c>
      <c r="AH145" s="43">
        <v>172.84</v>
      </c>
      <c r="AI145" s="43">
        <v>176.46</v>
      </c>
      <c r="AJ145" s="43">
        <v>180.09</v>
      </c>
      <c r="AK145" s="43">
        <v>183.71</v>
      </c>
      <c r="AL145" s="43">
        <v>187.33</v>
      </c>
      <c r="AM145" s="43">
        <v>190.96</v>
      </c>
      <c r="AN145" s="44">
        <v>194.58</v>
      </c>
      <c r="AO145" s="53">
        <v>198.2</v>
      </c>
      <c r="AP145" s="53">
        <v>201.83</v>
      </c>
      <c r="AQ145" s="44">
        <v>205.45</v>
      </c>
      <c r="AR145" s="44">
        <v>209.08</v>
      </c>
      <c r="AS145" s="72">
        <v>212.7</v>
      </c>
      <c r="AT145" s="59">
        <v>216.32</v>
      </c>
      <c r="AU145" s="65">
        <v>219.95</v>
      </c>
      <c r="AV145" s="65">
        <v>223.57</v>
      </c>
      <c r="AW145" s="65">
        <v>227.19</v>
      </c>
      <c r="AX145" s="65">
        <v>230.82</v>
      </c>
      <c r="AY145" s="65">
        <v>234.44</v>
      </c>
      <c r="AZ145" s="65">
        <v>238.07</v>
      </c>
      <c r="BA145" s="24">
        <v>205.85</v>
      </c>
      <c r="BB145" s="24">
        <v>209.47</v>
      </c>
      <c r="BC145" s="24">
        <v>213.09</v>
      </c>
      <c r="BD145" s="24">
        <v>216.72</v>
      </c>
      <c r="BE145" s="24">
        <v>151.49</v>
      </c>
      <c r="BF145" s="24">
        <v>147.87</v>
      </c>
      <c r="BG145" s="24">
        <v>144.24</v>
      </c>
      <c r="BH145" s="24">
        <v>140.62</v>
      </c>
      <c r="BI145" s="24">
        <v>137</v>
      </c>
    </row>
    <row r="146" spans="1:61" x14ac:dyDescent="0.45">
      <c r="A146" s="43">
        <v>278.08</v>
      </c>
      <c r="B146" s="43">
        <v>283.25</v>
      </c>
      <c r="C146" s="43">
        <v>288.42</v>
      </c>
      <c r="D146" s="43">
        <v>293.58</v>
      </c>
      <c r="E146" s="43">
        <v>298.75</v>
      </c>
      <c r="F146" s="43">
        <v>303.92</v>
      </c>
      <c r="G146" s="43">
        <v>309.08999999999997</v>
      </c>
      <c r="H146" s="43">
        <v>314.26</v>
      </c>
      <c r="I146" s="44">
        <v>319.43</v>
      </c>
      <c r="J146" s="53">
        <v>324.60000000000002</v>
      </c>
      <c r="K146" s="53">
        <v>329.77</v>
      </c>
      <c r="L146" s="44">
        <v>334.93</v>
      </c>
      <c r="M146" s="44">
        <v>340.1</v>
      </c>
      <c r="N146" s="44">
        <v>345.27</v>
      </c>
      <c r="O146" s="59">
        <v>350.44</v>
      </c>
      <c r="P146" s="65">
        <v>355.61</v>
      </c>
      <c r="Q146" s="65">
        <v>360.78</v>
      </c>
      <c r="R146" s="65">
        <v>365.95</v>
      </c>
      <c r="S146" s="65">
        <v>371.12</v>
      </c>
      <c r="T146" s="65">
        <v>376.28</v>
      </c>
      <c r="U146" s="65">
        <v>381.45</v>
      </c>
      <c r="V146" s="24">
        <v>314.54000000000002</v>
      </c>
      <c r="W146" s="24">
        <v>319.70999999999998</v>
      </c>
      <c r="X146" s="24">
        <v>324.88</v>
      </c>
      <c r="Y146" s="24">
        <v>330.05</v>
      </c>
      <c r="Z146" s="24">
        <v>237.01</v>
      </c>
      <c r="AA146" s="24">
        <v>231.84</v>
      </c>
      <c r="AB146" s="24">
        <v>226.67</v>
      </c>
      <c r="AC146" s="24">
        <v>221.51</v>
      </c>
      <c r="AD146" s="24">
        <v>216.34</v>
      </c>
      <c r="AE146" s="5">
        <v>142</v>
      </c>
      <c r="AF146" s="43">
        <v>166.74</v>
      </c>
      <c r="AG146" s="43">
        <v>170.39</v>
      </c>
      <c r="AH146" s="43">
        <v>147.04</v>
      </c>
      <c r="AI146" s="43">
        <v>177.69</v>
      </c>
      <c r="AJ146" s="43">
        <v>181.33</v>
      </c>
      <c r="AK146" s="43">
        <v>184.98</v>
      </c>
      <c r="AL146" s="43">
        <v>188.63</v>
      </c>
      <c r="AM146" s="43">
        <v>192.28</v>
      </c>
      <c r="AN146" s="44">
        <v>195.93</v>
      </c>
      <c r="AO146" s="53">
        <v>199.58</v>
      </c>
      <c r="AP146" s="53">
        <v>203.23</v>
      </c>
      <c r="AQ146" s="44">
        <v>206.88</v>
      </c>
      <c r="AR146" s="44">
        <v>210.53</v>
      </c>
      <c r="AS146" s="72">
        <v>214.18</v>
      </c>
      <c r="AT146" s="59">
        <v>217.83</v>
      </c>
      <c r="AU146" s="65">
        <v>221.48</v>
      </c>
      <c r="AV146" s="65">
        <v>225.13</v>
      </c>
      <c r="AW146" s="65">
        <v>228.78</v>
      </c>
      <c r="AX146" s="65">
        <v>232.43</v>
      </c>
      <c r="AY146" s="65">
        <v>236.08</v>
      </c>
      <c r="AZ146" s="65">
        <v>239.73</v>
      </c>
      <c r="BA146" s="24">
        <v>207.29</v>
      </c>
      <c r="BB146" s="24">
        <v>210.94</v>
      </c>
      <c r="BC146" s="24">
        <v>214.59</v>
      </c>
      <c r="BD146" s="24">
        <v>218.24</v>
      </c>
      <c r="BE146" s="24">
        <v>152.55000000000001</v>
      </c>
      <c r="BF146" s="24">
        <v>148.9</v>
      </c>
      <c r="BG146" s="24">
        <v>145.285</v>
      </c>
      <c r="BH146" s="24">
        <v>141.6</v>
      </c>
      <c r="BI146" s="24">
        <v>137.94999999999999</v>
      </c>
    </row>
    <row r="147" spans="1:61" x14ac:dyDescent="0.45">
      <c r="A147" s="43">
        <v>279.93</v>
      </c>
      <c r="B147" s="43">
        <v>285.13</v>
      </c>
      <c r="C147" s="43">
        <v>290.33999999999997</v>
      </c>
      <c r="D147" s="43">
        <v>295.54000000000002</v>
      </c>
      <c r="E147" s="43">
        <v>300.75</v>
      </c>
      <c r="F147" s="43">
        <v>305.95</v>
      </c>
      <c r="G147" s="43">
        <v>311.16000000000003</v>
      </c>
      <c r="H147" s="43">
        <v>316.36</v>
      </c>
      <c r="I147" s="44">
        <v>321.57</v>
      </c>
      <c r="J147" s="53">
        <v>326.77</v>
      </c>
      <c r="K147" s="53">
        <v>331.98</v>
      </c>
      <c r="L147" s="44">
        <v>337.18</v>
      </c>
      <c r="M147" s="44">
        <v>342.39</v>
      </c>
      <c r="N147" s="44">
        <v>347.59</v>
      </c>
      <c r="O147" s="59">
        <v>352.8</v>
      </c>
      <c r="P147" s="65">
        <v>358</v>
      </c>
      <c r="Q147" s="65">
        <v>363.21</v>
      </c>
      <c r="R147" s="65">
        <v>368.41</v>
      </c>
      <c r="S147" s="65">
        <v>373.62</v>
      </c>
      <c r="T147" s="65">
        <v>378.82</v>
      </c>
      <c r="U147" s="65">
        <v>384.03</v>
      </c>
      <c r="V147" s="24">
        <v>316.69</v>
      </c>
      <c r="W147" s="24">
        <v>321.89999999999998</v>
      </c>
      <c r="X147" s="24">
        <v>327.11</v>
      </c>
      <c r="Y147" s="24">
        <v>332.31</v>
      </c>
      <c r="Z147" s="24">
        <v>238.62</v>
      </c>
      <c r="AA147" s="24">
        <v>233.41</v>
      </c>
      <c r="AB147" s="24">
        <v>228.21</v>
      </c>
      <c r="AC147" s="24">
        <v>223</v>
      </c>
      <c r="AD147" s="24">
        <v>217.8</v>
      </c>
      <c r="AE147" s="5">
        <v>143</v>
      </c>
      <c r="AF147" s="43">
        <v>167.88</v>
      </c>
      <c r="AG147" s="43">
        <v>171.56</v>
      </c>
      <c r="AH147" s="43">
        <v>175.23</v>
      </c>
      <c r="AI147" s="43">
        <v>178.91</v>
      </c>
      <c r="AJ147" s="43">
        <v>182.58</v>
      </c>
      <c r="AK147" s="43">
        <v>186.26</v>
      </c>
      <c r="AL147" s="43">
        <v>189.93</v>
      </c>
      <c r="AM147" s="43">
        <v>193.61</v>
      </c>
      <c r="AN147" s="44">
        <v>197.28</v>
      </c>
      <c r="AO147" s="53">
        <v>200.96</v>
      </c>
      <c r="AP147" s="53">
        <v>204.64</v>
      </c>
      <c r="AQ147" s="44">
        <v>208.31</v>
      </c>
      <c r="AR147" s="44">
        <v>211.99</v>
      </c>
      <c r="AS147" s="72">
        <v>215.66</v>
      </c>
      <c r="AT147" s="59">
        <v>219.34</v>
      </c>
      <c r="AU147" s="65">
        <v>223.01</v>
      </c>
      <c r="AV147" s="65">
        <v>226.69</v>
      </c>
      <c r="AW147" s="65">
        <v>230.36</v>
      </c>
      <c r="AX147" s="65">
        <v>234.04</v>
      </c>
      <c r="AY147" s="65">
        <v>237.71</v>
      </c>
      <c r="AZ147" s="65">
        <v>241.39</v>
      </c>
      <c r="BA147" s="24">
        <v>208.73</v>
      </c>
      <c r="BB147" s="24">
        <v>212.41</v>
      </c>
      <c r="BC147" s="24">
        <v>216.08</v>
      </c>
      <c r="BD147" s="24">
        <v>219.76</v>
      </c>
      <c r="BE147" s="24">
        <v>153.61000000000001</v>
      </c>
      <c r="BF147" s="24">
        <v>149.93</v>
      </c>
      <c r="BG147" s="24">
        <v>146.26</v>
      </c>
      <c r="BH147" s="24">
        <v>142.58000000000001</v>
      </c>
      <c r="BI147" s="24">
        <v>138.91</v>
      </c>
    </row>
    <row r="148" spans="1:61" x14ac:dyDescent="0.45">
      <c r="A148" s="43">
        <v>281.77999999999997</v>
      </c>
      <c r="B148" s="43">
        <v>287.02</v>
      </c>
      <c r="C148" s="43">
        <v>292.26</v>
      </c>
      <c r="D148" s="43">
        <v>297.5</v>
      </c>
      <c r="E148" s="43">
        <v>302.74</v>
      </c>
      <c r="F148" s="43">
        <v>307.99</v>
      </c>
      <c r="G148" s="43">
        <v>313.23</v>
      </c>
      <c r="H148" s="43">
        <v>318.47000000000003</v>
      </c>
      <c r="I148" s="44">
        <v>323.70999999999998</v>
      </c>
      <c r="J148" s="53">
        <v>328.95</v>
      </c>
      <c r="K148" s="53">
        <v>334.19</v>
      </c>
      <c r="L148" s="44">
        <v>339.43</v>
      </c>
      <c r="M148" s="44">
        <v>344.68</v>
      </c>
      <c r="N148" s="44">
        <v>349.92</v>
      </c>
      <c r="O148" s="59">
        <v>355.16</v>
      </c>
      <c r="P148" s="65">
        <v>360.4</v>
      </c>
      <c r="Q148" s="65">
        <v>365.64</v>
      </c>
      <c r="R148" s="65">
        <v>370.88</v>
      </c>
      <c r="S148" s="65">
        <v>376.13</v>
      </c>
      <c r="T148" s="65">
        <v>381.37</v>
      </c>
      <c r="U148" s="65">
        <v>386.61</v>
      </c>
      <c r="V148" s="24">
        <v>318.85000000000002</v>
      </c>
      <c r="W148" s="24">
        <v>324.08999999999997</v>
      </c>
      <c r="X148" s="24">
        <v>329.33</v>
      </c>
      <c r="Y148" s="24">
        <v>334.57</v>
      </c>
      <c r="Z148" s="24">
        <v>240.22</v>
      </c>
      <c r="AA148" s="24">
        <v>234.98</v>
      </c>
      <c r="AB148" s="24">
        <v>229.74</v>
      </c>
      <c r="AC148" s="24">
        <v>224.5</v>
      </c>
      <c r="AD148" s="24">
        <v>219.26</v>
      </c>
      <c r="AE148" s="5">
        <v>144</v>
      </c>
      <c r="AF148" s="43">
        <v>169.12</v>
      </c>
      <c r="AG148" s="43">
        <v>172.83</v>
      </c>
      <c r="AH148" s="43">
        <v>176.53</v>
      </c>
      <c r="AI148" s="43">
        <v>180.23</v>
      </c>
      <c r="AJ148" s="43">
        <v>183.93</v>
      </c>
      <c r="AK148" s="43">
        <v>187.63</v>
      </c>
      <c r="AL148" s="43">
        <v>191.33</v>
      </c>
      <c r="AM148" s="43">
        <v>195.03</v>
      </c>
      <c r="AN148" s="44">
        <v>198.73</v>
      </c>
      <c r="AO148" s="53">
        <v>202.43</v>
      </c>
      <c r="AP148" s="53">
        <v>206.13</v>
      </c>
      <c r="AQ148" s="44">
        <v>209.83</v>
      </c>
      <c r="AR148" s="44">
        <v>213.53</v>
      </c>
      <c r="AS148" s="72">
        <v>217.23</v>
      </c>
      <c r="AT148" s="59">
        <v>220.94</v>
      </c>
      <c r="AU148" s="65">
        <v>224.64</v>
      </c>
      <c r="AV148" s="65">
        <v>228.34</v>
      </c>
      <c r="AW148" s="65">
        <v>232.04</v>
      </c>
      <c r="AX148" s="65">
        <v>235.74</v>
      </c>
      <c r="AY148" s="65">
        <v>239.44</v>
      </c>
      <c r="AZ148" s="65">
        <v>243.14</v>
      </c>
      <c r="BA148" s="24">
        <v>210.23</v>
      </c>
      <c r="BB148" s="24">
        <v>213.93</v>
      </c>
      <c r="BC148" s="24">
        <v>217.63</v>
      </c>
      <c r="BD148" s="24">
        <v>221.34</v>
      </c>
      <c r="BE148" s="24">
        <v>154.72</v>
      </c>
      <c r="BF148" s="24">
        <v>151.02000000000001</v>
      </c>
      <c r="BG148" s="24">
        <v>147.32</v>
      </c>
      <c r="BH148" s="24">
        <v>143.62</v>
      </c>
      <c r="BI148" s="24">
        <v>139.91999999999999</v>
      </c>
    </row>
    <row r="149" spans="1:61" x14ac:dyDescent="0.45">
      <c r="A149" s="43">
        <v>283.98</v>
      </c>
      <c r="B149" s="43">
        <v>289.26</v>
      </c>
      <c r="C149" s="43">
        <v>294.54000000000002</v>
      </c>
      <c r="D149" s="43">
        <v>299.82</v>
      </c>
      <c r="E149" s="43">
        <v>305.10000000000002</v>
      </c>
      <c r="F149" s="43">
        <v>310.37</v>
      </c>
      <c r="G149" s="43">
        <v>315.64999999999998</v>
      </c>
      <c r="H149" s="43">
        <v>320.93</v>
      </c>
      <c r="I149" s="44">
        <v>326.20999999999998</v>
      </c>
      <c r="J149" s="53">
        <v>331.49</v>
      </c>
      <c r="K149" s="53">
        <v>336.76</v>
      </c>
      <c r="L149" s="44">
        <v>342.04</v>
      </c>
      <c r="M149" s="44">
        <v>347.32</v>
      </c>
      <c r="N149" s="44">
        <v>352.6</v>
      </c>
      <c r="O149" s="59">
        <v>357.88</v>
      </c>
      <c r="P149" s="65">
        <v>363.15</v>
      </c>
      <c r="Q149" s="65">
        <v>368.43</v>
      </c>
      <c r="R149" s="65">
        <v>373.71</v>
      </c>
      <c r="S149" s="65">
        <v>378.99</v>
      </c>
      <c r="T149" s="65">
        <v>384.27</v>
      </c>
      <c r="U149" s="65">
        <v>389.54</v>
      </c>
      <c r="V149" s="24">
        <v>321.20999999999998</v>
      </c>
      <c r="W149" s="24">
        <v>326.49</v>
      </c>
      <c r="X149" s="24">
        <v>331.76</v>
      </c>
      <c r="Y149" s="24">
        <v>337.04</v>
      </c>
      <c r="Z149" s="24">
        <v>242.04</v>
      </c>
      <c r="AA149" s="24">
        <v>236.76</v>
      </c>
      <c r="AB149" s="24">
        <v>231.48</v>
      </c>
      <c r="AC149" s="24">
        <v>226.2</v>
      </c>
      <c r="AD149" s="24">
        <v>220.93</v>
      </c>
      <c r="AE149" s="5">
        <v>145</v>
      </c>
      <c r="AF149" s="43">
        <v>170.27</v>
      </c>
      <c r="AG149" s="43">
        <v>174</v>
      </c>
      <c r="AH149" s="43">
        <v>177.73</v>
      </c>
      <c r="AI149" s="43">
        <v>181.45</v>
      </c>
      <c r="AJ149" s="43">
        <v>185.18</v>
      </c>
      <c r="AK149" s="43">
        <v>188.91</v>
      </c>
      <c r="AL149" s="43">
        <v>192.63</v>
      </c>
      <c r="AM149" s="43">
        <v>196.36</v>
      </c>
      <c r="AN149" s="44">
        <v>200.09</v>
      </c>
      <c r="AO149" s="53">
        <v>203.81</v>
      </c>
      <c r="AP149" s="53">
        <v>207.54</v>
      </c>
      <c r="AQ149" s="44">
        <v>211.27</v>
      </c>
      <c r="AR149" s="44">
        <v>214.99</v>
      </c>
      <c r="AS149" s="72">
        <v>218.72</v>
      </c>
      <c r="AT149" s="59">
        <v>222.45</v>
      </c>
      <c r="AU149" s="65">
        <v>226.17</v>
      </c>
      <c r="AV149" s="65">
        <v>229.9</v>
      </c>
      <c r="AW149" s="65">
        <v>233.62</v>
      </c>
      <c r="AX149" s="65">
        <v>237.35</v>
      </c>
      <c r="AY149" s="65">
        <v>241.08</v>
      </c>
      <c r="AZ149" s="65">
        <v>244.8</v>
      </c>
      <c r="BA149" s="24">
        <v>210.68</v>
      </c>
      <c r="BB149" s="24">
        <v>215.4</v>
      </c>
      <c r="BC149" s="24">
        <v>219.13</v>
      </c>
      <c r="BD149" s="24">
        <v>222.86</v>
      </c>
      <c r="BE149" s="24">
        <v>155.78</v>
      </c>
      <c r="BF149" s="24">
        <v>152.05000000000001</v>
      </c>
      <c r="BG149" s="24">
        <v>148.33000000000001</v>
      </c>
      <c r="BH149" s="24">
        <v>144.6</v>
      </c>
      <c r="BI149" s="24">
        <v>140.87</v>
      </c>
    </row>
    <row r="150" spans="1:61" x14ac:dyDescent="0.45">
      <c r="A150" s="43">
        <v>285.85000000000002</v>
      </c>
      <c r="B150" s="43">
        <v>291.16000000000003</v>
      </c>
      <c r="C150" s="43">
        <v>296.48</v>
      </c>
      <c r="D150" s="43">
        <v>301.79000000000002</v>
      </c>
      <c r="E150" s="43">
        <v>307.10000000000002</v>
      </c>
      <c r="F150" s="43">
        <v>312.42</v>
      </c>
      <c r="G150" s="43">
        <v>317.73</v>
      </c>
      <c r="H150" s="43">
        <v>323.05</v>
      </c>
      <c r="I150" s="44">
        <v>328.36</v>
      </c>
      <c r="J150" s="53">
        <v>333.68</v>
      </c>
      <c r="K150" s="53">
        <v>338.99</v>
      </c>
      <c r="L150" s="44">
        <v>344.31</v>
      </c>
      <c r="M150" s="44">
        <v>349.62</v>
      </c>
      <c r="N150" s="44">
        <v>354.93</v>
      </c>
      <c r="O150" s="59">
        <v>360.25</v>
      </c>
      <c r="P150" s="65">
        <v>365.56</v>
      </c>
      <c r="Q150" s="65">
        <v>370.88</v>
      </c>
      <c r="R150" s="65">
        <v>376.19</v>
      </c>
      <c r="S150" s="65">
        <v>381.51</v>
      </c>
      <c r="T150" s="65">
        <v>386.82</v>
      </c>
      <c r="U150" s="65">
        <v>392.14</v>
      </c>
      <c r="V150" s="24">
        <v>323.37</v>
      </c>
      <c r="W150" s="24">
        <v>328.68</v>
      </c>
      <c r="X150" s="24">
        <v>334</v>
      </c>
      <c r="Y150" s="24">
        <v>339.31</v>
      </c>
      <c r="Z150" s="24">
        <v>243.65</v>
      </c>
      <c r="AA150" s="24">
        <v>238.34</v>
      </c>
      <c r="AB150" s="24">
        <v>233.02</v>
      </c>
      <c r="AC150" s="24">
        <v>227.71</v>
      </c>
      <c r="AD150" s="24">
        <v>222.39</v>
      </c>
      <c r="AE150" s="5">
        <v>146</v>
      </c>
      <c r="AF150" s="43">
        <v>171.43</v>
      </c>
      <c r="AG150" s="43">
        <v>175.18</v>
      </c>
      <c r="AH150" s="43">
        <v>178.93</v>
      </c>
      <c r="AI150" s="43">
        <v>182.68</v>
      </c>
      <c r="AJ150" s="43">
        <v>186.43</v>
      </c>
      <c r="AK150" s="43">
        <v>190.19</v>
      </c>
      <c r="AL150" s="43">
        <v>193.94</v>
      </c>
      <c r="AM150" s="43">
        <v>197.69</v>
      </c>
      <c r="AN150" s="44">
        <v>201.44</v>
      </c>
      <c r="AO150" s="53">
        <v>205.19</v>
      </c>
      <c r="AP150" s="53">
        <v>208.95</v>
      </c>
      <c r="AQ150" s="44">
        <v>212.7</v>
      </c>
      <c r="AR150" s="44">
        <v>216.45</v>
      </c>
      <c r="AS150" s="72">
        <v>220.2</v>
      </c>
      <c r="AT150" s="59">
        <v>223.96</v>
      </c>
      <c r="AU150" s="65">
        <v>227.71</v>
      </c>
      <c r="AV150" s="65">
        <v>231.46</v>
      </c>
      <c r="AW150" s="65">
        <v>235.21</v>
      </c>
      <c r="AX150" s="65">
        <v>238.96</v>
      </c>
      <c r="AY150" s="65">
        <v>242.72</v>
      </c>
      <c r="AZ150" s="65">
        <v>246.47</v>
      </c>
      <c r="BA150" s="24">
        <v>213.12</v>
      </c>
      <c r="BB150" s="24">
        <v>216.88</v>
      </c>
      <c r="BC150" s="24">
        <v>220.63</v>
      </c>
      <c r="BD150" s="24">
        <v>224.38</v>
      </c>
      <c r="BE150" s="24">
        <v>156.84</v>
      </c>
      <c r="BF150" s="24">
        <v>153.09</v>
      </c>
      <c r="BG150" s="24">
        <v>149.34</v>
      </c>
      <c r="BH150" s="24">
        <v>145.58000000000001</v>
      </c>
      <c r="BI150" s="24">
        <v>141.83000000000001</v>
      </c>
    </row>
    <row r="151" spans="1:61" x14ac:dyDescent="0.45">
      <c r="A151" s="43">
        <v>287.70999999999998</v>
      </c>
      <c r="B151" s="43">
        <v>293.06</v>
      </c>
      <c r="C151" s="43">
        <v>298.42</v>
      </c>
      <c r="D151" s="43">
        <v>303.77</v>
      </c>
      <c r="E151" s="43">
        <v>309.12</v>
      </c>
      <c r="F151" s="43">
        <v>314.47000000000003</v>
      </c>
      <c r="G151" s="43">
        <v>319.82</v>
      </c>
      <c r="H151" s="43">
        <v>325.17</v>
      </c>
      <c r="I151" s="44">
        <v>330.52</v>
      </c>
      <c r="J151" s="53">
        <v>335.87</v>
      </c>
      <c r="K151" s="53">
        <v>341.22</v>
      </c>
      <c r="L151" s="44">
        <v>346.57</v>
      </c>
      <c r="M151" s="44">
        <v>351.92</v>
      </c>
      <c r="N151" s="44">
        <v>357.27</v>
      </c>
      <c r="O151" s="59">
        <v>362.63</v>
      </c>
      <c r="P151" s="65">
        <v>367.98</v>
      </c>
      <c r="Q151" s="65">
        <v>373.33</v>
      </c>
      <c r="R151" s="65">
        <v>378.68</v>
      </c>
      <c r="S151" s="65">
        <v>384.03</v>
      </c>
      <c r="T151" s="65">
        <v>389.38</v>
      </c>
      <c r="U151" s="65">
        <v>394.73</v>
      </c>
      <c r="V151" s="24">
        <v>325.52999999999997</v>
      </c>
      <c r="W151" s="24">
        <v>330.88</v>
      </c>
      <c r="X151" s="24">
        <v>336.23</v>
      </c>
      <c r="Y151" s="24">
        <v>341.58</v>
      </c>
      <c r="Z151" s="24">
        <v>245.27</v>
      </c>
      <c r="AA151" s="24">
        <v>239.92</v>
      </c>
      <c r="AB151" s="24">
        <v>234.57</v>
      </c>
      <c r="AC151" s="24">
        <v>229.21</v>
      </c>
      <c r="AD151" s="24">
        <v>223.86</v>
      </c>
      <c r="AE151" s="5">
        <v>147</v>
      </c>
      <c r="AF151" s="43">
        <v>172.58</v>
      </c>
      <c r="AG151" s="43">
        <v>176.35</v>
      </c>
      <c r="AH151" s="43">
        <v>180.13</v>
      </c>
      <c r="AI151" s="43">
        <v>183.91</v>
      </c>
      <c r="AJ151" s="43">
        <v>187.69</v>
      </c>
      <c r="AK151" s="43">
        <v>191.47</v>
      </c>
      <c r="AL151" s="43">
        <v>195.24</v>
      </c>
      <c r="AM151" s="43">
        <v>199.02</v>
      </c>
      <c r="AN151" s="44">
        <v>202.8</v>
      </c>
      <c r="AO151" s="53">
        <v>206.58</v>
      </c>
      <c r="AP151" s="53">
        <v>210.36</v>
      </c>
      <c r="AQ151" s="44">
        <v>214.13</v>
      </c>
      <c r="AR151" s="44">
        <v>217.91</v>
      </c>
      <c r="AS151" s="72">
        <v>221.69</v>
      </c>
      <c r="AT151" s="59">
        <v>225.47</v>
      </c>
      <c r="AU151" s="65">
        <v>229.25</v>
      </c>
      <c r="AV151" s="65">
        <v>233.02</v>
      </c>
      <c r="AW151" s="65">
        <v>236.8</v>
      </c>
      <c r="AX151" s="65">
        <v>240.58</v>
      </c>
      <c r="AY151" s="65">
        <v>244.36</v>
      </c>
      <c r="AZ151" s="65">
        <v>248.13</v>
      </c>
      <c r="BA151" s="24">
        <v>214.57</v>
      </c>
      <c r="BB151" s="24">
        <v>218.35</v>
      </c>
      <c r="BC151" s="24">
        <v>222.12</v>
      </c>
      <c r="BD151" s="24">
        <v>225.9</v>
      </c>
      <c r="BE151" s="24">
        <v>157.9</v>
      </c>
      <c r="BF151" s="24">
        <v>154.12</v>
      </c>
      <c r="BG151" s="24">
        <v>150.34</v>
      </c>
      <c r="BH151" s="24">
        <v>146.57</v>
      </c>
      <c r="BI151" s="24">
        <v>142.79</v>
      </c>
    </row>
    <row r="152" spans="1:61" x14ac:dyDescent="0.45">
      <c r="A152" s="43">
        <v>289.58</v>
      </c>
      <c r="B152" s="43">
        <v>294.97000000000003</v>
      </c>
      <c r="C152" s="43">
        <v>300.36</v>
      </c>
      <c r="D152" s="43">
        <v>305.75</v>
      </c>
      <c r="E152" s="43">
        <v>311.13</v>
      </c>
      <c r="F152" s="43">
        <v>316.52</v>
      </c>
      <c r="G152" s="43">
        <v>321.91000000000003</v>
      </c>
      <c r="H152" s="43">
        <v>327.29000000000002</v>
      </c>
      <c r="I152" s="44">
        <v>332.68</v>
      </c>
      <c r="J152" s="53">
        <v>338.07</v>
      </c>
      <c r="K152" s="53">
        <v>343.46</v>
      </c>
      <c r="L152" s="44">
        <v>348.84</v>
      </c>
      <c r="M152" s="44">
        <v>354.23</v>
      </c>
      <c r="N152" s="44">
        <v>359.62</v>
      </c>
      <c r="O152" s="59">
        <v>365.01</v>
      </c>
      <c r="P152" s="65">
        <v>370.39</v>
      </c>
      <c r="Q152" s="65">
        <v>375.78</v>
      </c>
      <c r="R152" s="65">
        <v>381.17</v>
      </c>
      <c r="S152" s="65">
        <v>386.55</v>
      </c>
      <c r="T152" s="65">
        <v>391.94</v>
      </c>
      <c r="U152" s="65">
        <v>397.33</v>
      </c>
      <c r="V152" s="24">
        <v>327.69</v>
      </c>
      <c r="W152" s="24">
        <v>333.08</v>
      </c>
      <c r="X152" s="24">
        <v>338.47</v>
      </c>
      <c r="Y152" s="24">
        <v>343.85</v>
      </c>
      <c r="Z152" s="24">
        <v>246.88</v>
      </c>
      <c r="AA152" s="24">
        <v>241.5</v>
      </c>
      <c r="AB152" s="24">
        <v>236.11</v>
      </c>
      <c r="AC152" s="24">
        <v>230.72</v>
      </c>
      <c r="AD152" s="24">
        <v>225.34</v>
      </c>
      <c r="AE152" s="5">
        <v>148</v>
      </c>
      <c r="AF152" s="43">
        <v>173.73</v>
      </c>
      <c r="AG152" s="43">
        <v>177.53</v>
      </c>
      <c r="AH152" s="43">
        <v>181.34</v>
      </c>
      <c r="AI152" s="43">
        <v>185.14</v>
      </c>
      <c r="AJ152" s="43">
        <v>188.94</v>
      </c>
      <c r="AK152" s="43">
        <v>192.75</v>
      </c>
      <c r="AL152" s="43">
        <v>196.55</v>
      </c>
      <c r="AM152" s="43">
        <v>200.36</v>
      </c>
      <c r="AN152" s="44">
        <v>204.16</v>
      </c>
      <c r="AO152" s="53">
        <v>207.96</v>
      </c>
      <c r="AP152" s="53">
        <v>211.77</v>
      </c>
      <c r="AQ152" s="44">
        <v>215.57</v>
      </c>
      <c r="AR152" s="44">
        <v>219.37</v>
      </c>
      <c r="AS152" s="72">
        <v>223.18</v>
      </c>
      <c r="AT152" s="59">
        <v>226.98</v>
      </c>
      <c r="AU152" s="65">
        <v>230.78</v>
      </c>
      <c r="AV152" s="65">
        <v>234.59</v>
      </c>
      <c r="AW152" s="65">
        <v>238.39</v>
      </c>
      <c r="AX152" s="65">
        <v>242.19</v>
      </c>
      <c r="AY152" s="65">
        <v>246</v>
      </c>
      <c r="AZ152" s="65">
        <v>249.8</v>
      </c>
      <c r="BA152" s="24">
        <v>216.02</v>
      </c>
      <c r="BB152" s="24">
        <v>219.82</v>
      </c>
      <c r="BC152" s="24">
        <v>223.62</v>
      </c>
      <c r="BD152" s="24">
        <v>227.43</v>
      </c>
      <c r="BE152" s="24">
        <v>158.96</v>
      </c>
      <c r="BF152" s="24">
        <v>155.16</v>
      </c>
      <c r="BG152" s="24">
        <v>151.35</v>
      </c>
      <c r="BH152" s="24">
        <v>147.55000000000001</v>
      </c>
      <c r="BI152" s="24">
        <v>143.75</v>
      </c>
    </row>
    <row r="153" spans="1:61" x14ac:dyDescent="0.45">
      <c r="A153" s="43">
        <v>291.45999999999998</v>
      </c>
      <c r="B153" s="43">
        <v>296.88</v>
      </c>
      <c r="C153" s="43">
        <v>302.31</v>
      </c>
      <c r="D153" s="43">
        <v>307.73</v>
      </c>
      <c r="E153" s="43">
        <v>313.14999999999998</v>
      </c>
      <c r="F153" s="43">
        <v>318.58</v>
      </c>
      <c r="G153" s="43">
        <v>324</v>
      </c>
      <c r="H153" s="43">
        <v>329.42</v>
      </c>
      <c r="I153" s="44">
        <v>334.85</v>
      </c>
      <c r="J153" s="53">
        <v>340.27</v>
      </c>
      <c r="K153" s="53">
        <v>345.7</v>
      </c>
      <c r="L153" s="44">
        <v>351.12</v>
      </c>
      <c r="M153" s="44">
        <v>356.54</v>
      </c>
      <c r="N153" s="44">
        <v>361.97</v>
      </c>
      <c r="O153" s="59">
        <v>367.39</v>
      </c>
      <c r="P153" s="65">
        <v>372.81</v>
      </c>
      <c r="Q153" s="65">
        <v>378.24</v>
      </c>
      <c r="R153" s="65">
        <v>383.66</v>
      </c>
      <c r="S153" s="65">
        <v>389.08</v>
      </c>
      <c r="T153" s="65">
        <v>394.51</v>
      </c>
      <c r="U153" s="65">
        <v>399.93</v>
      </c>
      <c r="V153" s="24">
        <v>329.86</v>
      </c>
      <c r="W153" s="24">
        <v>335.28</v>
      </c>
      <c r="X153" s="24">
        <v>340.71</v>
      </c>
      <c r="Y153" s="24">
        <v>346.13</v>
      </c>
      <c r="Z153" s="24">
        <v>248.51</v>
      </c>
      <c r="AA153" s="24">
        <v>243.08</v>
      </c>
      <c r="AB153" s="24">
        <v>237.66</v>
      </c>
      <c r="AC153" s="24">
        <v>232.23</v>
      </c>
      <c r="AD153" s="24">
        <v>226.81</v>
      </c>
      <c r="AE153" s="5">
        <v>149</v>
      </c>
      <c r="AF153" s="43">
        <v>174.98</v>
      </c>
      <c r="AG153" s="43">
        <v>178.81</v>
      </c>
      <c r="AH153" s="43">
        <v>182.64</v>
      </c>
      <c r="AI153" s="43">
        <v>186.47</v>
      </c>
      <c r="AJ153" s="43">
        <v>190.3</v>
      </c>
      <c r="AK153" s="43">
        <v>194.13</v>
      </c>
      <c r="AL153" s="43">
        <v>197.96</v>
      </c>
      <c r="AM153" s="43">
        <v>201.79</v>
      </c>
      <c r="AN153" s="44">
        <v>205.62</v>
      </c>
      <c r="AO153" s="53">
        <v>209.45</v>
      </c>
      <c r="AP153" s="53">
        <v>213.28</v>
      </c>
      <c r="AQ153" s="44">
        <v>217.11</v>
      </c>
      <c r="AR153" s="44">
        <v>220.93</v>
      </c>
      <c r="AS153" s="72">
        <v>224.76</v>
      </c>
      <c r="AT153" s="59">
        <v>228.59</v>
      </c>
      <c r="AU153" s="65">
        <v>232.42</v>
      </c>
      <c r="AV153" s="65">
        <v>236.25</v>
      </c>
      <c r="AW153" s="65">
        <v>240.08</v>
      </c>
      <c r="AX153" s="65">
        <v>243.91</v>
      </c>
      <c r="AY153" s="65">
        <v>247.74</v>
      </c>
      <c r="AZ153" s="65">
        <v>251.57</v>
      </c>
      <c r="BA153" s="24">
        <v>217.52</v>
      </c>
      <c r="BB153" s="24">
        <v>221.35</v>
      </c>
      <c r="BC153" s="24">
        <v>225.18</v>
      </c>
      <c r="BD153" s="24">
        <v>229.01</v>
      </c>
      <c r="BE153" s="24">
        <v>160.08000000000001</v>
      </c>
      <c r="BF153" s="24">
        <v>156.26</v>
      </c>
      <c r="BG153" s="24">
        <v>152.43</v>
      </c>
      <c r="BH153" s="24">
        <v>148.6</v>
      </c>
      <c r="BI153" s="24">
        <v>144.77000000000001</v>
      </c>
    </row>
    <row r="154" spans="1:61" x14ac:dyDescent="0.45">
      <c r="A154" s="43">
        <v>293.70999999999998</v>
      </c>
      <c r="B154" s="43">
        <v>299.17</v>
      </c>
      <c r="C154" s="43">
        <v>304.63</v>
      </c>
      <c r="D154" s="43">
        <v>310.08999999999997</v>
      </c>
      <c r="E154" s="43">
        <v>315.55</v>
      </c>
      <c r="F154" s="43">
        <v>321.01</v>
      </c>
      <c r="G154" s="43">
        <v>326.47000000000003</v>
      </c>
      <c r="H154" s="43">
        <v>331.93</v>
      </c>
      <c r="I154" s="44">
        <v>337.39</v>
      </c>
      <c r="J154" s="53">
        <v>342.85</v>
      </c>
      <c r="K154" s="53">
        <v>348.31</v>
      </c>
      <c r="L154" s="44">
        <v>353.77</v>
      </c>
      <c r="M154" s="44">
        <v>359.23</v>
      </c>
      <c r="N154" s="44">
        <v>364.69</v>
      </c>
      <c r="O154" s="59">
        <v>370.15</v>
      </c>
      <c r="P154" s="65">
        <v>375.61</v>
      </c>
      <c r="Q154" s="65">
        <v>381.07</v>
      </c>
      <c r="R154" s="65">
        <v>386.53</v>
      </c>
      <c r="S154" s="65">
        <v>391.99</v>
      </c>
      <c r="T154" s="65">
        <v>397.45</v>
      </c>
      <c r="U154" s="65">
        <v>402.91</v>
      </c>
      <c r="V154" s="24">
        <v>332.25</v>
      </c>
      <c r="W154" s="24">
        <v>337.71</v>
      </c>
      <c r="X154" s="24">
        <v>343.17</v>
      </c>
      <c r="Y154" s="24">
        <v>348.63</v>
      </c>
      <c r="Z154" s="24">
        <v>250.35</v>
      </c>
      <c r="AA154" s="24">
        <v>244.89</v>
      </c>
      <c r="AB154" s="24">
        <v>239.43</v>
      </c>
      <c r="AC154" s="24">
        <v>233.97</v>
      </c>
      <c r="AD154" s="24">
        <v>228.51</v>
      </c>
      <c r="AE154" s="5">
        <v>150</v>
      </c>
      <c r="AF154" s="43">
        <v>176.14</v>
      </c>
      <c r="AG154" s="43">
        <v>179.99</v>
      </c>
      <c r="AH154" s="43">
        <v>183.85</v>
      </c>
      <c r="AI154" s="43">
        <v>187.7</v>
      </c>
      <c r="AJ154" s="43">
        <v>191.56</v>
      </c>
      <c r="AK154" s="43">
        <v>195.41</v>
      </c>
      <c r="AL154" s="43">
        <v>199.27</v>
      </c>
      <c r="AM154" s="43">
        <v>203.12</v>
      </c>
      <c r="AN154" s="44">
        <v>206.98</v>
      </c>
      <c r="AO154" s="53">
        <v>210.83</v>
      </c>
      <c r="AP154" s="53">
        <v>214.69</v>
      </c>
      <c r="AQ154" s="44">
        <v>218.54</v>
      </c>
      <c r="AR154" s="44">
        <v>222.4</v>
      </c>
      <c r="AS154" s="72">
        <v>226.25</v>
      </c>
      <c r="AT154" s="59">
        <v>230.11</v>
      </c>
      <c r="AU154" s="65">
        <v>233.96</v>
      </c>
      <c r="AV154" s="65">
        <v>237.82</v>
      </c>
      <c r="AW154" s="65">
        <v>241.67</v>
      </c>
      <c r="AX154" s="65">
        <v>245.53</v>
      </c>
      <c r="AY154" s="65">
        <v>249.38</v>
      </c>
      <c r="AZ154" s="65">
        <v>253.24</v>
      </c>
      <c r="BA154" s="24">
        <v>218.97</v>
      </c>
      <c r="BB154" s="24">
        <v>222.83</v>
      </c>
      <c r="BC154" s="24">
        <v>226.68</v>
      </c>
      <c r="BD154" s="24">
        <v>230.54</v>
      </c>
      <c r="BE154" s="24">
        <v>161.15</v>
      </c>
      <c r="BF154" s="24">
        <v>157.29</v>
      </c>
      <c r="BG154" s="24">
        <v>153.44</v>
      </c>
      <c r="BH154" s="24">
        <v>149.58000000000001</v>
      </c>
      <c r="BI154" s="24">
        <v>145.72999999999999</v>
      </c>
    </row>
    <row r="155" spans="1:61" x14ac:dyDescent="0.45">
      <c r="A155" s="43">
        <v>295.60000000000002</v>
      </c>
      <c r="B155" s="43">
        <v>301.10000000000002</v>
      </c>
      <c r="C155" s="43">
        <v>306.58999999999997</v>
      </c>
      <c r="D155" s="43">
        <v>312.08999999999997</v>
      </c>
      <c r="E155" s="43">
        <v>317.58999999999997</v>
      </c>
      <c r="F155" s="43">
        <v>323.08</v>
      </c>
      <c r="G155" s="43">
        <v>328.58</v>
      </c>
      <c r="H155" s="43">
        <v>334.08</v>
      </c>
      <c r="I155" s="44">
        <v>339.57</v>
      </c>
      <c r="J155" s="53">
        <v>345.07</v>
      </c>
      <c r="K155" s="53">
        <v>350.56</v>
      </c>
      <c r="L155" s="44">
        <v>356.06</v>
      </c>
      <c r="M155" s="44">
        <v>361.56</v>
      </c>
      <c r="N155" s="44">
        <v>367.05</v>
      </c>
      <c r="O155" s="59">
        <v>372.55</v>
      </c>
      <c r="P155" s="65">
        <v>378.05</v>
      </c>
      <c r="Q155" s="65">
        <v>383.54</v>
      </c>
      <c r="R155" s="65">
        <v>389.04</v>
      </c>
      <c r="S155" s="65">
        <v>394.54</v>
      </c>
      <c r="T155" s="65">
        <v>400.03</v>
      </c>
      <c r="U155" s="65">
        <v>405.53</v>
      </c>
      <c r="V155" s="24">
        <v>334.42</v>
      </c>
      <c r="W155" s="24">
        <v>339.92</v>
      </c>
      <c r="X155" s="24">
        <v>345.41</v>
      </c>
      <c r="Y155" s="24">
        <v>350.91</v>
      </c>
      <c r="Z155" s="24">
        <v>251.97</v>
      </c>
      <c r="AA155" s="24">
        <v>246.48</v>
      </c>
      <c r="AB155" s="24">
        <v>240.98</v>
      </c>
      <c r="AC155" s="24">
        <v>235.49</v>
      </c>
      <c r="AD155" s="24">
        <v>229.99</v>
      </c>
      <c r="AE155" s="5">
        <v>151</v>
      </c>
      <c r="AF155" s="43">
        <v>177.3</v>
      </c>
      <c r="AG155" s="43">
        <v>181.18</v>
      </c>
      <c r="AH155" s="43">
        <v>185.06</v>
      </c>
      <c r="AI155" s="43">
        <v>188.94</v>
      </c>
      <c r="AJ155" s="43">
        <v>192.82</v>
      </c>
      <c r="AK155" s="43">
        <v>196.7</v>
      </c>
      <c r="AL155" s="43">
        <v>200.58</v>
      </c>
      <c r="AM155" s="43">
        <v>204.46</v>
      </c>
      <c r="AN155" s="44">
        <v>208.34</v>
      </c>
      <c r="AO155" s="53">
        <v>212.22</v>
      </c>
      <c r="AP155" s="53">
        <v>216.1</v>
      </c>
      <c r="AQ155" s="44">
        <v>219.98</v>
      </c>
      <c r="AR155" s="44">
        <v>223.86</v>
      </c>
      <c r="AS155" s="72">
        <v>227.75</v>
      </c>
      <c r="AT155" s="59">
        <v>231.63</v>
      </c>
      <c r="AU155" s="65">
        <v>235.51</v>
      </c>
      <c r="AV155" s="65">
        <v>239.39</v>
      </c>
      <c r="AW155" s="65">
        <v>243.27</v>
      </c>
      <c r="AX155" s="65">
        <v>247.15</v>
      </c>
      <c r="AY155" s="65">
        <v>251.03</v>
      </c>
      <c r="AZ155" s="65">
        <v>254.91</v>
      </c>
      <c r="BA155" s="24">
        <v>220.42</v>
      </c>
      <c r="BB155" s="24">
        <v>224.3</v>
      </c>
      <c r="BC155" s="24">
        <v>228.18</v>
      </c>
      <c r="BD155" s="24">
        <v>232.06</v>
      </c>
      <c r="BE155" s="24">
        <v>162.21</v>
      </c>
      <c r="BF155" s="24">
        <v>158.33000000000001</v>
      </c>
      <c r="BG155" s="24">
        <v>154.44999999999999</v>
      </c>
      <c r="BH155" s="24">
        <v>150.57</v>
      </c>
      <c r="BI155" s="24">
        <v>146.69</v>
      </c>
    </row>
    <row r="156" spans="1:61" x14ac:dyDescent="0.45">
      <c r="A156" s="43">
        <v>297.49</v>
      </c>
      <c r="B156" s="43">
        <v>303.02999999999997</v>
      </c>
      <c r="C156" s="43">
        <v>308.56</v>
      </c>
      <c r="D156" s="43">
        <v>314.08999999999997</v>
      </c>
      <c r="E156" s="43">
        <v>319.62</v>
      </c>
      <c r="F156" s="43">
        <v>325.16000000000003</v>
      </c>
      <c r="G156" s="43">
        <v>330.69</v>
      </c>
      <c r="H156" s="43">
        <v>336.22</v>
      </c>
      <c r="I156" s="44">
        <v>341.75</v>
      </c>
      <c r="J156" s="53">
        <v>347.29</v>
      </c>
      <c r="K156" s="53">
        <v>352.82</v>
      </c>
      <c r="L156" s="44">
        <v>358.35</v>
      </c>
      <c r="M156" s="44">
        <v>363.89</v>
      </c>
      <c r="N156" s="44">
        <v>369.42</v>
      </c>
      <c r="O156" s="59">
        <v>374.95</v>
      </c>
      <c r="P156" s="65">
        <v>380.48</v>
      </c>
      <c r="Q156" s="65">
        <v>386.02</v>
      </c>
      <c r="R156" s="65">
        <v>391.55</v>
      </c>
      <c r="S156" s="65">
        <v>397.08</v>
      </c>
      <c r="T156" s="65">
        <v>402.62</v>
      </c>
      <c r="U156" s="65">
        <v>408.15</v>
      </c>
      <c r="V156" s="24">
        <v>336.6</v>
      </c>
      <c r="W156" s="24">
        <v>342.13</v>
      </c>
      <c r="X156" s="24">
        <v>347.66</v>
      </c>
      <c r="Y156" s="24">
        <v>353.2</v>
      </c>
      <c r="Z156" s="24">
        <v>253.6</v>
      </c>
      <c r="AA156" s="24">
        <v>248.07</v>
      </c>
      <c r="AB156" s="24">
        <v>242.54</v>
      </c>
      <c r="AC156" s="24">
        <v>237.01</v>
      </c>
      <c r="AD156" s="24">
        <v>231.47</v>
      </c>
      <c r="AE156" s="5">
        <v>152</v>
      </c>
      <c r="AF156" s="43">
        <v>178.46</v>
      </c>
      <c r="AG156" s="43">
        <v>182.36</v>
      </c>
      <c r="AH156" s="43">
        <v>186.27</v>
      </c>
      <c r="AI156" s="43">
        <v>190.17</v>
      </c>
      <c r="AJ156" s="43">
        <v>194.08</v>
      </c>
      <c r="AK156" s="43">
        <v>197.99</v>
      </c>
      <c r="AL156" s="43">
        <v>201.89</v>
      </c>
      <c r="AM156" s="43">
        <v>205.8</v>
      </c>
      <c r="AN156" s="44">
        <v>209.71</v>
      </c>
      <c r="AO156" s="53">
        <v>213.61</v>
      </c>
      <c r="AP156" s="53">
        <v>217.52</v>
      </c>
      <c r="AQ156" s="44">
        <v>221.43</v>
      </c>
      <c r="AR156" s="44">
        <v>225.33</v>
      </c>
      <c r="AS156" s="72">
        <v>229.24</v>
      </c>
      <c r="AT156" s="59">
        <v>233.14</v>
      </c>
      <c r="AU156" s="65">
        <v>237.05</v>
      </c>
      <c r="AV156" s="65">
        <v>240.96</v>
      </c>
      <c r="AW156" s="65">
        <v>244.86</v>
      </c>
      <c r="AX156" s="65">
        <v>248.77</v>
      </c>
      <c r="AY156" s="65">
        <v>252.68</v>
      </c>
      <c r="AZ156" s="65">
        <v>256.58</v>
      </c>
      <c r="BA156" s="24">
        <v>221.87</v>
      </c>
      <c r="BB156" s="24">
        <v>225.78</v>
      </c>
      <c r="BC156" s="24">
        <v>229.68</v>
      </c>
      <c r="BD156" s="24">
        <v>233.59</v>
      </c>
      <c r="BE156" s="24">
        <v>163.28</v>
      </c>
      <c r="BF156" s="24">
        <v>159.37</v>
      </c>
      <c r="BG156" s="24">
        <v>155.46</v>
      </c>
      <c r="BH156" s="24">
        <v>151.56</v>
      </c>
      <c r="BI156" s="24">
        <v>147.65</v>
      </c>
    </row>
    <row r="157" spans="1:61" x14ac:dyDescent="0.45">
      <c r="A157" s="43">
        <v>299.39</v>
      </c>
      <c r="B157" s="43">
        <v>304.95999999999998</v>
      </c>
      <c r="C157" s="43">
        <v>310.43</v>
      </c>
      <c r="D157" s="43">
        <v>316.10000000000002</v>
      </c>
      <c r="E157" s="43">
        <v>321.67</v>
      </c>
      <c r="F157" s="43">
        <v>327.23</v>
      </c>
      <c r="G157" s="43">
        <v>332.8</v>
      </c>
      <c r="H157" s="43">
        <v>338.37</v>
      </c>
      <c r="I157" s="44">
        <v>343.94</v>
      </c>
      <c r="J157" s="53">
        <v>349.51</v>
      </c>
      <c r="K157" s="53">
        <v>355.08</v>
      </c>
      <c r="L157" s="44">
        <v>360.65</v>
      </c>
      <c r="M157" s="44">
        <v>366.22</v>
      </c>
      <c r="N157" s="44">
        <v>371.79</v>
      </c>
      <c r="O157" s="59">
        <v>377.36</v>
      </c>
      <c r="P157" s="65">
        <v>382.93</v>
      </c>
      <c r="Q157" s="65">
        <v>388.5</v>
      </c>
      <c r="R157" s="65">
        <v>394.06</v>
      </c>
      <c r="S157" s="65">
        <v>399.63</v>
      </c>
      <c r="T157" s="65">
        <v>405.2</v>
      </c>
      <c r="U157" s="65">
        <v>410.77</v>
      </c>
      <c r="V157" s="24">
        <v>338.78</v>
      </c>
      <c r="W157" s="24">
        <v>344.34</v>
      </c>
      <c r="X157" s="24">
        <v>349.91</v>
      </c>
      <c r="Y157" s="24">
        <v>355.48</v>
      </c>
      <c r="Z157" s="24">
        <v>255.24</v>
      </c>
      <c r="AA157" s="24">
        <v>249.67</v>
      </c>
      <c r="AB157" s="24">
        <v>244.1</v>
      </c>
      <c r="AC157" s="24">
        <v>238.53</v>
      </c>
      <c r="AD157" s="24">
        <v>232.96</v>
      </c>
      <c r="AE157" s="5">
        <v>153</v>
      </c>
      <c r="AF157" s="43">
        <v>179.61</v>
      </c>
      <c r="AG157" s="43">
        <v>183.55</v>
      </c>
      <c r="AH157" s="43">
        <v>187.48</v>
      </c>
      <c r="AI157" s="43">
        <v>191.41</v>
      </c>
      <c r="AJ157" s="43">
        <v>195.34</v>
      </c>
      <c r="AK157" s="43">
        <v>199.28</v>
      </c>
      <c r="AL157" s="43">
        <v>203.21</v>
      </c>
      <c r="AM157" s="43">
        <v>207.14</v>
      </c>
      <c r="AN157" s="44">
        <v>211.07</v>
      </c>
      <c r="AO157" s="53">
        <v>215</v>
      </c>
      <c r="AP157" s="53">
        <v>218.94</v>
      </c>
      <c r="AQ157" s="44">
        <v>222.87</v>
      </c>
      <c r="AR157" s="44">
        <v>226.8</v>
      </c>
      <c r="AS157" s="72">
        <v>230.73</v>
      </c>
      <c r="AT157" s="59">
        <v>234.66</v>
      </c>
      <c r="AU157" s="65">
        <v>238.6</v>
      </c>
      <c r="AV157" s="65">
        <v>242.53</v>
      </c>
      <c r="AW157" s="65">
        <v>246.46</v>
      </c>
      <c r="AX157" s="65">
        <v>250.39</v>
      </c>
      <c r="AY157" s="65">
        <v>254.32</v>
      </c>
      <c r="AZ157" s="65">
        <v>258.26</v>
      </c>
      <c r="BA157" s="24">
        <v>223.32</v>
      </c>
      <c r="BB157" s="24">
        <v>227.25</v>
      </c>
      <c r="BC157" s="24">
        <v>231.19</v>
      </c>
      <c r="BD157" s="24">
        <v>235.12</v>
      </c>
      <c r="BE157" s="24">
        <v>164.34</v>
      </c>
      <c r="BF157" s="24">
        <v>160.41</v>
      </c>
      <c r="BG157" s="24">
        <v>156.47999999999999</v>
      </c>
      <c r="BH157" s="24">
        <v>152.55000000000001</v>
      </c>
      <c r="BI157" s="24">
        <v>148.61000000000001</v>
      </c>
    </row>
    <row r="158" spans="1:61" x14ac:dyDescent="0.45">
      <c r="A158" s="43">
        <v>301.29000000000002</v>
      </c>
      <c r="B158" s="43">
        <v>306.89</v>
      </c>
      <c r="C158" s="43">
        <v>312.5</v>
      </c>
      <c r="D158" s="43">
        <v>318.11</v>
      </c>
      <c r="E158" s="43">
        <v>323.70999999999998</v>
      </c>
      <c r="F158" s="43">
        <v>329.32</v>
      </c>
      <c r="G158" s="43">
        <v>334.92</v>
      </c>
      <c r="H158" s="43">
        <v>340.53</v>
      </c>
      <c r="I158" s="44">
        <v>346.13</v>
      </c>
      <c r="J158" s="53">
        <v>351.74</v>
      </c>
      <c r="K158" s="53">
        <v>357.34</v>
      </c>
      <c r="L158" s="44">
        <v>362.95</v>
      </c>
      <c r="M158" s="44">
        <v>368.56</v>
      </c>
      <c r="N158" s="44">
        <v>374.16</v>
      </c>
      <c r="O158" s="59">
        <v>379.77</v>
      </c>
      <c r="P158" s="65">
        <v>385.37</v>
      </c>
      <c r="Q158" s="65">
        <v>390.98</v>
      </c>
      <c r="R158" s="65">
        <v>396.58</v>
      </c>
      <c r="S158" s="65">
        <v>402.19</v>
      </c>
      <c r="T158" s="65">
        <v>407.79</v>
      </c>
      <c r="U158" s="65">
        <v>413.4</v>
      </c>
      <c r="V158" s="24">
        <v>340.96</v>
      </c>
      <c r="W158" s="24">
        <v>346.56</v>
      </c>
      <c r="X158" s="24">
        <v>352.17</v>
      </c>
      <c r="Y158" s="24">
        <v>357.77</v>
      </c>
      <c r="Z158" s="24">
        <v>256.87</v>
      </c>
      <c r="AA158" s="24">
        <v>251.27</v>
      </c>
      <c r="AB158" s="24">
        <v>245.66</v>
      </c>
      <c r="AC158" s="24">
        <v>240.06</v>
      </c>
      <c r="AD158" s="24">
        <v>234.45</v>
      </c>
      <c r="AE158" s="5">
        <v>154</v>
      </c>
      <c r="AF158" s="43">
        <v>180.78</v>
      </c>
      <c r="AG158" s="43">
        <v>184.73</v>
      </c>
      <c r="AH158" s="43">
        <v>188.69</v>
      </c>
      <c r="AI158" s="43">
        <v>192.65</v>
      </c>
      <c r="AJ158" s="43">
        <v>196.61</v>
      </c>
      <c r="AK158" s="43">
        <v>200.56</v>
      </c>
      <c r="AL158" s="43">
        <v>204.52</v>
      </c>
      <c r="AM158" s="43">
        <v>208.48</v>
      </c>
      <c r="AN158" s="44">
        <v>212.44</v>
      </c>
      <c r="AO158" s="53">
        <v>216.4</v>
      </c>
      <c r="AP158" s="53">
        <v>220.35</v>
      </c>
      <c r="AQ158" s="44">
        <v>224.31</v>
      </c>
      <c r="AR158" s="44">
        <v>228.27</v>
      </c>
      <c r="AS158" s="72">
        <v>232.23</v>
      </c>
      <c r="AT158" s="59">
        <v>236.18</v>
      </c>
      <c r="AU158" s="65">
        <v>240.14</v>
      </c>
      <c r="AV158" s="65">
        <v>244.1</v>
      </c>
      <c r="AW158" s="65">
        <v>248.06</v>
      </c>
      <c r="AX158" s="65">
        <v>252.02</v>
      </c>
      <c r="AY158" s="65">
        <v>255.97</v>
      </c>
      <c r="AZ158" s="65">
        <v>259.93</v>
      </c>
      <c r="BA158" s="24">
        <v>224.77</v>
      </c>
      <c r="BB158" s="24">
        <v>228.73</v>
      </c>
      <c r="BC158" s="24">
        <v>232.69</v>
      </c>
      <c r="BD158" s="24">
        <v>236.65</v>
      </c>
      <c r="BE158" s="24">
        <v>165.41</v>
      </c>
      <c r="BF158" s="24">
        <v>161.44999999999999</v>
      </c>
      <c r="BG158" s="24">
        <v>157.49</v>
      </c>
      <c r="BH158" s="24">
        <v>153.53</v>
      </c>
      <c r="BI158" s="24">
        <v>149.58000000000001</v>
      </c>
    </row>
    <row r="159" spans="1:61" x14ac:dyDescent="0.45">
      <c r="A159" s="43">
        <v>303.19</v>
      </c>
      <c r="B159" s="43">
        <v>308.83999999999997</v>
      </c>
      <c r="C159" s="43">
        <v>314.48</v>
      </c>
      <c r="D159" s="43">
        <v>320.12</v>
      </c>
      <c r="E159" s="43">
        <v>325.76</v>
      </c>
      <c r="F159" s="43">
        <v>331.4</v>
      </c>
      <c r="G159" s="43">
        <v>337.05</v>
      </c>
      <c r="H159" s="43">
        <v>342.69</v>
      </c>
      <c r="I159" s="44">
        <v>348.33</v>
      </c>
      <c r="J159" s="53">
        <v>353.97</v>
      </c>
      <c r="K159" s="53">
        <v>359.61</v>
      </c>
      <c r="L159" s="44">
        <v>365.26</v>
      </c>
      <c r="M159" s="44">
        <v>370.9</v>
      </c>
      <c r="N159" s="44">
        <v>376.54</v>
      </c>
      <c r="O159" s="59">
        <v>382.18</v>
      </c>
      <c r="P159" s="65">
        <v>387.82</v>
      </c>
      <c r="Q159" s="65">
        <v>393.47</v>
      </c>
      <c r="R159" s="65">
        <v>399.11</v>
      </c>
      <c r="S159" s="65">
        <v>404.75</v>
      </c>
      <c r="T159" s="65">
        <v>410.39</v>
      </c>
      <c r="U159" s="65">
        <v>416.03</v>
      </c>
      <c r="V159" s="24">
        <v>343.14</v>
      </c>
      <c r="W159" s="24">
        <v>348.78</v>
      </c>
      <c r="X159" s="24">
        <v>354.42</v>
      </c>
      <c r="Y159" s="24">
        <v>360.07</v>
      </c>
      <c r="Z159" s="24">
        <v>258.51</v>
      </c>
      <c r="AA159" s="24">
        <v>252.87</v>
      </c>
      <c r="AB159" s="24">
        <v>247.23</v>
      </c>
      <c r="AC159" s="24">
        <v>241.58</v>
      </c>
      <c r="AD159" s="24">
        <v>235.94</v>
      </c>
      <c r="AE159" s="5">
        <v>155</v>
      </c>
      <c r="AF159" s="43">
        <v>181.94</v>
      </c>
      <c r="AG159" s="43">
        <v>185.92</v>
      </c>
      <c r="AH159" s="43">
        <v>189.9</v>
      </c>
      <c r="AI159" s="43">
        <v>193.89</v>
      </c>
      <c r="AJ159" s="43">
        <v>197.87</v>
      </c>
      <c r="AK159" s="43">
        <v>201.86</v>
      </c>
      <c r="AL159" s="43">
        <v>205.84</v>
      </c>
      <c r="AM159" s="43">
        <v>209.82</v>
      </c>
      <c r="AN159" s="44">
        <v>213.81</v>
      </c>
      <c r="AO159" s="53">
        <v>217.79</v>
      </c>
      <c r="AP159" s="53">
        <v>221.77</v>
      </c>
      <c r="AQ159" s="44">
        <v>225.76</v>
      </c>
      <c r="AR159" s="44">
        <v>229.74</v>
      </c>
      <c r="AS159" s="72">
        <v>233.72</v>
      </c>
      <c r="AT159" s="59">
        <v>237.71</v>
      </c>
      <c r="AU159" s="65">
        <v>241.69</v>
      </c>
      <c r="AV159" s="65">
        <v>245.67</v>
      </c>
      <c r="AW159" s="65">
        <v>249.66</v>
      </c>
      <c r="AX159" s="65">
        <v>253.64</v>
      </c>
      <c r="AY159" s="65">
        <v>257.62</v>
      </c>
      <c r="AZ159" s="65">
        <v>261.61</v>
      </c>
      <c r="BA159" s="24">
        <v>226.23</v>
      </c>
      <c r="BB159" s="24">
        <v>230.21</v>
      </c>
      <c r="BC159" s="24">
        <v>234.19</v>
      </c>
      <c r="BD159" s="24">
        <v>238.18</v>
      </c>
      <c r="BE159" s="24">
        <v>166.47</v>
      </c>
      <c r="BF159" s="24">
        <v>162.49</v>
      </c>
      <c r="BG159" s="24">
        <v>158.51</v>
      </c>
      <c r="BH159" s="24">
        <v>154.52000000000001</v>
      </c>
      <c r="BI159" s="24">
        <v>150.54</v>
      </c>
    </row>
    <row r="160" spans="1:61" x14ac:dyDescent="0.45">
      <c r="A160" s="43">
        <v>305.10000000000002</v>
      </c>
      <c r="B160" s="43">
        <v>310.77999999999997</v>
      </c>
      <c r="C160" s="43">
        <v>316.45999999999998</v>
      </c>
      <c r="D160" s="43">
        <v>322.14</v>
      </c>
      <c r="E160" s="43">
        <v>327.82</v>
      </c>
      <c r="F160" s="43">
        <v>333.49</v>
      </c>
      <c r="G160" s="43">
        <v>339.17</v>
      </c>
      <c r="H160" s="43">
        <v>344.85</v>
      </c>
      <c r="I160" s="44">
        <v>350.53</v>
      </c>
      <c r="J160" s="53">
        <v>356.21</v>
      </c>
      <c r="K160" s="53">
        <v>361.89</v>
      </c>
      <c r="L160" s="44">
        <v>367.57</v>
      </c>
      <c r="M160" s="44">
        <v>373.24</v>
      </c>
      <c r="N160" s="44">
        <v>378.92</v>
      </c>
      <c r="O160" s="59">
        <v>384.6</v>
      </c>
      <c r="P160" s="65">
        <v>390.28</v>
      </c>
      <c r="Q160" s="65">
        <v>395.96</v>
      </c>
      <c r="R160" s="65">
        <v>401.64</v>
      </c>
      <c r="S160" s="65">
        <v>407.31</v>
      </c>
      <c r="T160" s="65">
        <v>412.99</v>
      </c>
      <c r="U160" s="65">
        <v>418.67</v>
      </c>
      <c r="V160" s="24">
        <v>345.33</v>
      </c>
      <c r="W160" s="24">
        <v>351.01</v>
      </c>
      <c r="X160" s="24">
        <v>356.68</v>
      </c>
      <c r="Y160" s="24">
        <v>362.36</v>
      </c>
      <c r="Z160" s="24">
        <v>260.14999999999998</v>
      </c>
      <c r="AA160" s="24">
        <v>254.47</v>
      </c>
      <c r="AB160" s="24">
        <v>248.79</v>
      </c>
      <c r="AC160" s="24">
        <v>243.12</v>
      </c>
      <c r="AD160" s="24">
        <v>237.44</v>
      </c>
      <c r="AE160" s="5">
        <v>156</v>
      </c>
      <c r="AF160" s="43">
        <v>183.1</v>
      </c>
      <c r="AG160" s="43">
        <v>187.11</v>
      </c>
      <c r="AH160" s="43">
        <v>191.12</v>
      </c>
      <c r="AI160" s="43">
        <v>195.13</v>
      </c>
      <c r="AJ160" s="43">
        <v>199.14</v>
      </c>
      <c r="AK160" s="43">
        <v>203.15</v>
      </c>
      <c r="AL160" s="43">
        <v>207.16</v>
      </c>
      <c r="AM160" s="43">
        <v>211.17</v>
      </c>
      <c r="AN160" s="44">
        <v>215.17</v>
      </c>
      <c r="AO160" s="53">
        <v>219.18</v>
      </c>
      <c r="AP160" s="53">
        <v>223.19</v>
      </c>
      <c r="AQ160" s="44">
        <v>227.2</v>
      </c>
      <c r="AR160" s="44">
        <v>231.21</v>
      </c>
      <c r="AS160" s="72">
        <v>235.22</v>
      </c>
      <c r="AT160" s="59">
        <v>239.23</v>
      </c>
      <c r="AU160" s="65">
        <v>243.24</v>
      </c>
      <c r="AV160" s="65">
        <v>247.25</v>
      </c>
      <c r="AW160" s="65">
        <v>251.26</v>
      </c>
      <c r="AX160" s="65">
        <v>255.27</v>
      </c>
      <c r="AY160" s="65">
        <v>259.27999999999997</v>
      </c>
      <c r="AZ160" s="65">
        <v>263.29000000000002</v>
      </c>
      <c r="BA160" s="24">
        <v>227.68</v>
      </c>
      <c r="BB160" s="24">
        <v>231.69</v>
      </c>
      <c r="BC160" s="24">
        <v>235.7</v>
      </c>
      <c r="BD160" s="24">
        <v>239.71</v>
      </c>
      <c r="BE160" s="24">
        <v>167.54</v>
      </c>
      <c r="BF160" s="24">
        <v>163.53</v>
      </c>
      <c r="BG160" s="24">
        <v>159.52000000000001</v>
      </c>
      <c r="BH160" s="24">
        <v>155.51</v>
      </c>
      <c r="BI160" s="24">
        <v>151.5</v>
      </c>
    </row>
    <row r="161" spans="1:61" x14ac:dyDescent="0.45">
      <c r="A161" s="43">
        <v>307.02</v>
      </c>
      <c r="B161" s="43">
        <v>312.73</v>
      </c>
      <c r="C161" s="43">
        <v>318.45</v>
      </c>
      <c r="D161" s="43">
        <v>324.16000000000003</v>
      </c>
      <c r="E161" s="43">
        <v>329.88</v>
      </c>
      <c r="F161" s="43">
        <v>335.59</v>
      </c>
      <c r="G161" s="43">
        <v>341.31</v>
      </c>
      <c r="H161" s="43">
        <v>347.02</v>
      </c>
      <c r="I161" s="44">
        <v>352.74</v>
      </c>
      <c r="J161" s="53">
        <v>358.45</v>
      </c>
      <c r="K161" s="53">
        <v>364.16</v>
      </c>
      <c r="L161" s="44">
        <v>369.88</v>
      </c>
      <c r="M161" s="44">
        <v>375.59</v>
      </c>
      <c r="N161" s="44">
        <v>381.31</v>
      </c>
      <c r="O161" s="59">
        <v>387.02</v>
      </c>
      <c r="P161" s="65">
        <v>392.74</v>
      </c>
      <c r="Q161" s="65">
        <v>398.45</v>
      </c>
      <c r="R161" s="65">
        <v>404.17</v>
      </c>
      <c r="S161" s="65">
        <v>409.88</v>
      </c>
      <c r="T161" s="65">
        <v>415.6</v>
      </c>
      <c r="U161" s="65">
        <v>421.31</v>
      </c>
      <c r="V161" s="24">
        <v>347.52</v>
      </c>
      <c r="W161" s="24">
        <v>353.23</v>
      </c>
      <c r="X161" s="24">
        <v>358.95</v>
      </c>
      <c r="Y161" s="24">
        <v>364.66</v>
      </c>
      <c r="Z161" s="24">
        <v>261.79000000000002</v>
      </c>
      <c r="AA161" s="24">
        <v>256.08</v>
      </c>
      <c r="AB161" s="24">
        <v>250.36</v>
      </c>
      <c r="AC161" s="24">
        <v>244.65</v>
      </c>
      <c r="AD161" s="24">
        <v>238.94</v>
      </c>
      <c r="AE161" s="5">
        <v>157</v>
      </c>
      <c r="AF161" s="43">
        <v>184.27</v>
      </c>
      <c r="AG161" s="43">
        <v>188.3</v>
      </c>
      <c r="AH161" s="43">
        <v>192.34</v>
      </c>
      <c r="AI161" s="43">
        <v>196.37</v>
      </c>
      <c r="AJ161" s="43">
        <v>200.41</v>
      </c>
      <c r="AK161" s="43">
        <v>204.44</v>
      </c>
      <c r="AL161" s="43">
        <v>208.48</v>
      </c>
      <c r="AM161" s="43">
        <v>212.51</v>
      </c>
      <c r="AN161" s="44">
        <v>216.55</v>
      </c>
      <c r="AO161" s="53">
        <v>220.58</v>
      </c>
      <c r="AP161" s="53">
        <v>224.62</v>
      </c>
      <c r="AQ161" s="44">
        <v>228.65</v>
      </c>
      <c r="AR161" s="44">
        <v>232.68</v>
      </c>
      <c r="AS161" s="72">
        <v>236.72</v>
      </c>
      <c r="AT161" s="59">
        <v>240.75</v>
      </c>
      <c r="AU161" s="65">
        <v>244.79</v>
      </c>
      <c r="AV161" s="65">
        <v>248.82</v>
      </c>
      <c r="AW161" s="65">
        <v>252.86</v>
      </c>
      <c r="AX161" s="65">
        <v>256.89</v>
      </c>
      <c r="AY161" s="65">
        <v>260.93</v>
      </c>
      <c r="AZ161" s="65">
        <v>264.95999999999998</v>
      </c>
      <c r="BA161" s="24">
        <v>229.13</v>
      </c>
      <c r="BB161" s="24">
        <v>233.17</v>
      </c>
      <c r="BC161" s="24">
        <v>237.2</v>
      </c>
      <c r="BD161" s="24">
        <v>241.24</v>
      </c>
      <c r="BE161" s="24">
        <v>168.61</v>
      </c>
      <c r="BF161" s="24">
        <v>164.58</v>
      </c>
      <c r="BG161" s="24">
        <v>160.54</v>
      </c>
      <c r="BH161" s="24">
        <v>156.51</v>
      </c>
      <c r="BI161" s="24">
        <v>152.47</v>
      </c>
    </row>
    <row r="162" spans="1:61" x14ac:dyDescent="0.45">
      <c r="A162" s="43">
        <v>309.35000000000002</v>
      </c>
      <c r="B162" s="43">
        <v>315.10000000000002</v>
      </c>
      <c r="C162" s="43">
        <v>320.85000000000002</v>
      </c>
      <c r="D162" s="43">
        <v>326.61</v>
      </c>
      <c r="E162" s="43">
        <v>332.36</v>
      </c>
      <c r="F162" s="43">
        <v>338.11</v>
      </c>
      <c r="G162" s="43">
        <v>343.86</v>
      </c>
      <c r="H162" s="43">
        <v>349.61</v>
      </c>
      <c r="I162" s="44">
        <v>355.36</v>
      </c>
      <c r="J162" s="53">
        <v>361.11</v>
      </c>
      <c r="K162" s="53">
        <v>366.86</v>
      </c>
      <c r="L162" s="44">
        <v>372.62</v>
      </c>
      <c r="M162" s="44">
        <v>378.37</v>
      </c>
      <c r="N162" s="44">
        <v>384.12</v>
      </c>
      <c r="O162" s="59">
        <v>389.87</v>
      </c>
      <c r="P162" s="65">
        <v>395.62</v>
      </c>
      <c r="Q162" s="65">
        <v>401.37</v>
      </c>
      <c r="R162" s="65">
        <v>407.12</v>
      </c>
      <c r="S162" s="65">
        <v>412.87</v>
      </c>
      <c r="T162" s="65">
        <v>418.62</v>
      </c>
      <c r="U162" s="65">
        <v>424.38</v>
      </c>
      <c r="V162" s="24">
        <v>349.95</v>
      </c>
      <c r="W162" s="24">
        <v>355.7</v>
      </c>
      <c r="X162" s="24">
        <v>361.45</v>
      </c>
      <c r="Y162" s="24">
        <v>367.21</v>
      </c>
      <c r="Z162" s="24">
        <v>263.68</v>
      </c>
      <c r="AA162" s="24">
        <v>257.93</v>
      </c>
      <c r="AB162" s="24">
        <v>252.18</v>
      </c>
      <c r="AC162" s="24">
        <v>246.43</v>
      </c>
      <c r="AD162" s="24">
        <v>240.68</v>
      </c>
      <c r="AE162" s="5">
        <v>158</v>
      </c>
      <c r="AF162" s="43">
        <v>185.43</v>
      </c>
      <c r="AG162" s="43">
        <v>189.49</v>
      </c>
      <c r="AH162" s="43">
        <v>193.55</v>
      </c>
      <c r="AI162" s="43">
        <v>197.61</v>
      </c>
      <c r="AJ162" s="43">
        <v>201.67</v>
      </c>
      <c r="AK162" s="43">
        <v>205.74</v>
      </c>
      <c r="AL162" s="43">
        <v>209.8</v>
      </c>
      <c r="AM162" s="43">
        <v>213.86</v>
      </c>
      <c r="AN162" s="44">
        <v>217.92</v>
      </c>
      <c r="AO162" s="53">
        <v>221.98</v>
      </c>
      <c r="AP162" s="53">
        <v>226.04</v>
      </c>
      <c r="AQ162" s="44">
        <v>230.1</v>
      </c>
      <c r="AR162" s="44">
        <v>234.16</v>
      </c>
      <c r="AS162" s="72">
        <v>238.22</v>
      </c>
      <c r="AT162" s="59">
        <v>242.28</v>
      </c>
      <c r="AU162" s="65">
        <v>246.34</v>
      </c>
      <c r="AV162" s="65">
        <v>250.4</v>
      </c>
      <c r="AW162" s="65">
        <v>254.46</v>
      </c>
      <c r="AX162" s="65">
        <v>258.52</v>
      </c>
      <c r="AY162" s="65">
        <v>262.58</v>
      </c>
      <c r="AZ162" s="65">
        <v>266.64</v>
      </c>
      <c r="BA162" s="24">
        <v>230.59</v>
      </c>
      <c r="BB162" s="24">
        <v>234.65</v>
      </c>
      <c r="BC162" s="24">
        <v>238.71</v>
      </c>
      <c r="BD162" s="24">
        <v>242.77</v>
      </c>
      <c r="BE162" s="24">
        <v>169.68</v>
      </c>
      <c r="BF162" s="24">
        <v>165.62</v>
      </c>
      <c r="BG162" s="24">
        <v>161.56</v>
      </c>
      <c r="BH162" s="24">
        <v>157.5</v>
      </c>
      <c r="BI162" s="24">
        <v>153.44</v>
      </c>
    </row>
    <row r="163" spans="1:61" x14ac:dyDescent="0.45">
      <c r="A163" s="43">
        <v>311.27999999999997</v>
      </c>
      <c r="B163" s="43">
        <v>317.07</v>
      </c>
      <c r="C163" s="43">
        <v>322.86</v>
      </c>
      <c r="D163" s="43">
        <v>328.64</v>
      </c>
      <c r="E163" s="43">
        <v>334.43</v>
      </c>
      <c r="F163" s="43">
        <v>340.22</v>
      </c>
      <c r="G163" s="43">
        <v>346.01</v>
      </c>
      <c r="H163" s="43">
        <v>351.79</v>
      </c>
      <c r="I163" s="44">
        <v>357.58</v>
      </c>
      <c r="J163" s="53">
        <v>363.37</v>
      </c>
      <c r="K163" s="53">
        <v>369.16</v>
      </c>
      <c r="L163" s="44">
        <v>374.94</v>
      </c>
      <c r="M163" s="44">
        <v>380.73</v>
      </c>
      <c r="N163" s="44">
        <v>386.52</v>
      </c>
      <c r="O163" s="59">
        <v>392.31</v>
      </c>
      <c r="P163" s="65">
        <v>398.09</v>
      </c>
      <c r="Q163" s="65">
        <v>403.88</v>
      </c>
      <c r="R163" s="65">
        <v>409.67</v>
      </c>
      <c r="S163" s="65">
        <v>415.46</v>
      </c>
      <c r="T163" s="65">
        <v>421.24</v>
      </c>
      <c r="U163" s="65">
        <v>427.03</v>
      </c>
      <c r="V163" s="24">
        <v>352.15</v>
      </c>
      <c r="W163" s="24">
        <v>357.94</v>
      </c>
      <c r="X163" s="24">
        <v>363.72</v>
      </c>
      <c r="Y163" s="24">
        <v>369.51</v>
      </c>
      <c r="Z163" s="24">
        <v>265.33999999999997</v>
      </c>
      <c r="AA163" s="24">
        <v>259.55</v>
      </c>
      <c r="AB163" s="24">
        <v>253.76</v>
      </c>
      <c r="AC163" s="24">
        <v>247.97</v>
      </c>
      <c r="AD163" s="24">
        <v>242.18</v>
      </c>
      <c r="AE163" s="5">
        <v>159</v>
      </c>
      <c r="AF163" s="43">
        <v>186.6</v>
      </c>
      <c r="AG163" s="43">
        <v>190.69</v>
      </c>
      <c r="AH163" s="43">
        <v>194.77</v>
      </c>
      <c r="AI163" s="43">
        <v>198.86</v>
      </c>
      <c r="AJ163" s="43">
        <v>202.94</v>
      </c>
      <c r="AK163" s="43">
        <v>207.03</v>
      </c>
      <c r="AL163" s="43">
        <v>211.12</v>
      </c>
      <c r="AM163" s="43">
        <v>215.2</v>
      </c>
      <c r="AN163" s="44">
        <v>219.29</v>
      </c>
      <c r="AO163" s="53">
        <v>223.38</v>
      </c>
      <c r="AP163" s="53">
        <v>227.46</v>
      </c>
      <c r="AQ163" s="44">
        <v>231.55</v>
      </c>
      <c r="AR163" s="44">
        <v>235.63</v>
      </c>
      <c r="AS163" s="72">
        <v>239.72</v>
      </c>
      <c r="AT163" s="59">
        <v>243.81</v>
      </c>
      <c r="AU163" s="65">
        <v>247.89</v>
      </c>
      <c r="AV163" s="65">
        <v>251.98</v>
      </c>
      <c r="AW163" s="65">
        <v>256.07</v>
      </c>
      <c r="AX163" s="65">
        <v>260.14999999999998</v>
      </c>
      <c r="AY163" s="65">
        <v>264.24</v>
      </c>
      <c r="AZ163" s="65">
        <v>268.33</v>
      </c>
      <c r="BA163" s="24">
        <v>232.04</v>
      </c>
      <c r="BB163" s="24">
        <v>236.13</v>
      </c>
      <c r="BC163" s="24">
        <v>240.22</v>
      </c>
      <c r="BD163" s="24">
        <v>244.3</v>
      </c>
      <c r="BE163" s="24">
        <v>170.75</v>
      </c>
      <c r="BF163" s="24">
        <v>166.66</v>
      </c>
      <c r="BG163" s="24">
        <v>162.58000000000001</v>
      </c>
      <c r="BH163" s="24">
        <v>158.49</v>
      </c>
      <c r="BI163" s="24">
        <v>154.4</v>
      </c>
    </row>
    <row r="164" spans="1:61" x14ac:dyDescent="0.45">
      <c r="A164" s="43">
        <v>313.20999999999998</v>
      </c>
      <c r="B164" s="43">
        <v>319.04000000000002</v>
      </c>
      <c r="C164" s="43">
        <v>324.86</v>
      </c>
      <c r="D164" s="43">
        <v>330.69</v>
      </c>
      <c r="E164" s="43">
        <v>336.51</v>
      </c>
      <c r="F164" s="43">
        <v>342.33</v>
      </c>
      <c r="G164" s="43">
        <v>348.16</v>
      </c>
      <c r="H164" s="43">
        <v>353.98</v>
      </c>
      <c r="I164" s="44">
        <v>359.81</v>
      </c>
      <c r="J164" s="53">
        <v>365.63</v>
      </c>
      <c r="K164" s="53">
        <v>371.45</v>
      </c>
      <c r="L164" s="44">
        <v>377.28</v>
      </c>
      <c r="M164" s="44">
        <v>383.1</v>
      </c>
      <c r="N164" s="44">
        <v>388.93</v>
      </c>
      <c r="O164" s="59">
        <v>394.75</v>
      </c>
      <c r="P164" s="65">
        <v>400.57</v>
      </c>
      <c r="Q164" s="65">
        <v>406.4</v>
      </c>
      <c r="R164" s="65">
        <v>412.22</v>
      </c>
      <c r="S164" s="65">
        <v>418.05</v>
      </c>
      <c r="T164" s="65">
        <v>423.87</v>
      </c>
      <c r="U164" s="65">
        <v>429.69</v>
      </c>
      <c r="V164" s="24">
        <v>354.35</v>
      </c>
      <c r="W164" s="24">
        <v>360.17</v>
      </c>
      <c r="X164" s="24">
        <v>366</v>
      </c>
      <c r="Y164" s="24">
        <v>371.82</v>
      </c>
      <c r="Z164" s="24">
        <v>266.99</v>
      </c>
      <c r="AA164" s="24">
        <v>261.17</v>
      </c>
      <c r="AB164" s="24">
        <v>255.34</v>
      </c>
      <c r="AC164" s="24">
        <v>249.52</v>
      </c>
      <c r="AD164" s="24">
        <v>243.69</v>
      </c>
      <c r="AE164" s="5">
        <v>160</v>
      </c>
      <c r="AF164" s="43">
        <v>187.77</v>
      </c>
      <c r="AG164" s="43">
        <v>191.88</v>
      </c>
      <c r="AH164" s="43">
        <v>195.99</v>
      </c>
      <c r="AI164" s="43">
        <v>200.1</v>
      </c>
      <c r="AJ164" s="43">
        <v>204.22</v>
      </c>
      <c r="AK164" s="43">
        <v>208.33</v>
      </c>
      <c r="AL164" s="43">
        <v>212.44</v>
      </c>
      <c r="AM164" s="43">
        <v>216.55</v>
      </c>
      <c r="AN164" s="44">
        <v>220.66</v>
      </c>
      <c r="AO164" s="53">
        <v>224.78</v>
      </c>
      <c r="AP164" s="53">
        <v>228.89</v>
      </c>
      <c r="AQ164" s="44">
        <v>233</v>
      </c>
      <c r="AR164" s="44">
        <v>237.11</v>
      </c>
      <c r="AS164" s="72">
        <v>241.22</v>
      </c>
      <c r="AT164" s="59">
        <v>245.34</v>
      </c>
      <c r="AU164" s="65">
        <v>249.45</v>
      </c>
      <c r="AV164" s="65">
        <v>253.56</v>
      </c>
      <c r="AW164" s="65">
        <v>257.67</v>
      </c>
      <c r="AX164" s="65">
        <v>261.77999999999997</v>
      </c>
      <c r="AY164" s="65">
        <v>265.89999999999998</v>
      </c>
      <c r="AZ164" s="65">
        <v>270.01</v>
      </c>
      <c r="BA164" s="24">
        <v>233.5</v>
      </c>
      <c r="BB164" s="24">
        <v>237.61</v>
      </c>
      <c r="BC164" s="24">
        <v>241.72</v>
      </c>
      <c r="BD164" s="24">
        <v>245.84</v>
      </c>
      <c r="BE164" s="24">
        <v>171.82</v>
      </c>
      <c r="BF164" s="24">
        <v>167.71</v>
      </c>
      <c r="BG164" s="24">
        <v>163.6</v>
      </c>
      <c r="BH164" s="24">
        <v>159.47999999999999</v>
      </c>
      <c r="BI164" s="24">
        <v>155.37</v>
      </c>
    </row>
    <row r="165" spans="1:61" x14ac:dyDescent="0.45">
      <c r="A165" s="43">
        <v>315.14999999999998</v>
      </c>
      <c r="B165" s="43">
        <v>321.01</v>
      </c>
      <c r="C165" s="43">
        <v>326.87</v>
      </c>
      <c r="D165" s="43">
        <v>332.73</v>
      </c>
      <c r="E165" s="43">
        <v>338.59</v>
      </c>
      <c r="F165" s="43">
        <v>344.45</v>
      </c>
      <c r="G165" s="43">
        <v>350.32</v>
      </c>
      <c r="H165" s="43">
        <v>356.18</v>
      </c>
      <c r="I165" s="44">
        <v>362.04</v>
      </c>
      <c r="J165" s="53">
        <v>367.9</v>
      </c>
      <c r="K165" s="53">
        <v>373.76</v>
      </c>
      <c r="L165" s="44">
        <v>379.62</v>
      </c>
      <c r="M165" s="44">
        <v>385.48</v>
      </c>
      <c r="N165" s="44">
        <v>391.34</v>
      </c>
      <c r="O165" s="59">
        <v>397.2</v>
      </c>
      <c r="P165" s="65">
        <v>403.06</v>
      </c>
      <c r="Q165" s="65">
        <v>408.92</v>
      </c>
      <c r="R165" s="65">
        <v>414.78</v>
      </c>
      <c r="S165" s="65">
        <v>420.64</v>
      </c>
      <c r="T165" s="65">
        <v>426.5</v>
      </c>
      <c r="U165" s="65">
        <v>432.36</v>
      </c>
      <c r="V165" s="24">
        <v>356.55</v>
      </c>
      <c r="W165" s="24">
        <v>362.41</v>
      </c>
      <c r="X165" s="24">
        <v>368.27</v>
      </c>
      <c r="Y165" s="24">
        <v>374.13</v>
      </c>
      <c r="Z165" s="24">
        <v>268.64999999999998</v>
      </c>
      <c r="AA165" s="24">
        <v>262.79000000000002</v>
      </c>
      <c r="AB165" s="24">
        <v>256.93</v>
      </c>
      <c r="AC165" s="24">
        <v>251.07</v>
      </c>
      <c r="AD165" s="24">
        <v>245.21</v>
      </c>
      <c r="AE165" s="5">
        <v>161</v>
      </c>
      <c r="AF165" s="43">
        <v>188.94</v>
      </c>
      <c r="AG165" s="43">
        <v>193.08</v>
      </c>
      <c r="AH165" s="43">
        <v>197.21</v>
      </c>
      <c r="AI165" s="43">
        <v>201.35</v>
      </c>
      <c r="AJ165" s="43">
        <v>205.49</v>
      </c>
      <c r="AK165" s="43">
        <v>209.63</v>
      </c>
      <c r="AL165" s="43">
        <v>213.76</v>
      </c>
      <c r="AM165" s="43">
        <v>217.9</v>
      </c>
      <c r="AN165" s="44">
        <v>222.04</v>
      </c>
      <c r="AO165" s="53">
        <v>226.18</v>
      </c>
      <c r="AP165" s="53">
        <v>230.31</v>
      </c>
      <c r="AQ165" s="44">
        <v>234.45</v>
      </c>
      <c r="AR165" s="44">
        <v>238.59</v>
      </c>
      <c r="AS165" s="72">
        <v>242.73</v>
      </c>
      <c r="AT165" s="59">
        <v>246.87</v>
      </c>
      <c r="AU165" s="65">
        <v>251</v>
      </c>
      <c r="AV165" s="65">
        <v>255.14</v>
      </c>
      <c r="AW165" s="65">
        <v>259.27999999999997</v>
      </c>
      <c r="AX165" s="65">
        <v>263.42</v>
      </c>
      <c r="AY165" s="65">
        <v>267.55</v>
      </c>
      <c r="AZ165" s="65">
        <v>271.69</v>
      </c>
      <c r="BA165" s="24">
        <v>234.96</v>
      </c>
      <c r="BB165" s="24">
        <v>239.09</v>
      </c>
      <c r="BC165" s="24">
        <v>243.23</v>
      </c>
      <c r="BD165" s="24">
        <v>247.37</v>
      </c>
      <c r="BE165" s="24">
        <v>172.89</v>
      </c>
      <c r="BF165" s="24">
        <v>168.75</v>
      </c>
      <c r="BG165" s="24">
        <v>164.62</v>
      </c>
      <c r="BH165" s="24">
        <v>160.47999999999999</v>
      </c>
      <c r="BI165" s="24">
        <v>156.34</v>
      </c>
    </row>
    <row r="166" spans="1:61" x14ac:dyDescent="0.45">
      <c r="A166" s="43">
        <v>317.10000000000002</v>
      </c>
      <c r="B166" s="43">
        <v>322.99</v>
      </c>
      <c r="C166" s="43">
        <v>328.89</v>
      </c>
      <c r="D166" s="43">
        <v>334.79</v>
      </c>
      <c r="E166" s="43">
        <v>340.68</v>
      </c>
      <c r="F166" s="43">
        <v>346.58</v>
      </c>
      <c r="G166" s="43">
        <v>352.48</v>
      </c>
      <c r="H166" s="43">
        <v>358.37</v>
      </c>
      <c r="I166" s="44">
        <v>364.27</v>
      </c>
      <c r="J166" s="53">
        <v>370.17</v>
      </c>
      <c r="K166" s="53">
        <v>376.06</v>
      </c>
      <c r="L166" s="44">
        <v>381.96</v>
      </c>
      <c r="M166" s="44">
        <v>387.86</v>
      </c>
      <c r="N166" s="44">
        <v>393.76</v>
      </c>
      <c r="O166" s="59">
        <v>399.65</v>
      </c>
      <c r="P166" s="65">
        <v>405.55</v>
      </c>
      <c r="Q166" s="65">
        <v>411.45</v>
      </c>
      <c r="R166" s="65">
        <v>417.34</v>
      </c>
      <c r="S166" s="65">
        <v>423.24</v>
      </c>
      <c r="T166" s="65">
        <v>429.14</v>
      </c>
      <c r="U166" s="65">
        <v>435.03</v>
      </c>
      <c r="V166" s="24">
        <v>358.76</v>
      </c>
      <c r="W166" s="24">
        <v>364.66</v>
      </c>
      <c r="X166" s="24">
        <v>370.55</v>
      </c>
      <c r="Y166" s="24">
        <v>376.45</v>
      </c>
      <c r="Z166" s="24">
        <v>270.31</v>
      </c>
      <c r="AA166" s="24">
        <v>264.41000000000003</v>
      </c>
      <c r="AB166" s="24">
        <v>258.51</v>
      </c>
      <c r="AC166" s="24">
        <v>252.62</v>
      </c>
      <c r="AD166" s="24">
        <v>246.72</v>
      </c>
      <c r="AE166" s="5">
        <v>162</v>
      </c>
      <c r="AF166" s="43">
        <v>190.11</v>
      </c>
      <c r="AG166" s="43">
        <v>194.27</v>
      </c>
      <c r="AH166" s="43">
        <v>198.44</v>
      </c>
      <c r="AI166" s="43">
        <v>202.6</v>
      </c>
      <c r="AJ166" s="43">
        <v>206.76</v>
      </c>
      <c r="AK166" s="43">
        <v>210.93</v>
      </c>
      <c r="AL166" s="43">
        <v>215.09</v>
      </c>
      <c r="AM166" s="43">
        <v>219.25</v>
      </c>
      <c r="AN166" s="44">
        <v>223.42</v>
      </c>
      <c r="AO166" s="53">
        <v>227.58</v>
      </c>
      <c r="AP166" s="53">
        <v>231.74</v>
      </c>
      <c r="AQ166" s="44">
        <v>235.91</v>
      </c>
      <c r="AR166" s="44">
        <v>240.07</v>
      </c>
      <c r="AS166" s="72">
        <v>244.23</v>
      </c>
      <c r="AT166" s="59">
        <v>248.4</v>
      </c>
      <c r="AU166" s="65">
        <v>252.56</v>
      </c>
      <c r="AV166" s="65">
        <v>256.72000000000003</v>
      </c>
      <c r="AW166" s="65">
        <v>260.89</v>
      </c>
      <c r="AX166" s="65">
        <v>265.05</v>
      </c>
      <c r="AY166" s="65">
        <v>269.20999999999998</v>
      </c>
      <c r="AZ166" s="65">
        <v>273.38</v>
      </c>
      <c r="BA166" s="24">
        <v>236.42</v>
      </c>
      <c r="BB166" s="24">
        <v>240.58</v>
      </c>
      <c r="BC166" s="24">
        <v>244.74</v>
      </c>
      <c r="BD166" s="24">
        <v>248.91</v>
      </c>
      <c r="BE166" s="24">
        <v>173.96</v>
      </c>
      <c r="BF166" s="24">
        <v>169.8</v>
      </c>
      <c r="BG166" s="24">
        <v>165.64</v>
      </c>
      <c r="BH166" s="24">
        <v>161.47</v>
      </c>
      <c r="BI166" s="24">
        <v>157.31</v>
      </c>
    </row>
    <row r="167" spans="1:61" x14ac:dyDescent="0.45">
      <c r="A167" s="43">
        <v>319.05</v>
      </c>
      <c r="B167" s="43">
        <v>324.98</v>
      </c>
      <c r="C167" s="43">
        <v>330.91</v>
      </c>
      <c r="D167" s="43">
        <v>336.85</v>
      </c>
      <c r="E167" s="43">
        <v>342.78</v>
      </c>
      <c r="F167" s="43">
        <v>348.71</v>
      </c>
      <c r="G167" s="43">
        <v>354.65</v>
      </c>
      <c r="H167" s="43">
        <v>360.58</v>
      </c>
      <c r="I167" s="44">
        <v>366.51</v>
      </c>
      <c r="J167" s="53">
        <v>372.44</v>
      </c>
      <c r="K167" s="53">
        <v>378.38</v>
      </c>
      <c r="L167" s="44">
        <v>384.31</v>
      </c>
      <c r="M167" s="44">
        <v>390.24</v>
      </c>
      <c r="N167" s="44">
        <v>396.18</v>
      </c>
      <c r="O167" s="59">
        <v>402.11</v>
      </c>
      <c r="P167" s="65">
        <v>408.04</v>
      </c>
      <c r="Q167" s="65">
        <v>413.98</v>
      </c>
      <c r="R167" s="65">
        <v>419.91</v>
      </c>
      <c r="S167" s="65">
        <v>425.84</v>
      </c>
      <c r="T167" s="65">
        <v>431.78</v>
      </c>
      <c r="U167" s="65">
        <v>437.71</v>
      </c>
      <c r="V167" s="24">
        <v>360.97</v>
      </c>
      <c r="W167" s="24">
        <v>366.9</v>
      </c>
      <c r="X167" s="24">
        <v>372.84</v>
      </c>
      <c r="Y167" s="24">
        <v>378.77</v>
      </c>
      <c r="Z167" s="24">
        <v>271.97000000000003</v>
      </c>
      <c r="AA167" s="24">
        <v>266.04000000000002</v>
      </c>
      <c r="AB167" s="24">
        <v>260.11</v>
      </c>
      <c r="AC167" s="24">
        <v>254.17</v>
      </c>
      <c r="AD167" s="24">
        <v>248.24</v>
      </c>
      <c r="AE167" s="5">
        <v>163</v>
      </c>
      <c r="AF167" s="43">
        <v>191.28</v>
      </c>
      <c r="AG167" s="43">
        <v>195.47</v>
      </c>
      <c r="AH167" s="43">
        <v>199.66</v>
      </c>
      <c r="AI167" s="43">
        <v>203.85</v>
      </c>
      <c r="AJ167" s="43">
        <v>208.04</v>
      </c>
      <c r="AK167" s="43">
        <v>212.23</v>
      </c>
      <c r="AL167" s="43">
        <v>216.42</v>
      </c>
      <c r="AM167" s="43">
        <v>220.61</v>
      </c>
      <c r="AN167" s="44">
        <v>224.79</v>
      </c>
      <c r="AO167" s="53">
        <v>228.98</v>
      </c>
      <c r="AP167" s="53">
        <v>233.17</v>
      </c>
      <c r="AQ167" s="44">
        <v>237.36</v>
      </c>
      <c r="AR167" s="44">
        <v>241.55</v>
      </c>
      <c r="AS167" s="72">
        <v>245.74</v>
      </c>
      <c r="AT167" s="59">
        <v>249.93</v>
      </c>
      <c r="AU167" s="65">
        <v>254.12</v>
      </c>
      <c r="AV167" s="65">
        <v>258.31</v>
      </c>
      <c r="AW167" s="65">
        <v>262.5</v>
      </c>
      <c r="AX167" s="65">
        <v>266.69</v>
      </c>
      <c r="AY167" s="65">
        <v>270.88</v>
      </c>
      <c r="AZ167" s="65">
        <v>275.06</v>
      </c>
      <c r="BA167" s="24">
        <v>237.87</v>
      </c>
      <c r="BB167" s="24">
        <v>242.06</v>
      </c>
      <c r="BC167" s="24">
        <v>246.25</v>
      </c>
      <c r="BD167" s="24">
        <v>250.44</v>
      </c>
      <c r="BE167" s="24">
        <v>175.04</v>
      </c>
      <c r="BF167" s="24">
        <v>170.85</v>
      </c>
      <c r="BG167" s="24">
        <v>166.66</v>
      </c>
      <c r="BH167" s="24">
        <v>162.47</v>
      </c>
      <c r="BI167" s="24">
        <v>158.28</v>
      </c>
    </row>
    <row r="168" spans="1:61" x14ac:dyDescent="0.45">
      <c r="A168" s="43">
        <v>321</v>
      </c>
      <c r="B168" s="43">
        <v>326.97000000000003</v>
      </c>
      <c r="C168" s="43">
        <v>332.94</v>
      </c>
      <c r="D168" s="43">
        <v>338.91</v>
      </c>
      <c r="E168" s="43">
        <v>344.88</v>
      </c>
      <c r="F168" s="43">
        <v>350.85</v>
      </c>
      <c r="G168" s="43">
        <v>356.82</v>
      </c>
      <c r="H168" s="43">
        <v>362.79</v>
      </c>
      <c r="I168" s="44">
        <v>368.76</v>
      </c>
      <c r="J168" s="53">
        <v>374.73</v>
      </c>
      <c r="K168" s="53">
        <v>380.7</v>
      </c>
      <c r="L168" s="44">
        <v>386.67</v>
      </c>
      <c r="M168" s="44">
        <v>392.64</v>
      </c>
      <c r="N168" s="44">
        <v>398.61</v>
      </c>
      <c r="O168" s="59">
        <v>404.57</v>
      </c>
      <c r="P168" s="65">
        <v>410.54</v>
      </c>
      <c r="Q168" s="65">
        <v>416.51</v>
      </c>
      <c r="R168" s="65">
        <v>422.48</v>
      </c>
      <c r="S168" s="65">
        <v>428.45</v>
      </c>
      <c r="T168" s="65">
        <v>434.42</v>
      </c>
      <c r="U168" s="65">
        <v>440.39</v>
      </c>
      <c r="V168" s="24">
        <v>363.18</v>
      </c>
      <c r="W168" s="24">
        <v>369.15</v>
      </c>
      <c r="X168" s="24">
        <v>375.12</v>
      </c>
      <c r="Y168" s="24">
        <v>381.09</v>
      </c>
      <c r="Z168" s="24">
        <v>273.64</v>
      </c>
      <c r="AA168" s="24">
        <v>267.67</v>
      </c>
      <c r="AB168" s="24">
        <v>261.7</v>
      </c>
      <c r="AC168" s="24">
        <v>255.73</v>
      </c>
      <c r="AD168" s="24">
        <v>249.76</v>
      </c>
      <c r="AE168" s="5">
        <v>164</v>
      </c>
      <c r="AF168" s="43">
        <v>192.46</v>
      </c>
      <c r="AG168" s="43">
        <v>196.67</v>
      </c>
      <c r="AH168" s="43">
        <v>200.89</v>
      </c>
      <c r="AI168" s="43">
        <v>205.1</v>
      </c>
      <c r="AJ168" s="43">
        <v>209.32</v>
      </c>
      <c r="AK168" s="43">
        <v>213.53</v>
      </c>
      <c r="AL168" s="43">
        <v>217.75</v>
      </c>
      <c r="AM168" s="43">
        <v>221.96</v>
      </c>
      <c r="AN168" s="44">
        <v>226.17</v>
      </c>
      <c r="AO168" s="53">
        <v>230.39</v>
      </c>
      <c r="AP168" s="53">
        <v>234.6</v>
      </c>
      <c r="AQ168" s="44">
        <v>238.82</v>
      </c>
      <c r="AR168" s="44">
        <v>243.03</v>
      </c>
      <c r="AS168" s="72">
        <v>247.25</v>
      </c>
      <c r="AT168" s="59">
        <v>251.46</v>
      </c>
      <c r="AU168" s="65">
        <v>255.68</v>
      </c>
      <c r="AV168" s="65">
        <v>259.89</v>
      </c>
      <c r="AW168" s="65">
        <v>264.11</v>
      </c>
      <c r="AX168" s="65">
        <v>268.32</v>
      </c>
      <c r="AY168" s="65">
        <v>272.54000000000002</v>
      </c>
      <c r="AZ168" s="65">
        <v>276.75</v>
      </c>
      <c r="BA168" s="24">
        <v>239.83</v>
      </c>
      <c r="BB168" s="24">
        <v>243.55</v>
      </c>
      <c r="BC168" s="24">
        <v>247.76</v>
      </c>
      <c r="BD168" s="24">
        <v>251.98</v>
      </c>
      <c r="BE168" s="24">
        <v>176.11</v>
      </c>
      <c r="BF168" s="24">
        <v>171.9</v>
      </c>
      <c r="BG168" s="24">
        <v>167.68</v>
      </c>
      <c r="BH168" s="24">
        <v>163.47</v>
      </c>
      <c r="BI168" s="24">
        <v>159.25</v>
      </c>
    </row>
    <row r="169" spans="1:61" x14ac:dyDescent="0.45">
      <c r="A169" s="43">
        <v>322.95999999999998</v>
      </c>
      <c r="B169" s="43">
        <v>328.97</v>
      </c>
      <c r="C169" s="43">
        <v>334.97</v>
      </c>
      <c r="D169" s="43">
        <v>340.98</v>
      </c>
      <c r="E169" s="43">
        <v>346.98</v>
      </c>
      <c r="F169" s="43">
        <v>352.99</v>
      </c>
      <c r="G169" s="43">
        <v>359</v>
      </c>
      <c r="H169" s="43">
        <v>365</v>
      </c>
      <c r="I169" s="44">
        <v>371.01</v>
      </c>
      <c r="J169" s="53">
        <v>377.01</v>
      </c>
      <c r="K169" s="53">
        <v>383.02</v>
      </c>
      <c r="L169" s="44">
        <v>389.03</v>
      </c>
      <c r="M169" s="44">
        <v>395.03</v>
      </c>
      <c r="N169" s="44">
        <v>401.04</v>
      </c>
      <c r="O169" s="59">
        <v>407.04</v>
      </c>
      <c r="P169" s="65">
        <v>413.05</v>
      </c>
      <c r="Q169" s="65">
        <v>419.06</v>
      </c>
      <c r="R169" s="65">
        <v>425.06</v>
      </c>
      <c r="S169" s="65">
        <v>431.07</v>
      </c>
      <c r="T169" s="65">
        <v>437.07</v>
      </c>
      <c r="U169" s="65">
        <v>443.08</v>
      </c>
      <c r="V169" s="24">
        <v>365.4</v>
      </c>
      <c r="W169" s="24">
        <v>371.41</v>
      </c>
      <c r="X169" s="24">
        <v>377.41</v>
      </c>
      <c r="Y169" s="24">
        <v>383.42</v>
      </c>
      <c r="Z169" s="24">
        <v>275.31</v>
      </c>
      <c r="AA169" s="24">
        <v>269.3</v>
      </c>
      <c r="AB169" s="24">
        <v>263.3</v>
      </c>
      <c r="AC169" s="24">
        <v>257.29000000000002</v>
      </c>
      <c r="AD169" s="24">
        <v>251.29</v>
      </c>
      <c r="AE169" s="5">
        <v>165</v>
      </c>
      <c r="AF169" s="43">
        <v>193.63</v>
      </c>
      <c r="AG169" s="43">
        <v>197.87</v>
      </c>
      <c r="AH169" s="43">
        <v>202.11</v>
      </c>
      <c r="AI169" s="43">
        <v>206.35</v>
      </c>
      <c r="AJ169" s="43">
        <v>210.59</v>
      </c>
      <c r="AK169" s="43">
        <v>214.83</v>
      </c>
      <c r="AL169" s="43">
        <v>219.08</v>
      </c>
      <c r="AM169" s="43">
        <v>223.32</v>
      </c>
      <c r="AN169" s="44">
        <v>227.56</v>
      </c>
      <c r="AO169" s="53">
        <v>231.8</v>
      </c>
      <c r="AP169" s="53">
        <v>236.04</v>
      </c>
      <c r="AQ169" s="44">
        <v>240.28</v>
      </c>
      <c r="AR169" s="44">
        <v>244.52</v>
      </c>
      <c r="AS169" s="72">
        <v>248.76</v>
      </c>
      <c r="AT169" s="59">
        <v>253</v>
      </c>
      <c r="AU169" s="65">
        <v>257.24</v>
      </c>
      <c r="AV169" s="65">
        <v>261.48</v>
      </c>
      <c r="AW169" s="65">
        <v>265.72000000000003</v>
      </c>
      <c r="AX169" s="65">
        <v>269.95999999999998</v>
      </c>
      <c r="AY169" s="65">
        <v>274.2</v>
      </c>
      <c r="AZ169" s="65">
        <v>278.44</v>
      </c>
      <c r="BA169" s="24">
        <v>240.79</v>
      </c>
      <c r="BB169" s="24">
        <v>245.04</v>
      </c>
      <c r="BC169" s="24">
        <v>249.28</v>
      </c>
      <c r="BD169" s="24">
        <v>253.52</v>
      </c>
      <c r="BE169" s="24">
        <v>177.19</v>
      </c>
      <c r="BF169" s="24">
        <v>172.95</v>
      </c>
      <c r="BG169" s="24">
        <v>168.71</v>
      </c>
      <c r="BH169" s="24">
        <v>164.47</v>
      </c>
      <c r="BI169" s="24">
        <v>160.22999999999999</v>
      </c>
    </row>
    <row r="170" spans="1:61" x14ac:dyDescent="0.45">
      <c r="A170" s="43">
        <v>324.93</v>
      </c>
      <c r="B170" s="43">
        <v>330.97</v>
      </c>
      <c r="C170" s="43">
        <v>337.01</v>
      </c>
      <c r="D170" s="43">
        <v>343.05</v>
      </c>
      <c r="E170" s="43">
        <v>349.1</v>
      </c>
      <c r="F170" s="43">
        <v>355.14</v>
      </c>
      <c r="G170" s="43">
        <v>361.18</v>
      </c>
      <c r="H170" s="43">
        <v>367.22</v>
      </c>
      <c r="I170" s="44">
        <v>373.27</v>
      </c>
      <c r="J170" s="53">
        <v>379.31</v>
      </c>
      <c r="K170" s="53">
        <v>385.35</v>
      </c>
      <c r="L170" s="44">
        <v>391.39</v>
      </c>
      <c r="M170" s="44">
        <v>397.44</v>
      </c>
      <c r="N170" s="44">
        <v>403.48</v>
      </c>
      <c r="O170" s="59">
        <v>409.52</v>
      </c>
      <c r="P170" s="65">
        <v>415.56</v>
      </c>
      <c r="Q170" s="65">
        <v>421.6</v>
      </c>
      <c r="R170" s="65">
        <v>427.65</v>
      </c>
      <c r="S170" s="65">
        <v>433.69</v>
      </c>
      <c r="T170" s="65">
        <v>439.73</v>
      </c>
      <c r="U170" s="65">
        <v>445.77</v>
      </c>
      <c r="V170" s="24">
        <v>367.62</v>
      </c>
      <c r="W170" s="24">
        <v>373.66</v>
      </c>
      <c r="X170" s="24">
        <v>379.7</v>
      </c>
      <c r="Y170" s="24">
        <v>385.75</v>
      </c>
      <c r="Z170" s="24">
        <v>276.98</v>
      </c>
      <c r="AA170" s="24">
        <v>270.94</v>
      </c>
      <c r="AB170" s="24">
        <v>264.89999999999998</v>
      </c>
      <c r="AC170" s="24">
        <v>258.86</v>
      </c>
      <c r="AD170" s="24">
        <v>252.81</v>
      </c>
      <c r="AE170" s="5">
        <v>166</v>
      </c>
      <c r="AF170" s="43">
        <v>194.84</v>
      </c>
      <c r="AG170" s="43">
        <v>199.08</v>
      </c>
      <c r="AH170" s="43">
        <v>203.34</v>
      </c>
      <c r="AI170" s="43">
        <v>207.61</v>
      </c>
      <c r="AJ170" s="43">
        <v>211.87</v>
      </c>
      <c r="AK170" s="43">
        <v>216.14</v>
      </c>
      <c r="AL170" s="43">
        <v>220.41</v>
      </c>
      <c r="AM170" s="43">
        <v>224.67</v>
      </c>
      <c r="AN170" s="44">
        <v>228.94</v>
      </c>
      <c r="AO170" s="53">
        <v>233.21</v>
      </c>
      <c r="AP170" s="53">
        <v>237.47</v>
      </c>
      <c r="AQ170" s="44">
        <v>241.74</v>
      </c>
      <c r="AR170" s="44">
        <v>246</v>
      </c>
      <c r="AS170" s="72">
        <v>250.27</v>
      </c>
      <c r="AT170" s="59">
        <v>254.54</v>
      </c>
      <c r="AU170" s="65">
        <v>258.8</v>
      </c>
      <c r="AV170" s="65">
        <v>263.07</v>
      </c>
      <c r="AW170" s="65">
        <v>267.33</v>
      </c>
      <c r="AX170" s="65">
        <v>271.60000000000002</v>
      </c>
      <c r="AY170" s="65">
        <v>275.87</v>
      </c>
      <c r="AZ170" s="65">
        <v>280.13</v>
      </c>
      <c r="BA170" s="24">
        <v>242.26</v>
      </c>
      <c r="BB170" s="24">
        <v>246.52</v>
      </c>
      <c r="BC170" s="24">
        <v>250.79</v>
      </c>
      <c r="BD170" s="24">
        <v>255.05</v>
      </c>
      <c r="BE170" s="24">
        <v>178.26</v>
      </c>
      <c r="BF170" s="24">
        <v>174</v>
      </c>
      <c r="BG170" s="24">
        <v>169.73</v>
      </c>
      <c r="BH170" s="24">
        <v>165.46</v>
      </c>
      <c r="BI170" s="24">
        <v>161.19999999999999</v>
      </c>
    </row>
    <row r="171" spans="1:61" x14ac:dyDescent="0.45">
      <c r="A171" s="43">
        <v>326.89999999999998</v>
      </c>
      <c r="B171" s="43">
        <v>332.98</v>
      </c>
      <c r="C171" s="43">
        <v>339.06</v>
      </c>
      <c r="D171" s="43">
        <v>345.13</v>
      </c>
      <c r="E171" s="43">
        <v>351.21</v>
      </c>
      <c r="F171" s="43">
        <v>357.29</v>
      </c>
      <c r="G171" s="43">
        <v>363.37</v>
      </c>
      <c r="H171" s="43">
        <v>369.45</v>
      </c>
      <c r="I171" s="44">
        <v>375.53</v>
      </c>
      <c r="J171" s="53">
        <v>381.61</v>
      </c>
      <c r="K171" s="53">
        <v>387.69</v>
      </c>
      <c r="L171" s="44">
        <v>393.76</v>
      </c>
      <c r="M171" s="44">
        <v>399.84</v>
      </c>
      <c r="N171" s="44">
        <v>405.92</v>
      </c>
      <c r="O171" s="59">
        <v>412</v>
      </c>
      <c r="P171" s="65">
        <v>418.08</v>
      </c>
      <c r="Q171" s="65">
        <v>424.16</v>
      </c>
      <c r="R171" s="65">
        <v>430.24</v>
      </c>
      <c r="S171" s="65">
        <v>436.32</v>
      </c>
      <c r="T171" s="65">
        <v>442.39</v>
      </c>
      <c r="U171" s="65">
        <v>448.47</v>
      </c>
      <c r="V171" s="24">
        <v>369.84</v>
      </c>
      <c r="W171" s="24">
        <v>375.92</v>
      </c>
      <c r="X171" s="24">
        <v>382</v>
      </c>
      <c r="Y171" s="24">
        <v>388.08</v>
      </c>
      <c r="Z171" s="24">
        <v>278.66000000000003</v>
      </c>
      <c r="AA171" s="24">
        <v>272.58</v>
      </c>
      <c r="AB171" s="24">
        <v>266.5</v>
      </c>
      <c r="AC171" s="24">
        <v>260.42</v>
      </c>
      <c r="AD171" s="24">
        <v>254.34</v>
      </c>
      <c r="AE171" s="5">
        <v>167</v>
      </c>
      <c r="AF171" s="43">
        <v>195.99</v>
      </c>
      <c r="AG171" s="43">
        <v>200.28</v>
      </c>
      <c r="AH171" s="43">
        <v>204.57</v>
      </c>
      <c r="AI171" s="43">
        <v>208.86</v>
      </c>
      <c r="AJ171" s="43">
        <v>213.16</v>
      </c>
      <c r="AK171" s="43">
        <v>217.45</v>
      </c>
      <c r="AL171" s="43">
        <v>221.74</v>
      </c>
      <c r="AM171" s="43">
        <v>226.03</v>
      </c>
      <c r="AN171" s="44">
        <v>230.32</v>
      </c>
      <c r="AO171" s="53">
        <v>234.62</v>
      </c>
      <c r="AP171" s="53">
        <v>238.91</v>
      </c>
      <c r="AQ171" s="44">
        <v>243.2</v>
      </c>
      <c r="AR171" s="44">
        <v>247.49</v>
      </c>
      <c r="AS171" s="72">
        <v>251.78</v>
      </c>
      <c r="AT171" s="59">
        <v>256.07</v>
      </c>
      <c r="AU171" s="65">
        <v>260.37</v>
      </c>
      <c r="AV171" s="65">
        <v>264.66000000000003</v>
      </c>
      <c r="AW171" s="65">
        <v>268.95</v>
      </c>
      <c r="AX171" s="65">
        <v>273.24</v>
      </c>
      <c r="AY171" s="65">
        <v>277.52999999999997</v>
      </c>
      <c r="AZ171" s="65">
        <v>281.83</v>
      </c>
      <c r="BA171" s="24">
        <v>243.72</v>
      </c>
      <c r="BB171" s="24">
        <v>248.01</v>
      </c>
      <c r="BC171" s="24">
        <v>252.3</v>
      </c>
      <c r="BD171" s="24">
        <v>256.58999999999997</v>
      </c>
      <c r="BE171" s="24">
        <v>179.34</v>
      </c>
      <c r="BF171" s="24">
        <v>175.05</v>
      </c>
      <c r="BG171" s="24">
        <v>170.76</v>
      </c>
      <c r="BH171" s="24">
        <v>166.46</v>
      </c>
      <c r="BI171" s="24">
        <v>162.16999999999999</v>
      </c>
    </row>
    <row r="172" spans="1:61" x14ac:dyDescent="0.45">
      <c r="A172" s="43">
        <v>328.87</v>
      </c>
      <c r="B172" s="43">
        <v>334.99</v>
      </c>
      <c r="C172" s="43">
        <v>341.11</v>
      </c>
      <c r="D172" s="43">
        <v>347.22</v>
      </c>
      <c r="E172" s="43">
        <v>353.34</v>
      </c>
      <c r="F172" s="43">
        <v>359.45</v>
      </c>
      <c r="G172" s="43">
        <v>365.57</v>
      </c>
      <c r="H172" s="43">
        <v>371.68</v>
      </c>
      <c r="I172" s="44">
        <v>377.8</v>
      </c>
      <c r="J172" s="53">
        <v>383.91</v>
      </c>
      <c r="K172" s="53">
        <v>390.03</v>
      </c>
      <c r="L172" s="44">
        <v>396.14</v>
      </c>
      <c r="M172" s="44">
        <v>402.26</v>
      </c>
      <c r="N172" s="44">
        <v>408.37</v>
      </c>
      <c r="O172" s="59">
        <v>414.49</v>
      </c>
      <c r="P172" s="65">
        <v>420.6</v>
      </c>
      <c r="Q172" s="65">
        <v>426.72</v>
      </c>
      <c r="R172" s="65">
        <v>432.83</v>
      </c>
      <c r="S172" s="65">
        <v>438.95</v>
      </c>
      <c r="T172" s="65">
        <v>445.06</v>
      </c>
      <c r="U172" s="65">
        <v>451.18</v>
      </c>
      <c r="V172" s="24">
        <v>372.07</v>
      </c>
      <c r="W172" s="24">
        <v>378.18</v>
      </c>
      <c r="X172" s="24">
        <v>384.3</v>
      </c>
      <c r="Y172" s="24">
        <v>390.41</v>
      </c>
      <c r="Z172" s="24">
        <v>280.33999999999997</v>
      </c>
      <c r="AA172" s="24">
        <v>274.22000000000003</v>
      </c>
      <c r="AB172" s="24">
        <v>268.11</v>
      </c>
      <c r="AC172" s="24">
        <v>261.99</v>
      </c>
      <c r="AD172" s="24">
        <v>255.88</v>
      </c>
      <c r="AE172" s="5">
        <v>168</v>
      </c>
      <c r="AF172" s="43">
        <v>197.17</v>
      </c>
      <c r="AG172" s="43">
        <v>201.49</v>
      </c>
      <c r="AH172" s="43">
        <v>205.8</v>
      </c>
      <c r="AI172" s="43">
        <v>210.12</v>
      </c>
      <c r="AJ172" s="43">
        <v>214.44</v>
      </c>
      <c r="AK172" s="43">
        <v>218.76</v>
      </c>
      <c r="AL172" s="43">
        <v>223.07</v>
      </c>
      <c r="AM172" s="43">
        <v>227.39</v>
      </c>
      <c r="AN172" s="44">
        <v>231.71</v>
      </c>
      <c r="AO172" s="53">
        <v>236.03</v>
      </c>
      <c r="AP172" s="53">
        <v>240.34</v>
      </c>
      <c r="AQ172" s="44">
        <v>244.66</v>
      </c>
      <c r="AR172" s="44">
        <v>248.98</v>
      </c>
      <c r="AS172" s="72">
        <v>253.3</v>
      </c>
      <c r="AT172" s="59">
        <v>257.61</v>
      </c>
      <c r="AU172" s="65">
        <v>261.93</v>
      </c>
      <c r="AV172" s="65">
        <v>266.25</v>
      </c>
      <c r="AW172" s="65">
        <v>270.57</v>
      </c>
      <c r="AX172" s="65">
        <v>274.89</v>
      </c>
      <c r="AY172" s="65">
        <v>279.2</v>
      </c>
      <c r="AZ172" s="65">
        <v>283.52</v>
      </c>
      <c r="BA172" s="24">
        <v>245.18</v>
      </c>
      <c r="BB172" s="24">
        <v>249.5</v>
      </c>
      <c r="BC172" s="24">
        <v>253.82</v>
      </c>
      <c r="BD172" s="24">
        <v>258.14</v>
      </c>
      <c r="BE172" s="24">
        <v>180.42</v>
      </c>
      <c r="BF172" s="24">
        <v>176.1</v>
      </c>
      <c r="BG172" s="24">
        <v>171.78</v>
      </c>
      <c r="BH172" s="24">
        <v>167.47</v>
      </c>
      <c r="BI172" s="24">
        <v>163.15</v>
      </c>
    </row>
    <row r="173" spans="1:61" x14ac:dyDescent="0.45">
      <c r="A173" s="43">
        <v>330.38</v>
      </c>
      <c r="B173" s="43">
        <v>336.53</v>
      </c>
      <c r="C173" s="43">
        <v>642.69000000000005</v>
      </c>
      <c r="D173" s="43">
        <v>348.84</v>
      </c>
      <c r="E173" s="43">
        <v>354.99</v>
      </c>
      <c r="F173" s="43">
        <v>361.14</v>
      </c>
      <c r="G173" s="43">
        <v>367.29</v>
      </c>
      <c r="H173" s="43">
        <v>373.44</v>
      </c>
      <c r="I173" s="44">
        <v>379.59</v>
      </c>
      <c r="J173" s="53">
        <v>385.75</v>
      </c>
      <c r="K173" s="53">
        <v>391.9</v>
      </c>
      <c r="L173" s="44">
        <v>398.05</v>
      </c>
      <c r="M173" s="44">
        <v>404.2</v>
      </c>
      <c r="N173" s="44">
        <v>410.35</v>
      </c>
      <c r="O173" s="59">
        <v>416.5</v>
      </c>
      <c r="P173" s="65">
        <v>422.66</v>
      </c>
      <c r="Q173" s="65">
        <v>428.81</v>
      </c>
      <c r="R173" s="65">
        <v>434.96</v>
      </c>
      <c r="S173" s="65">
        <v>441.11</v>
      </c>
      <c r="T173" s="65">
        <v>447.26</v>
      </c>
      <c r="U173" s="65">
        <v>453.41</v>
      </c>
      <c r="V173" s="24">
        <v>374.02</v>
      </c>
      <c r="W173" s="24">
        <v>380.17</v>
      </c>
      <c r="X173" s="24">
        <v>386.32</v>
      </c>
      <c r="Y173" s="24">
        <v>392.47</v>
      </c>
      <c r="Z173" s="24">
        <v>281.75</v>
      </c>
      <c r="AA173" s="24">
        <v>275.58999999999997</v>
      </c>
      <c r="AB173" s="24">
        <v>269.44</v>
      </c>
      <c r="AC173" s="24">
        <v>263.29000000000002</v>
      </c>
      <c r="AD173" s="24">
        <v>257.14</v>
      </c>
      <c r="AE173" s="5">
        <v>169</v>
      </c>
      <c r="AF173" s="43">
        <v>198.35</v>
      </c>
      <c r="AG173" s="43">
        <v>202.69</v>
      </c>
      <c r="AH173" s="43">
        <v>207.04</v>
      </c>
      <c r="AI173" s="43">
        <v>211.38</v>
      </c>
      <c r="AJ173" s="43">
        <v>21572</v>
      </c>
      <c r="AK173" s="43">
        <v>220.07</v>
      </c>
      <c r="AL173" s="43">
        <v>224.41</v>
      </c>
      <c r="AM173" s="43">
        <v>228.75</v>
      </c>
      <c r="AN173" s="44">
        <v>233.1</v>
      </c>
      <c r="AO173" s="53">
        <v>237.44</v>
      </c>
      <c r="AP173" s="53">
        <v>241.78</v>
      </c>
      <c r="AQ173" s="44">
        <v>246.13</v>
      </c>
      <c r="AR173" s="44">
        <v>250.47</v>
      </c>
      <c r="AS173" s="72">
        <v>254.81</v>
      </c>
      <c r="AT173" s="59">
        <v>259.16000000000003</v>
      </c>
      <c r="AU173" s="65">
        <v>263.5</v>
      </c>
      <c r="AV173" s="65">
        <v>267.83999999999997</v>
      </c>
      <c r="AW173" s="65">
        <v>272.19</v>
      </c>
      <c r="AX173" s="65">
        <v>276.52999999999997</v>
      </c>
      <c r="AY173" s="65">
        <v>280.87</v>
      </c>
      <c r="AZ173" s="65">
        <v>285.22000000000003</v>
      </c>
      <c r="BA173" s="24">
        <v>246.65</v>
      </c>
      <c r="BB173" s="24">
        <v>250.99</v>
      </c>
      <c r="BC173" s="24">
        <v>255.33</v>
      </c>
      <c r="BD173" s="24">
        <v>259.68</v>
      </c>
      <c r="BE173" s="24">
        <v>181.5</v>
      </c>
      <c r="BF173" s="24">
        <v>177.15</v>
      </c>
      <c r="BG173" s="24">
        <v>172.81</v>
      </c>
      <c r="BH173" s="24">
        <v>168.47</v>
      </c>
      <c r="BI173" s="24">
        <v>164.12</v>
      </c>
    </row>
    <row r="174" spans="1:61" x14ac:dyDescent="0.45">
      <c r="A174" s="43">
        <v>332.37</v>
      </c>
      <c r="B174" s="43">
        <v>338.55</v>
      </c>
      <c r="C174" s="43">
        <v>344.74</v>
      </c>
      <c r="D174" s="43">
        <v>350.9</v>
      </c>
      <c r="E174" s="43">
        <v>357.12</v>
      </c>
      <c r="F174" s="43">
        <v>363.31</v>
      </c>
      <c r="G174" s="43">
        <v>369.49</v>
      </c>
      <c r="H174" s="43">
        <v>375.68</v>
      </c>
      <c r="I174" s="44">
        <v>381.87</v>
      </c>
      <c r="J174" s="53">
        <v>388.06</v>
      </c>
      <c r="K174" s="53">
        <v>394.25</v>
      </c>
      <c r="L174" s="44">
        <v>400.43</v>
      </c>
      <c r="M174" s="44">
        <v>406.62</v>
      </c>
      <c r="N174" s="44">
        <v>412.81</v>
      </c>
      <c r="O174" s="59">
        <v>419</v>
      </c>
      <c r="P174" s="65">
        <v>425.19</v>
      </c>
      <c r="Q174" s="65">
        <v>431.37</v>
      </c>
      <c r="R174" s="65">
        <v>437.56</v>
      </c>
      <c r="S174" s="65">
        <v>443.75</v>
      </c>
      <c r="T174" s="65">
        <v>449.94</v>
      </c>
      <c r="U174" s="65">
        <v>456.13</v>
      </c>
      <c r="V174" s="24">
        <v>376.25</v>
      </c>
      <c r="W174" s="24">
        <v>382.44</v>
      </c>
      <c r="X174" s="24">
        <v>388.62</v>
      </c>
      <c r="Y174" s="24">
        <v>394.81</v>
      </c>
      <c r="Z174" s="24">
        <v>283.75</v>
      </c>
      <c r="AA174" s="24">
        <v>277.24</v>
      </c>
      <c r="AB174" s="24">
        <v>271.05</v>
      </c>
      <c r="AC174" s="24">
        <v>264.86</v>
      </c>
      <c r="AD174" s="24">
        <v>258.68</v>
      </c>
      <c r="AE174" s="5">
        <v>170</v>
      </c>
      <c r="AF174" s="43">
        <v>199.53</v>
      </c>
      <c r="AG174" s="43">
        <v>203.9</v>
      </c>
      <c r="AH174" s="43">
        <v>208.27</v>
      </c>
      <c r="AI174" s="43">
        <v>212.64</v>
      </c>
      <c r="AJ174" s="43">
        <v>217.01</v>
      </c>
      <c r="AK174" s="43">
        <v>221.38</v>
      </c>
      <c r="AL174" s="43">
        <v>225.75</v>
      </c>
      <c r="AM174" s="43">
        <v>230.12</v>
      </c>
      <c r="AN174" s="44">
        <v>234.49</v>
      </c>
      <c r="AO174" s="53">
        <v>238.85</v>
      </c>
      <c r="AP174" s="53">
        <v>243.22</v>
      </c>
      <c r="AQ174" s="44">
        <v>247.59</v>
      </c>
      <c r="AR174" s="44">
        <v>251.96</v>
      </c>
      <c r="AS174" s="72">
        <v>256.33</v>
      </c>
      <c r="AT174" s="59">
        <v>260.7</v>
      </c>
      <c r="AU174" s="65">
        <v>265.07</v>
      </c>
      <c r="AV174" s="65">
        <v>269.44</v>
      </c>
      <c r="AW174" s="65">
        <v>273.81</v>
      </c>
      <c r="AX174" s="65">
        <v>278.18</v>
      </c>
      <c r="AY174" s="65">
        <v>282.54000000000002</v>
      </c>
      <c r="AZ174" s="65">
        <v>286.91000000000003</v>
      </c>
      <c r="BA174" s="24">
        <v>248.11</v>
      </c>
      <c r="BB174" s="24">
        <v>252.48</v>
      </c>
      <c r="BC174" s="24">
        <v>256.85000000000002</v>
      </c>
      <c r="BD174" s="24">
        <v>261.22000000000003</v>
      </c>
      <c r="BE174" s="24">
        <v>182.58</v>
      </c>
      <c r="BF174" s="24">
        <v>178.21</v>
      </c>
      <c r="BG174" s="24">
        <v>173.84</v>
      </c>
      <c r="BH174" s="24">
        <v>169.47</v>
      </c>
      <c r="BI174" s="24">
        <v>165.1</v>
      </c>
    </row>
    <row r="175" spans="1:61" x14ac:dyDescent="0.45">
      <c r="A175" s="43">
        <v>334.35</v>
      </c>
      <c r="B175" s="43">
        <v>340.58</v>
      </c>
      <c r="C175" s="43">
        <v>346.8</v>
      </c>
      <c r="D175" s="43">
        <v>353.03</v>
      </c>
      <c r="E175" s="43">
        <v>359.25</v>
      </c>
      <c r="F175" s="43">
        <v>365.48</v>
      </c>
      <c r="G175" s="43">
        <v>371.7</v>
      </c>
      <c r="H175" s="43">
        <v>377.93</v>
      </c>
      <c r="I175" s="44">
        <v>384.15</v>
      </c>
      <c r="J175" s="53">
        <v>390.37</v>
      </c>
      <c r="K175" s="53">
        <v>396.6</v>
      </c>
      <c r="L175" s="44">
        <v>402.82</v>
      </c>
      <c r="M175" s="44">
        <v>409.05</v>
      </c>
      <c r="N175" s="44">
        <v>415.27</v>
      </c>
      <c r="O175" s="59">
        <v>421.5</v>
      </c>
      <c r="P175" s="65">
        <v>427.72</v>
      </c>
      <c r="Q175" s="65">
        <v>433.94</v>
      </c>
      <c r="R175" s="65">
        <v>440.17</v>
      </c>
      <c r="S175" s="65">
        <v>446.39</v>
      </c>
      <c r="T175" s="65">
        <v>452.62</v>
      </c>
      <c r="U175" s="65">
        <v>458.84</v>
      </c>
      <c r="V175" s="24">
        <v>378.48</v>
      </c>
      <c r="W175" s="24">
        <v>384.71</v>
      </c>
      <c r="X175" s="24">
        <v>390.93</v>
      </c>
      <c r="Y175" s="24">
        <v>397.16</v>
      </c>
      <c r="Z175" s="24">
        <v>285.12</v>
      </c>
      <c r="AA175" s="24">
        <v>278.89</v>
      </c>
      <c r="AB175" s="24">
        <v>272.67</v>
      </c>
      <c r="AC175" s="24">
        <v>266.44</v>
      </c>
      <c r="AD175" s="24">
        <v>260.22000000000003</v>
      </c>
      <c r="AE175" s="5">
        <v>171</v>
      </c>
      <c r="AF175" s="43">
        <v>200.72</v>
      </c>
      <c r="AG175" s="43">
        <v>250.11</v>
      </c>
      <c r="AH175" s="43">
        <v>209.51</v>
      </c>
      <c r="AI175" s="43">
        <v>213.9</v>
      </c>
      <c r="AJ175" s="43">
        <v>218.3</v>
      </c>
      <c r="AK175" s="43">
        <v>222.69</v>
      </c>
      <c r="AL175" s="43">
        <v>227.09</v>
      </c>
      <c r="AM175" s="43">
        <v>231.48</v>
      </c>
      <c r="AN175" s="44">
        <v>235.88</v>
      </c>
      <c r="AO175" s="53">
        <v>240.27</v>
      </c>
      <c r="AP175" s="53">
        <v>244.67</v>
      </c>
      <c r="AQ175" s="44">
        <v>249.06</v>
      </c>
      <c r="AR175" s="44">
        <v>253.46</v>
      </c>
      <c r="AS175" s="72">
        <v>257.85000000000002</v>
      </c>
      <c r="AT175" s="59">
        <v>262.24</v>
      </c>
      <c r="AU175" s="65">
        <v>266.64</v>
      </c>
      <c r="AV175" s="65">
        <v>271.02999999999997</v>
      </c>
      <c r="AW175" s="65">
        <v>275.43</v>
      </c>
      <c r="AX175" s="65">
        <v>279.82</v>
      </c>
      <c r="AY175" s="65">
        <v>284.22000000000003</v>
      </c>
      <c r="AZ175" s="65">
        <v>288.61</v>
      </c>
      <c r="BA175" s="24">
        <v>249.58</v>
      </c>
      <c r="BB175" s="24">
        <v>253.97</v>
      </c>
      <c r="BC175" s="24">
        <v>258.37</v>
      </c>
      <c r="BD175" s="24">
        <v>262.76</v>
      </c>
      <c r="BE175" s="24">
        <v>183.66</v>
      </c>
      <c r="BF175" s="24">
        <v>179.26</v>
      </c>
      <c r="BG175" s="24">
        <v>174.87</v>
      </c>
      <c r="BH175" s="24">
        <v>170.47</v>
      </c>
      <c r="BI175" s="24">
        <v>166.08</v>
      </c>
    </row>
    <row r="176" spans="1:61" x14ac:dyDescent="0.45">
      <c r="A176" s="43">
        <v>336.35</v>
      </c>
      <c r="B176" s="43">
        <v>342.61</v>
      </c>
      <c r="C176" s="43">
        <v>348.87</v>
      </c>
      <c r="D176" s="43">
        <v>355.13</v>
      </c>
      <c r="E176" s="43">
        <v>361.39</v>
      </c>
      <c r="F176" s="43">
        <v>367.65</v>
      </c>
      <c r="G176" s="43">
        <v>373.91</v>
      </c>
      <c r="H176" s="43">
        <v>380.18</v>
      </c>
      <c r="I176" s="44">
        <v>386.44</v>
      </c>
      <c r="J176" s="53">
        <v>392.7</v>
      </c>
      <c r="K176" s="53">
        <v>398.96</v>
      </c>
      <c r="L176" s="44">
        <v>405.22</v>
      </c>
      <c r="M176" s="44">
        <v>411.48</v>
      </c>
      <c r="N176" s="44">
        <v>417.74</v>
      </c>
      <c r="O176" s="59" t="s">
        <v>308</v>
      </c>
      <c r="P176" s="65">
        <v>430.26</v>
      </c>
      <c r="Q176" s="65">
        <v>436.52</v>
      </c>
      <c r="R176" s="65">
        <v>442.78</v>
      </c>
      <c r="S176" s="65">
        <v>449.04</v>
      </c>
      <c r="T176" s="65">
        <v>455.3</v>
      </c>
      <c r="U176" s="65">
        <v>461.57</v>
      </c>
      <c r="V176" s="24">
        <v>380.72</v>
      </c>
      <c r="W176" s="24">
        <v>386.98</v>
      </c>
      <c r="X176" s="24">
        <v>393.24</v>
      </c>
      <c r="Y176" s="24">
        <v>399.5</v>
      </c>
      <c r="Z176" s="24">
        <v>286.81</v>
      </c>
      <c r="AA176" s="24">
        <v>280.55</v>
      </c>
      <c r="AB176" s="24">
        <v>274.27999999999997</v>
      </c>
      <c r="AC176" s="24">
        <v>268.02</v>
      </c>
      <c r="AD176" s="24">
        <v>261.76</v>
      </c>
      <c r="AE176" s="5">
        <v>172</v>
      </c>
      <c r="AF176" s="43">
        <v>201.91</v>
      </c>
      <c r="AG176" s="43">
        <v>206.33</v>
      </c>
      <c r="AH176" s="43">
        <v>210.75</v>
      </c>
      <c r="AI176" s="43">
        <v>215.17</v>
      </c>
      <c r="AJ176" s="43">
        <v>219.59</v>
      </c>
      <c r="AK176" s="43">
        <v>224.01</v>
      </c>
      <c r="AL176" s="43">
        <v>228.43</v>
      </c>
      <c r="AM176" s="43">
        <v>232.85</v>
      </c>
      <c r="AN176" s="44">
        <v>237.27</v>
      </c>
      <c r="AO176" s="53">
        <v>241.69</v>
      </c>
      <c r="AP176" s="53">
        <v>246.11</v>
      </c>
      <c r="AQ176" s="44">
        <v>250.53</v>
      </c>
      <c r="AR176" s="44">
        <v>254.95</v>
      </c>
      <c r="AS176" s="72">
        <v>259.37</v>
      </c>
      <c r="AT176" s="59">
        <v>263.79000000000002</v>
      </c>
      <c r="AU176" s="65">
        <v>268.20999999999998</v>
      </c>
      <c r="AV176" s="65">
        <v>272.63</v>
      </c>
      <c r="AW176" s="65">
        <v>277.05</v>
      </c>
      <c r="AX176" s="65">
        <v>281.47000000000003</v>
      </c>
      <c r="AY176" s="65">
        <v>285.89</v>
      </c>
      <c r="AZ176" s="65">
        <v>290.31</v>
      </c>
      <c r="BA176" s="24">
        <v>251.05</v>
      </c>
      <c r="BB176" s="24">
        <v>255.47</v>
      </c>
      <c r="BC176" s="24">
        <v>259.89</v>
      </c>
      <c r="BD176" s="24">
        <v>264.31</v>
      </c>
      <c r="BE176" s="24">
        <v>184.74</v>
      </c>
      <c r="BF176" s="24">
        <v>180.32</v>
      </c>
      <c r="BG176" s="24">
        <v>175.9</v>
      </c>
      <c r="BH176" s="24">
        <v>171.48</v>
      </c>
      <c r="BI176" s="24">
        <v>167.06</v>
      </c>
    </row>
    <row r="177" spans="1:61" x14ac:dyDescent="0.45">
      <c r="A177" s="43">
        <v>338.35</v>
      </c>
      <c r="B177" s="43">
        <v>344.65</v>
      </c>
      <c r="C177" s="43">
        <v>350.95</v>
      </c>
      <c r="D177" s="43">
        <v>357.24</v>
      </c>
      <c r="E177" s="43">
        <v>363.54</v>
      </c>
      <c r="F177" s="43">
        <v>369.84</v>
      </c>
      <c r="G177" s="43">
        <v>376.13</v>
      </c>
      <c r="H177" s="43">
        <v>382.43</v>
      </c>
      <c r="I177" s="44">
        <v>388.73</v>
      </c>
      <c r="J177" s="53">
        <v>395.03</v>
      </c>
      <c r="K177" s="53">
        <v>401.32</v>
      </c>
      <c r="L177" s="44">
        <v>407.62</v>
      </c>
      <c r="M177" s="44">
        <v>413.92</v>
      </c>
      <c r="N177" s="44">
        <v>420.21</v>
      </c>
      <c r="O177" s="59">
        <v>426.51</v>
      </c>
      <c r="P177" s="65">
        <v>432.81</v>
      </c>
      <c r="Q177" s="65">
        <v>439.11</v>
      </c>
      <c r="R177" s="65">
        <v>445.4</v>
      </c>
      <c r="S177" s="65">
        <v>451.7</v>
      </c>
      <c r="T177" s="65">
        <v>458</v>
      </c>
      <c r="U177" s="65">
        <v>464.29</v>
      </c>
      <c r="V177" s="24">
        <v>382.96</v>
      </c>
      <c r="W177" s="24">
        <v>389.26</v>
      </c>
      <c r="X177" s="24">
        <v>395.55</v>
      </c>
      <c r="Y177" s="24">
        <v>401.85</v>
      </c>
      <c r="Z177" s="24">
        <v>288.5</v>
      </c>
      <c r="AA177" s="24">
        <v>282.2</v>
      </c>
      <c r="AB177" s="24">
        <v>275.91000000000003</v>
      </c>
      <c r="AC177" s="24">
        <v>269.61</v>
      </c>
      <c r="AD177" s="24">
        <v>263.31</v>
      </c>
      <c r="AE177" s="5">
        <v>173</v>
      </c>
      <c r="AF177" s="43">
        <v>202.96</v>
      </c>
      <c r="AG177" s="43">
        <v>207.41</v>
      </c>
      <c r="AH177" s="43">
        <v>211.85</v>
      </c>
      <c r="AI177" s="43">
        <v>216.3</v>
      </c>
      <c r="AJ177" s="43">
        <v>220.74</v>
      </c>
      <c r="AK177" s="43">
        <v>225.19</v>
      </c>
      <c r="AL177" s="43">
        <v>229.64</v>
      </c>
      <c r="AM177" s="43">
        <v>234.08</v>
      </c>
      <c r="AN177" s="44">
        <v>238.53</v>
      </c>
      <c r="AO177" s="53">
        <v>242.98</v>
      </c>
      <c r="AP177" s="53">
        <v>247.42</v>
      </c>
      <c r="AQ177" s="44">
        <v>251.87</v>
      </c>
      <c r="AR177" s="44">
        <v>256.31</v>
      </c>
      <c r="AS177" s="72">
        <v>260.76</v>
      </c>
      <c r="AT177" s="59">
        <v>265.20999999999998</v>
      </c>
      <c r="AU177" s="65">
        <v>269.64999999999998</v>
      </c>
      <c r="AV177" s="65">
        <v>274.10000000000002</v>
      </c>
      <c r="AW177" s="65">
        <v>278.55</v>
      </c>
      <c r="AX177" s="65">
        <v>282.99</v>
      </c>
      <c r="AY177" s="65">
        <v>287.44</v>
      </c>
      <c r="AZ177" s="65">
        <v>291.88</v>
      </c>
      <c r="BA177" s="24">
        <v>252.43</v>
      </c>
      <c r="BB177" s="24">
        <v>256.88</v>
      </c>
      <c r="BC177" s="24">
        <v>261.33</v>
      </c>
      <c r="BD177" s="24">
        <v>265.77</v>
      </c>
      <c r="BE177" s="24">
        <v>185.74</v>
      </c>
      <c r="BF177" s="24">
        <v>181.3</v>
      </c>
      <c r="BG177" s="24">
        <v>176.85</v>
      </c>
      <c r="BH177" s="24">
        <v>172.4</v>
      </c>
      <c r="BI177" s="24">
        <v>167.96</v>
      </c>
    </row>
    <row r="178" spans="1:61" x14ac:dyDescent="0.45">
      <c r="A178" s="43">
        <v>340.36</v>
      </c>
      <c r="B178" s="43">
        <v>346.69</v>
      </c>
      <c r="C178" s="43">
        <v>353.03</v>
      </c>
      <c r="D178" s="43">
        <v>259.36</v>
      </c>
      <c r="E178" s="43">
        <v>365.69</v>
      </c>
      <c r="F178" s="43">
        <v>372.03</v>
      </c>
      <c r="G178" s="43">
        <v>378.36</v>
      </c>
      <c r="H178" s="43">
        <v>384.69</v>
      </c>
      <c r="I178" s="44">
        <v>391.03</v>
      </c>
      <c r="J178" s="53">
        <v>397.36</v>
      </c>
      <c r="K178" s="53">
        <v>403.69</v>
      </c>
      <c r="L178" s="44">
        <v>410.03</v>
      </c>
      <c r="M178" s="44">
        <v>416.36</v>
      </c>
      <c r="N178" s="44">
        <v>422.7</v>
      </c>
      <c r="O178" s="59">
        <v>429.03</v>
      </c>
      <c r="P178" s="65">
        <v>435.36</v>
      </c>
      <c r="Q178" s="65">
        <v>441.7</v>
      </c>
      <c r="R178" s="65">
        <v>448.03</v>
      </c>
      <c r="S178" s="65">
        <v>454.36</v>
      </c>
      <c r="T178" s="65">
        <v>460.7</v>
      </c>
      <c r="U178" s="65">
        <v>467.03</v>
      </c>
      <c r="V178" s="24">
        <v>385.2</v>
      </c>
      <c r="W178" s="24">
        <v>391.54</v>
      </c>
      <c r="X178" s="24">
        <v>397.87</v>
      </c>
      <c r="Y178" s="24">
        <v>404.2</v>
      </c>
      <c r="Z178" s="24">
        <v>290.2</v>
      </c>
      <c r="AA178" s="24">
        <v>283.87</v>
      </c>
      <c r="AB178" s="24">
        <v>277.52999999999997</v>
      </c>
      <c r="AC178" s="24">
        <v>271.2</v>
      </c>
      <c r="AD178" s="24">
        <v>264.86</v>
      </c>
      <c r="AE178" s="5">
        <v>174</v>
      </c>
      <c r="AF178" s="43">
        <v>204.15</v>
      </c>
      <c r="AG178" s="43">
        <v>208.62</v>
      </c>
      <c r="AH178" s="43">
        <v>213.09</v>
      </c>
      <c r="AI178" s="43">
        <v>217.57</v>
      </c>
      <c r="AJ178" s="43">
        <v>222.02</v>
      </c>
      <c r="AK178" s="43">
        <v>226.51</v>
      </c>
      <c r="AL178" s="43">
        <v>230.98</v>
      </c>
      <c r="AM178" s="43">
        <v>235.45</v>
      </c>
      <c r="AN178" s="44">
        <v>239.92</v>
      </c>
      <c r="AO178" s="53">
        <v>244.4</v>
      </c>
      <c r="AP178" s="53">
        <v>248.87</v>
      </c>
      <c r="AQ178" s="44">
        <v>253.34</v>
      </c>
      <c r="AR178" s="44">
        <v>257.81</v>
      </c>
      <c r="AS178" s="72">
        <v>262.27999999999997</v>
      </c>
      <c r="AT178" s="59">
        <v>266.76</v>
      </c>
      <c r="AU178" s="65">
        <v>271.23</v>
      </c>
      <c r="AV178" s="65">
        <v>275.7</v>
      </c>
      <c r="AW178" s="65">
        <v>280.17</v>
      </c>
      <c r="AX178" s="65">
        <v>284.64</v>
      </c>
      <c r="AY178" s="65">
        <v>289.11</v>
      </c>
      <c r="AZ178" s="65">
        <v>293.58999999999997</v>
      </c>
      <c r="BA178" s="24">
        <v>253.9</v>
      </c>
      <c r="BB178" s="24">
        <v>258.37</v>
      </c>
      <c r="BC178" s="24">
        <v>262.85000000000002</v>
      </c>
      <c r="BD178" s="24">
        <v>267.32</v>
      </c>
      <c r="BE178" s="24">
        <v>186.82</v>
      </c>
      <c r="BF178" s="24">
        <v>182.35</v>
      </c>
      <c r="BG178" s="24">
        <v>177.88</v>
      </c>
      <c r="BH178" s="24">
        <v>173.41</v>
      </c>
      <c r="BI178" s="24">
        <v>168.94</v>
      </c>
    </row>
    <row r="179" spans="1:61" x14ac:dyDescent="0.45">
      <c r="A179" s="43">
        <v>342.37</v>
      </c>
      <c r="B179" s="43">
        <v>348.74</v>
      </c>
      <c r="C179" s="43">
        <v>355.11</v>
      </c>
      <c r="D179" s="43">
        <v>361.48</v>
      </c>
      <c r="E179" s="43">
        <v>367.85</v>
      </c>
      <c r="F179" s="43">
        <v>374.22</v>
      </c>
      <c r="G179" s="43">
        <v>380.59</v>
      </c>
      <c r="H179" s="43">
        <v>386.96</v>
      </c>
      <c r="I179" s="44">
        <v>393.33</v>
      </c>
      <c r="J179" s="53">
        <v>399.7</v>
      </c>
      <c r="K179" s="53">
        <v>406.07</v>
      </c>
      <c r="L179" s="44">
        <v>412.44</v>
      </c>
      <c r="M179" s="44">
        <v>418.81</v>
      </c>
      <c r="N179" s="44">
        <v>425.18</v>
      </c>
      <c r="O179" s="59">
        <v>431.55</v>
      </c>
      <c r="P179" s="65">
        <v>437.92</v>
      </c>
      <c r="Q179" s="65">
        <v>444.29</v>
      </c>
      <c r="R179" s="65">
        <v>450.66</v>
      </c>
      <c r="S179" s="65">
        <v>457.03</v>
      </c>
      <c r="T179" s="65">
        <v>463.4</v>
      </c>
      <c r="U179" s="65">
        <v>469.77</v>
      </c>
      <c r="V179" s="24">
        <v>387.45</v>
      </c>
      <c r="W179" s="24">
        <v>393.82</v>
      </c>
      <c r="X179" s="24">
        <v>400.19</v>
      </c>
      <c r="Y179" s="24">
        <v>406.56</v>
      </c>
      <c r="Z179" s="24">
        <v>291.89999999999998</v>
      </c>
      <c r="AA179" s="24">
        <v>285.52999999999997</v>
      </c>
      <c r="AB179" s="24">
        <v>279.16000000000003</v>
      </c>
      <c r="AC179" s="24">
        <v>272.79000000000002</v>
      </c>
      <c r="AD179" s="24">
        <v>266.42</v>
      </c>
      <c r="AE179" s="5">
        <v>175</v>
      </c>
      <c r="AF179" s="43">
        <v>205.34</v>
      </c>
      <c r="AG179" s="43">
        <v>209.84</v>
      </c>
      <c r="AH179" s="43">
        <v>214.34</v>
      </c>
      <c r="AI179" s="43">
        <v>218.83</v>
      </c>
      <c r="AJ179" s="43">
        <v>223.33</v>
      </c>
      <c r="AK179" s="43">
        <v>227.83</v>
      </c>
      <c r="AL179" s="43">
        <v>232.33</v>
      </c>
      <c r="AM179" s="43">
        <v>236.82</v>
      </c>
      <c r="AN179" s="44">
        <v>241.32</v>
      </c>
      <c r="AO179" s="53">
        <v>245.82</v>
      </c>
      <c r="AP179" s="53">
        <v>250.32</v>
      </c>
      <c r="AQ179" s="44">
        <v>254.81</v>
      </c>
      <c r="AR179" s="44">
        <v>259.31</v>
      </c>
      <c r="AS179" s="72">
        <v>263.81</v>
      </c>
      <c r="AT179" s="59">
        <v>268.31</v>
      </c>
      <c r="AU179" s="65">
        <v>272.8</v>
      </c>
      <c r="AV179" s="65">
        <v>277.3</v>
      </c>
      <c r="AW179" s="65">
        <v>281.8</v>
      </c>
      <c r="AX179" s="65">
        <v>286.3</v>
      </c>
      <c r="AY179" s="65">
        <v>290.79000000000002</v>
      </c>
      <c r="AZ179" s="65">
        <v>295.29000000000002</v>
      </c>
      <c r="BA179" s="24">
        <v>255.37</v>
      </c>
      <c r="BB179" s="24">
        <v>259.87</v>
      </c>
      <c r="BC179" s="24">
        <v>264.37</v>
      </c>
      <c r="BD179" s="24">
        <v>268.86</v>
      </c>
      <c r="BE179" s="24">
        <v>187.91</v>
      </c>
      <c r="BF179" s="24">
        <v>183.41</v>
      </c>
      <c r="BG179" s="24">
        <v>178.91</v>
      </c>
      <c r="BH179" s="24">
        <v>174.42</v>
      </c>
      <c r="BI179" s="24">
        <v>169.92</v>
      </c>
    </row>
    <row r="180" spans="1:61" x14ac:dyDescent="0.45">
      <c r="A180" s="43">
        <v>344.39</v>
      </c>
      <c r="B180" s="43">
        <v>350.8</v>
      </c>
      <c r="C180" s="43">
        <v>357.21</v>
      </c>
      <c r="D180" s="43">
        <v>363.61</v>
      </c>
      <c r="E180" s="43">
        <v>370.02</v>
      </c>
      <c r="F180" s="43">
        <v>376.43</v>
      </c>
      <c r="G180" s="43">
        <v>382.83</v>
      </c>
      <c r="H180" s="43">
        <v>389.24</v>
      </c>
      <c r="I180" s="44">
        <v>395.65</v>
      </c>
      <c r="J180" s="53">
        <v>402.05</v>
      </c>
      <c r="K180" s="53">
        <v>408.46</v>
      </c>
      <c r="L180" s="44">
        <v>414.86</v>
      </c>
      <c r="M180" s="44">
        <v>421.27</v>
      </c>
      <c r="N180" s="44">
        <v>427.68</v>
      </c>
      <c r="O180" s="59">
        <v>434.08</v>
      </c>
      <c r="P180" s="65">
        <v>440.49</v>
      </c>
      <c r="Q180" s="65">
        <v>446.9</v>
      </c>
      <c r="R180" s="65">
        <v>453.3</v>
      </c>
      <c r="S180" s="65">
        <v>459.71</v>
      </c>
      <c r="T180" s="65">
        <v>466.12</v>
      </c>
      <c r="U180" s="65">
        <v>472.52</v>
      </c>
      <c r="V180" s="24">
        <v>389.7</v>
      </c>
      <c r="W180" s="24">
        <v>396.11</v>
      </c>
      <c r="X180" s="24">
        <v>402.52</v>
      </c>
      <c r="Y180" s="24">
        <v>408.92</v>
      </c>
      <c r="Z180" s="24">
        <v>293.61</v>
      </c>
      <c r="AA180" s="24">
        <v>287.2</v>
      </c>
      <c r="AB180" s="24">
        <v>280.79000000000002</v>
      </c>
      <c r="AC180" s="24">
        <v>274.39</v>
      </c>
      <c r="AD180" s="24">
        <v>267.98</v>
      </c>
      <c r="AE180" s="5">
        <v>176</v>
      </c>
      <c r="AF180" s="43">
        <v>206.53</v>
      </c>
      <c r="AG180" s="43">
        <v>211.06</v>
      </c>
      <c r="AH180" s="43">
        <v>215.58</v>
      </c>
      <c r="AI180" s="43">
        <v>220.1</v>
      </c>
      <c r="AJ180" s="43">
        <v>224.63</v>
      </c>
      <c r="AK180" s="43">
        <v>229.15</v>
      </c>
      <c r="AL180" s="43">
        <v>233.67</v>
      </c>
      <c r="AM180" s="43">
        <v>238.19</v>
      </c>
      <c r="AN180" s="44">
        <v>242.72</v>
      </c>
      <c r="AO180" s="53">
        <v>247.24</v>
      </c>
      <c r="AP180" s="53">
        <v>251.76</v>
      </c>
      <c r="AQ180" s="44">
        <v>256.29000000000002</v>
      </c>
      <c r="AR180" s="44">
        <v>260.81</v>
      </c>
      <c r="AS180" s="72">
        <v>265.33</v>
      </c>
      <c r="AT180" s="59">
        <v>269.86</v>
      </c>
      <c r="AU180" s="65">
        <v>274.38</v>
      </c>
      <c r="AV180" s="65" t="s">
        <v>310</v>
      </c>
      <c r="AW180" s="65">
        <v>283.43</v>
      </c>
      <c r="AX180" s="65">
        <v>287.95</v>
      </c>
      <c r="AY180" s="65">
        <v>292.47000000000003</v>
      </c>
      <c r="AZ180" s="65">
        <v>297</v>
      </c>
      <c r="BA180" s="24">
        <v>256.83999999999997</v>
      </c>
      <c r="BB180" s="24">
        <v>261.37</v>
      </c>
      <c r="BC180" s="24">
        <v>265.89</v>
      </c>
      <c r="BD180" s="24">
        <v>270.41000000000003</v>
      </c>
      <c r="BE180" s="24">
        <v>188.99</v>
      </c>
      <c r="BF180" s="24">
        <v>184.47</v>
      </c>
      <c r="BG180" s="24">
        <v>179.95</v>
      </c>
      <c r="BH180" s="24">
        <v>175.42</v>
      </c>
      <c r="BI180" s="24">
        <v>170.9</v>
      </c>
    </row>
    <row r="181" spans="1:61" x14ac:dyDescent="0.45">
      <c r="A181" s="43">
        <v>346.42</v>
      </c>
      <c r="B181" s="43">
        <v>352.86</v>
      </c>
      <c r="C181" s="43">
        <v>359.31</v>
      </c>
      <c r="D181" s="43">
        <v>365.75</v>
      </c>
      <c r="E181" s="43">
        <v>372.19</v>
      </c>
      <c r="F181" s="43">
        <v>378.64</v>
      </c>
      <c r="G181" s="43">
        <v>385.08</v>
      </c>
      <c r="H181" s="43">
        <v>391.52</v>
      </c>
      <c r="I181" s="44">
        <v>397.96</v>
      </c>
      <c r="J181" s="53">
        <v>404.41</v>
      </c>
      <c r="K181" s="53">
        <v>410.85</v>
      </c>
      <c r="L181" s="44">
        <v>417.29</v>
      </c>
      <c r="M181" s="44">
        <v>423.74</v>
      </c>
      <c r="N181" s="44">
        <v>430.18</v>
      </c>
      <c r="O181" s="59">
        <v>436.62</v>
      </c>
      <c r="P181" s="65">
        <v>443.06</v>
      </c>
      <c r="Q181" s="65">
        <v>449.51</v>
      </c>
      <c r="R181" s="65">
        <v>455.95</v>
      </c>
      <c r="S181" s="65">
        <v>462.39</v>
      </c>
      <c r="T181" s="65">
        <v>468.84</v>
      </c>
      <c r="U181" s="65">
        <v>475.28</v>
      </c>
      <c r="V181" s="24">
        <v>391.96</v>
      </c>
      <c r="W181" s="24">
        <v>398.4</v>
      </c>
      <c r="X181" s="24">
        <v>404.84</v>
      </c>
      <c r="Y181" s="24">
        <v>411.29</v>
      </c>
      <c r="Z181" s="24">
        <v>295.32</v>
      </c>
      <c r="AA181" s="24">
        <v>288.87</v>
      </c>
      <c r="AB181" s="24">
        <v>282.43</v>
      </c>
      <c r="AC181" s="24">
        <v>275.99</v>
      </c>
      <c r="AD181" s="24">
        <v>269.54000000000002</v>
      </c>
      <c r="AE181" s="5">
        <v>177</v>
      </c>
      <c r="AF181" s="43">
        <v>207.73</v>
      </c>
      <c r="AG181" s="43">
        <v>212.28</v>
      </c>
      <c r="AH181" s="43">
        <v>216.82</v>
      </c>
      <c r="AI181" s="43">
        <v>221.37</v>
      </c>
      <c r="AJ181" s="43">
        <v>225.92</v>
      </c>
      <c r="AK181" s="43">
        <v>230.47</v>
      </c>
      <c r="AL181" s="43">
        <v>235.02</v>
      </c>
      <c r="AM181" s="43">
        <v>239.57</v>
      </c>
      <c r="AN181" s="44">
        <v>244.12</v>
      </c>
      <c r="AO181" s="53">
        <v>248.67</v>
      </c>
      <c r="AP181" s="53">
        <v>253.22</v>
      </c>
      <c r="AQ181" s="44">
        <v>257.76</v>
      </c>
      <c r="AR181" s="44">
        <v>262.31</v>
      </c>
      <c r="AS181" s="72">
        <v>266.86</v>
      </c>
      <c r="AT181" s="59">
        <v>271.41000000000003</v>
      </c>
      <c r="AU181" s="65">
        <v>275.95999999999998</v>
      </c>
      <c r="AV181" s="65">
        <v>280.51</v>
      </c>
      <c r="AW181" s="65">
        <v>285.06</v>
      </c>
      <c r="AX181" s="65">
        <v>289.61</v>
      </c>
      <c r="AY181" s="65">
        <v>294.16000000000003</v>
      </c>
      <c r="AZ181" s="65">
        <v>298.7</v>
      </c>
      <c r="BA181" s="24">
        <v>258.31</v>
      </c>
      <c r="BB181" s="24">
        <v>262.86</v>
      </c>
      <c r="BC181" s="24">
        <v>267.41000000000003</v>
      </c>
      <c r="BD181" s="24">
        <v>271.95999999999998</v>
      </c>
      <c r="BE181" s="24">
        <v>190.08</v>
      </c>
      <c r="BF181" s="24">
        <v>185.53</v>
      </c>
      <c r="BG181" s="24">
        <v>180.98</v>
      </c>
      <c r="BH181" s="24">
        <v>176.43</v>
      </c>
      <c r="BI181" s="24">
        <v>171.89</v>
      </c>
    </row>
    <row r="182" spans="1:61" x14ac:dyDescent="0.45">
      <c r="A182" s="43">
        <v>347.93</v>
      </c>
      <c r="B182" s="43">
        <v>354.41</v>
      </c>
      <c r="C182" s="43">
        <v>360.87</v>
      </c>
      <c r="D182" s="43">
        <v>367.37</v>
      </c>
      <c r="E182" s="43">
        <v>373.85</v>
      </c>
      <c r="F182" s="43">
        <v>380.33</v>
      </c>
      <c r="G182" s="43">
        <v>386.8</v>
      </c>
      <c r="H182" s="43">
        <v>393.28</v>
      </c>
      <c r="I182" s="44">
        <v>399.76</v>
      </c>
      <c r="J182" s="53">
        <v>406.24</v>
      </c>
      <c r="K182" s="53">
        <v>412.72</v>
      </c>
      <c r="L182" s="44">
        <v>419.2</v>
      </c>
      <c r="M182" s="44">
        <v>425.68</v>
      </c>
      <c r="N182" s="44">
        <v>432.16</v>
      </c>
      <c r="O182" s="59">
        <v>438.64</v>
      </c>
      <c r="P182" s="65">
        <v>445.12</v>
      </c>
      <c r="Q182" s="65">
        <v>451.6</v>
      </c>
      <c r="R182" s="65">
        <v>458.08</v>
      </c>
      <c r="S182" s="65">
        <v>464.55</v>
      </c>
      <c r="T182" s="65">
        <v>471.03</v>
      </c>
      <c r="U182" s="65">
        <v>477.51</v>
      </c>
      <c r="V182" s="24">
        <v>393.91</v>
      </c>
      <c r="W182" s="24">
        <v>400.39</v>
      </c>
      <c r="X182" s="24">
        <v>406.87</v>
      </c>
      <c r="Y182" s="24">
        <v>413.35</v>
      </c>
      <c r="Z182" s="24">
        <v>296.72000000000003</v>
      </c>
      <c r="AA182" s="24">
        <v>290.24</v>
      </c>
      <c r="AB182" s="24">
        <v>283.76</v>
      </c>
      <c r="AC182" s="24">
        <v>277.27999999999997</v>
      </c>
      <c r="AD182" s="24">
        <v>270.81</v>
      </c>
      <c r="AE182" s="5">
        <v>178</v>
      </c>
      <c r="AF182" s="43">
        <v>208.92</v>
      </c>
      <c r="AG182" s="43">
        <v>213.5</v>
      </c>
      <c r="AH182" s="43">
        <v>218.07</v>
      </c>
      <c r="AI182" s="43">
        <v>222.65</v>
      </c>
      <c r="AJ182" s="43">
        <v>227.22</v>
      </c>
      <c r="AK182" s="43">
        <v>231.79</v>
      </c>
      <c r="AL182" s="43">
        <v>236.37</v>
      </c>
      <c r="AM182" s="43">
        <v>240.94</v>
      </c>
      <c r="AN182" s="44">
        <v>245.52</v>
      </c>
      <c r="AO182" s="53">
        <v>250.09</v>
      </c>
      <c r="AP182" s="53">
        <v>254.67</v>
      </c>
      <c r="AQ182" s="44">
        <v>259.24</v>
      </c>
      <c r="AR182" s="44">
        <v>263.82</v>
      </c>
      <c r="AS182" s="72">
        <v>268.39</v>
      </c>
      <c r="AT182" s="59">
        <v>272.97000000000003</v>
      </c>
      <c r="AU182" s="65">
        <v>277.54000000000002</v>
      </c>
      <c r="AV182" s="65">
        <v>282.12</v>
      </c>
      <c r="AW182" s="65">
        <v>286.69</v>
      </c>
      <c r="AX182" s="65">
        <v>291.26</v>
      </c>
      <c r="AY182" s="65">
        <v>295.83999999999997</v>
      </c>
      <c r="AZ182" s="65">
        <v>300.41000000000003</v>
      </c>
      <c r="BA182" s="24">
        <v>259.79000000000002</v>
      </c>
      <c r="BB182" s="24">
        <v>264.36</v>
      </c>
      <c r="BC182" s="24">
        <v>268.94</v>
      </c>
      <c r="BD182" s="24">
        <v>273.51</v>
      </c>
      <c r="BE182" s="24">
        <v>191.17</v>
      </c>
      <c r="BF182" s="24">
        <v>186.59</v>
      </c>
      <c r="BG182" s="24">
        <v>182.02</v>
      </c>
      <c r="BH182" s="24">
        <v>177.44</v>
      </c>
      <c r="BI182" s="24">
        <v>172.87</v>
      </c>
    </row>
    <row r="183" spans="1:61" x14ac:dyDescent="0.45">
      <c r="A183" s="43">
        <v>349.96</v>
      </c>
      <c r="B183" s="43">
        <v>256.48</v>
      </c>
      <c r="C183" s="43">
        <v>363</v>
      </c>
      <c r="D183" s="43">
        <v>369.51</v>
      </c>
      <c r="E183" s="43">
        <v>376.03</v>
      </c>
      <c r="F183" s="43">
        <v>382.54</v>
      </c>
      <c r="G183" s="43">
        <v>389.06</v>
      </c>
      <c r="H183" s="43">
        <v>395.57</v>
      </c>
      <c r="I183" s="44">
        <v>402.09</v>
      </c>
      <c r="J183" s="53">
        <v>408.6</v>
      </c>
      <c r="K183" s="53">
        <v>415.12</v>
      </c>
      <c r="L183" s="44">
        <v>421.64</v>
      </c>
      <c r="M183" s="44">
        <v>428.15</v>
      </c>
      <c r="N183" s="44">
        <v>434.67</v>
      </c>
      <c r="O183" s="59">
        <v>441.18</v>
      </c>
      <c r="P183" s="65">
        <v>447.7</v>
      </c>
      <c r="Q183" s="65">
        <v>454.21</v>
      </c>
      <c r="R183" s="65">
        <v>460.73</v>
      </c>
      <c r="S183" s="65">
        <v>467.24</v>
      </c>
      <c r="T183" s="65">
        <v>473.76</v>
      </c>
      <c r="U183" s="65">
        <v>480.28</v>
      </c>
      <c r="V183" s="24">
        <v>396.17</v>
      </c>
      <c r="W183" s="24">
        <v>402.69</v>
      </c>
      <c r="X183" s="24">
        <v>409.2</v>
      </c>
      <c r="Y183" s="24">
        <v>415.72</v>
      </c>
      <c r="Z183" s="24">
        <v>298.44</v>
      </c>
      <c r="AA183" s="24">
        <v>291.92</v>
      </c>
      <c r="AB183" s="24">
        <v>285.39999999999998</v>
      </c>
      <c r="AC183" s="24">
        <v>278.89</v>
      </c>
      <c r="AD183" s="24">
        <v>272.37</v>
      </c>
      <c r="AE183" s="5">
        <v>179</v>
      </c>
      <c r="AF183" s="43">
        <v>209.98</v>
      </c>
      <c r="AG183" s="43">
        <v>214.58</v>
      </c>
      <c r="AH183" s="43">
        <v>219.18</v>
      </c>
      <c r="AI183" s="43">
        <v>223.78</v>
      </c>
      <c r="AJ183" s="43">
        <v>228.38</v>
      </c>
      <c r="AK183" s="43">
        <v>232.98</v>
      </c>
      <c r="AL183" s="43">
        <v>237.58</v>
      </c>
      <c r="AM183" s="43">
        <v>242.18</v>
      </c>
      <c r="AN183" s="44">
        <v>246.78</v>
      </c>
      <c r="AO183" s="53">
        <v>251.38</v>
      </c>
      <c r="AP183" s="53">
        <v>255.98</v>
      </c>
      <c r="AQ183" s="44">
        <v>260.58</v>
      </c>
      <c r="AR183" s="44">
        <v>265.18</v>
      </c>
      <c r="AS183" s="72">
        <v>269.77999999999997</v>
      </c>
      <c r="AT183" s="59">
        <v>274.38</v>
      </c>
      <c r="AU183" s="65">
        <v>278.98</v>
      </c>
      <c r="AV183" s="65">
        <v>283.58</v>
      </c>
      <c r="AW183" s="65">
        <v>288.18</v>
      </c>
      <c r="AX183" s="65">
        <v>292.77999999999997</v>
      </c>
      <c r="AY183" s="65">
        <v>297.38</v>
      </c>
      <c r="AZ183" s="65">
        <v>301.98</v>
      </c>
      <c r="BA183" s="24">
        <v>261.17</v>
      </c>
      <c r="BB183" s="24">
        <v>265.77</v>
      </c>
      <c r="BC183" s="24">
        <v>270.37</v>
      </c>
      <c r="BD183" s="24">
        <v>274.97000000000003</v>
      </c>
      <c r="BE183" s="24">
        <v>192.17</v>
      </c>
      <c r="BF183" s="24">
        <v>187.57</v>
      </c>
      <c r="BG183" s="24">
        <v>182.97</v>
      </c>
      <c r="BH183" s="24">
        <v>178.37</v>
      </c>
      <c r="BI183" s="24">
        <v>173.77</v>
      </c>
    </row>
    <row r="184" spans="1:61" x14ac:dyDescent="0.45">
      <c r="A184" s="43">
        <v>352.01</v>
      </c>
      <c r="B184" s="43">
        <v>358.56</v>
      </c>
      <c r="C184" s="43">
        <v>365.11</v>
      </c>
      <c r="D184" s="43">
        <v>371.66</v>
      </c>
      <c r="E184" s="43">
        <v>378.21</v>
      </c>
      <c r="F184" s="43">
        <v>384.77</v>
      </c>
      <c r="G184" s="43">
        <v>391.32</v>
      </c>
      <c r="H184" s="43">
        <v>397.87</v>
      </c>
      <c r="I184" s="44">
        <v>404.42</v>
      </c>
      <c r="J184" s="53">
        <v>410.97</v>
      </c>
      <c r="K184" s="53">
        <v>417.53</v>
      </c>
      <c r="L184" s="44">
        <v>424.08</v>
      </c>
      <c r="M184" s="44">
        <v>430.63</v>
      </c>
      <c r="N184" s="44">
        <v>437.18</v>
      </c>
      <c r="O184" s="59">
        <v>443.73</v>
      </c>
      <c r="P184" s="65">
        <v>450.29</v>
      </c>
      <c r="Q184" s="65">
        <v>456.84</v>
      </c>
      <c r="R184" s="65">
        <v>463.39</v>
      </c>
      <c r="S184" s="65">
        <v>469.94</v>
      </c>
      <c r="T184" s="65">
        <v>476.49</v>
      </c>
      <c r="U184" s="65">
        <v>483.05</v>
      </c>
      <c r="V184" s="24">
        <v>398.43</v>
      </c>
      <c r="W184" s="24">
        <v>404.99</v>
      </c>
      <c r="X184" s="24">
        <v>411.54</v>
      </c>
      <c r="Y184" s="24">
        <v>418.09</v>
      </c>
      <c r="Z184" s="24">
        <v>300.14999999999998</v>
      </c>
      <c r="AA184" s="24">
        <v>293.60000000000002</v>
      </c>
      <c r="AB184" s="24">
        <v>287.05</v>
      </c>
      <c r="AC184" s="24">
        <v>280.5</v>
      </c>
      <c r="AD184" s="24">
        <v>273.95</v>
      </c>
      <c r="AE184" s="5">
        <v>180</v>
      </c>
      <c r="AF184" s="43">
        <v>211.18</v>
      </c>
      <c r="AG184" s="43">
        <v>215.8</v>
      </c>
      <c r="AH184" s="43">
        <v>220.43</v>
      </c>
      <c r="AI184" s="43">
        <v>225.05</v>
      </c>
      <c r="AJ184" s="43">
        <v>229.68</v>
      </c>
      <c r="AK184" s="43">
        <v>234.31</v>
      </c>
      <c r="AL184" s="43">
        <v>238.93</v>
      </c>
      <c r="AM184" s="43">
        <v>243.56</v>
      </c>
      <c r="AN184" s="44">
        <v>248.18</v>
      </c>
      <c r="AO184" s="53">
        <v>252.81</v>
      </c>
      <c r="AP184" s="53">
        <v>257.44</v>
      </c>
      <c r="AQ184" s="44">
        <v>262.06</v>
      </c>
      <c r="AR184" s="44">
        <v>266.69</v>
      </c>
      <c r="AS184" s="72">
        <v>271.31</v>
      </c>
      <c r="AT184" s="59">
        <v>275.94</v>
      </c>
      <c r="AU184" s="65">
        <v>280.57</v>
      </c>
      <c r="AV184" s="65">
        <v>285.19</v>
      </c>
      <c r="AW184" s="65">
        <v>289.82</v>
      </c>
      <c r="AX184" s="65">
        <v>294.44</v>
      </c>
      <c r="AY184" s="65">
        <v>299.07</v>
      </c>
      <c r="AZ184" s="65">
        <v>303.7</v>
      </c>
      <c r="BA184" s="24">
        <v>262.64999999999998</v>
      </c>
      <c r="BB184" s="24">
        <v>267.27</v>
      </c>
      <c r="BC184" s="24">
        <v>271.89999999999998</v>
      </c>
      <c r="BD184" s="24">
        <v>276.52999999999997</v>
      </c>
      <c r="BE184" s="24">
        <v>193.26</v>
      </c>
      <c r="BF184" s="24">
        <v>188.63</v>
      </c>
      <c r="BG184" s="24">
        <v>184.01</v>
      </c>
      <c r="BH184" s="24">
        <v>179.38</v>
      </c>
      <c r="BI184" s="24">
        <v>174.75</v>
      </c>
    </row>
    <row r="185" spans="1:61" x14ac:dyDescent="0.45">
      <c r="A185" s="43">
        <v>354.05</v>
      </c>
      <c r="B185" s="43">
        <v>360.64</v>
      </c>
      <c r="C185" s="43">
        <v>367.23</v>
      </c>
      <c r="D185" s="43">
        <v>373.82</v>
      </c>
      <c r="E185" s="43">
        <v>380.41</v>
      </c>
      <c r="F185" s="43">
        <v>387</v>
      </c>
      <c r="G185" s="43">
        <v>393.58</v>
      </c>
      <c r="H185" s="43">
        <v>400.17</v>
      </c>
      <c r="I185" s="44">
        <v>406.76</v>
      </c>
      <c r="J185" s="53">
        <v>413.35</v>
      </c>
      <c r="K185" s="53">
        <v>419.94</v>
      </c>
      <c r="L185" s="44">
        <v>426.53</v>
      </c>
      <c r="M185" s="44">
        <v>433.12</v>
      </c>
      <c r="N185" s="44">
        <v>439.7</v>
      </c>
      <c r="O185" s="59">
        <v>446.29</v>
      </c>
      <c r="P185" s="65">
        <v>452.88</v>
      </c>
      <c r="Q185" s="65">
        <v>459.47</v>
      </c>
      <c r="R185" s="65">
        <v>466.06</v>
      </c>
      <c r="S185" s="65">
        <v>472.65</v>
      </c>
      <c r="T185" s="65">
        <v>479.23</v>
      </c>
      <c r="U185" s="65">
        <v>485.82</v>
      </c>
      <c r="V185" s="24">
        <v>400.7</v>
      </c>
      <c r="W185" s="24">
        <v>407.29</v>
      </c>
      <c r="X185" s="24">
        <v>413.88</v>
      </c>
      <c r="Y185" s="24">
        <v>420.47</v>
      </c>
      <c r="Z185" s="24">
        <v>301.88</v>
      </c>
      <c r="AA185" s="24">
        <v>295.29000000000002</v>
      </c>
      <c r="AB185" s="24">
        <v>288.7</v>
      </c>
      <c r="AC185" s="24">
        <v>282.11</v>
      </c>
      <c r="AD185" s="24">
        <v>275.52</v>
      </c>
      <c r="AE185" s="5">
        <v>181</v>
      </c>
      <c r="AF185" s="43">
        <v>212.38</v>
      </c>
      <c r="AG185" s="43">
        <v>217.03</v>
      </c>
      <c r="AH185" s="43">
        <v>221.68</v>
      </c>
      <c r="AI185" s="43">
        <v>226.33</v>
      </c>
      <c r="AJ185" s="43">
        <v>230.98</v>
      </c>
      <c r="AK185" s="43">
        <v>235.63</v>
      </c>
      <c r="AL185" s="43">
        <v>240.29</v>
      </c>
      <c r="AM185" s="43">
        <v>244.94</v>
      </c>
      <c r="AN185" s="44">
        <v>249.59</v>
      </c>
      <c r="AO185" s="53">
        <v>254.24</v>
      </c>
      <c r="AP185" s="53">
        <v>258.89</v>
      </c>
      <c r="AQ185" s="44">
        <v>263.54000000000002</v>
      </c>
      <c r="AR185" s="44">
        <v>268.2</v>
      </c>
      <c r="AS185" s="72">
        <v>272.85000000000002</v>
      </c>
      <c r="AT185" s="59">
        <v>277.5</v>
      </c>
      <c r="AU185" s="65">
        <v>282.14999999999998</v>
      </c>
      <c r="AV185" s="65">
        <v>286.8</v>
      </c>
      <c r="AW185" s="65">
        <v>291.45</v>
      </c>
      <c r="AX185" s="65">
        <v>296.11</v>
      </c>
      <c r="AY185" s="65">
        <v>300.76</v>
      </c>
      <c r="AZ185" s="65">
        <v>305.41000000000003</v>
      </c>
      <c r="BA185" s="24">
        <v>264.12</v>
      </c>
      <c r="BB185" s="24">
        <v>268.77999999999997</v>
      </c>
      <c r="BC185" s="24">
        <v>273.43</v>
      </c>
      <c r="BD185" s="24">
        <v>278.08</v>
      </c>
      <c r="BE185" s="24">
        <v>194.35</v>
      </c>
      <c r="BF185" s="24">
        <v>189.7</v>
      </c>
      <c r="BG185" s="24">
        <v>185.04</v>
      </c>
      <c r="BH185" s="24">
        <v>180.39</v>
      </c>
      <c r="BI185" s="24">
        <v>175.74</v>
      </c>
    </row>
    <row r="186" spans="1:61" x14ac:dyDescent="0.45">
      <c r="A186" s="43">
        <v>356.11</v>
      </c>
      <c r="B186" s="43">
        <v>362.74</v>
      </c>
      <c r="C186" s="43">
        <v>369.36</v>
      </c>
      <c r="D186" s="43">
        <v>375.99</v>
      </c>
      <c r="E186" s="43">
        <v>382.61</v>
      </c>
      <c r="F186" s="43">
        <v>389.23</v>
      </c>
      <c r="G186" s="43">
        <v>395.86</v>
      </c>
      <c r="H186" s="43">
        <v>402.48</v>
      </c>
      <c r="I186" s="44">
        <v>409.11</v>
      </c>
      <c r="J186" s="53">
        <v>415.73</v>
      </c>
      <c r="K186" s="53">
        <v>422.36</v>
      </c>
      <c r="L186" s="44">
        <v>428.98</v>
      </c>
      <c r="M186" s="44">
        <v>435.61</v>
      </c>
      <c r="N186" s="44">
        <v>442.23</v>
      </c>
      <c r="O186" s="59">
        <v>448.86</v>
      </c>
      <c r="P186" s="65">
        <v>455.48</v>
      </c>
      <c r="Q186" s="65">
        <v>462.11</v>
      </c>
      <c r="R186" s="65">
        <v>468.73</v>
      </c>
      <c r="S186" s="65">
        <v>475.36</v>
      </c>
      <c r="T186" s="65">
        <v>481.98</v>
      </c>
      <c r="U186" s="65">
        <v>488.61</v>
      </c>
      <c r="V186" s="24">
        <v>402.97</v>
      </c>
      <c r="W186" s="24">
        <v>409.5</v>
      </c>
      <c r="X186" s="24">
        <v>416.22</v>
      </c>
      <c r="Y186" s="24">
        <v>422.85</v>
      </c>
      <c r="Z186" s="24">
        <v>303.60000000000002</v>
      </c>
      <c r="AA186" s="24">
        <v>296.98</v>
      </c>
      <c r="AB186" s="24">
        <v>290.35000000000002</v>
      </c>
      <c r="AC186" s="24">
        <v>283.73</v>
      </c>
      <c r="AD186" s="24">
        <v>277.10000000000002</v>
      </c>
      <c r="AE186" s="5">
        <v>182</v>
      </c>
      <c r="AF186" s="43">
        <v>213.58</v>
      </c>
      <c r="AG186" s="43">
        <v>218.25</v>
      </c>
      <c r="AH186" s="43">
        <v>222.923</v>
      </c>
      <c r="AI186" s="43">
        <v>227.64099999999999</v>
      </c>
      <c r="AJ186" s="43">
        <v>232.29</v>
      </c>
      <c r="AK186" s="43">
        <v>236.96</v>
      </c>
      <c r="AL186" s="43">
        <v>241.64</v>
      </c>
      <c r="AM186" s="43">
        <v>246.32</v>
      </c>
      <c r="AN186" s="44">
        <v>251</v>
      </c>
      <c r="AO186" s="53">
        <v>255.67</v>
      </c>
      <c r="AP186" s="53">
        <v>260.35000000000002</v>
      </c>
      <c r="AQ186" s="44">
        <v>265.02999999999997</v>
      </c>
      <c r="AR186" s="44">
        <v>269.70999999999998</v>
      </c>
      <c r="AS186" s="72">
        <v>274.38</v>
      </c>
      <c r="AT186" s="59">
        <v>279.06</v>
      </c>
      <c r="AU186" s="65">
        <v>283.74</v>
      </c>
      <c r="AV186" s="65">
        <v>288.41000000000003</v>
      </c>
      <c r="AW186" s="65">
        <v>293.08999999999997</v>
      </c>
      <c r="AX186" s="65">
        <v>297.77</v>
      </c>
      <c r="AY186" s="65">
        <v>302.45</v>
      </c>
      <c r="AZ186" s="65">
        <v>307.12</v>
      </c>
      <c r="BA186" s="24">
        <v>265.60000000000002</v>
      </c>
      <c r="BB186" s="24">
        <v>270.27999999999997</v>
      </c>
      <c r="BC186" s="24">
        <v>274.95999999999998</v>
      </c>
      <c r="BD186" s="24">
        <v>279.63</v>
      </c>
      <c r="BE186" s="24">
        <v>195.44</v>
      </c>
      <c r="BF186" s="24">
        <v>190.76</v>
      </c>
      <c r="BG186" s="24">
        <v>186.08</v>
      </c>
      <c r="BH186" s="24">
        <v>181.41</v>
      </c>
      <c r="BI186" s="24">
        <v>176.73</v>
      </c>
    </row>
    <row r="187" spans="1:61" x14ac:dyDescent="0.45">
      <c r="A187" s="43">
        <v>358.17</v>
      </c>
      <c r="B187" s="43">
        <v>364.84</v>
      </c>
      <c r="C187" s="43">
        <v>371.5</v>
      </c>
      <c r="D187" s="43">
        <v>378.16</v>
      </c>
      <c r="E187" s="43">
        <v>384.82</v>
      </c>
      <c r="F187" s="43">
        <v>391.48</v>
      </c>
      <c r="G187" s="43">
        <v>398.14</v>
      </c>
      <c r="H187" s="43">
        <v>404.8</v>
      </c>
      <c r="I187" s="44">
        <v>411.46</v>
      </c>
      <c r="J187" s="53">
        <v>418.13</v>
      </c>
      <c r="K187" s="53">
        <v>424.79</v>
      </c>
      <c r="L187" s="44">
        <v>431.45</v>
      </c>
      <c r="M187" s="44">
        <v>438.11</v>
      </c>
      <c r="N187" s="44">
        <v>444.77</v>
      </c>
      <c r="O187" s="59">
        <v>451.43</v>
      </c>
      <c r="P187" s="65">
        <v>458.09</v>
      </c>
      <c r="Q187" s="65">
        <v>464.75</v>
      </c>
      <c r="R187" s="65">
        <v>471.41</v>
      </c>
      <c r="S187" s="65">
        <v>478.08</v>
      </c>
      <c r="T187" s="65">
        <v>484.74</v>
      </c>
      <c r="U187" s="65">
        <v>491.4</v>
      </c>
      <c r="V187" s="24">
        <v>405.25</v>
      </c>
      <c r="W187" s="24">
        <v>411.91</v>
      </c>
      <c r="X187" s="24">
        <v>418.57</v>
      </c>
      <c r="Y187" s="24">
        <v>425.23</v>
      </c>
      <c r="Z187" s="24">
        <v>305.33</v>
      </c>
      <c r="AA187" s="24">
        <v>298.67</v>
      </c>
      <c r="AB187" s="24">
        <v>292.01</v>
      </c>
      <c r="AC187" s="24">
        <v>285.35000000000002</v>
      </c>
      <c r="AD187" s="24">
        <v>278.69</v>
      </c>
      <c r="AE187" s="5">
        <v>183</v>
      </c>
      <c r="AF187" s="43">
        <v>214.78</v>
      </c>
      <c r="AG187" s="43">
        <v>219.48</v>
      </c>
      <c r="AH187" s="43">
        <v>224.19</v>
      </c>
      <c r="AI187" s="43">
        <v>228.89</v>
      </c>
      <c r="AJ187" s="43">
        <v>233.59</v>
      </c>
      <c r="AK187" s="43">
        <v>238.3</v>
      </c>
      <c r="AL187" s="43">
        <v>243</v>
      </c>
      <c r="AM187" s="43">
        <v>247.7</v>
      </c>
      <c r="AN187" s="44">
        <v>252.4</v>
      </c>
      <c r="AO187" s="53">
        <v>257.11</v>
      </c>
      <c r="AP187" s="53">
        <v>261.81</v>
      </c>
      <c r="AQ187" s="44">
        <v>266.51</v>
      </c>
      <c r="AR187" s="44">
        <v>271.22000000000003</v>
      </c>
      <c r="AS187" s="72">
        <v>275.92</v>
      </c>
      <c r="AT187" s="59">
        <v>280.62</v>
      </c>
      <c r="AU187" s="65">
        <v>285.33</v>
      </c>
      <c r="AV187" s="65">
        <v>290.02999999999997</v>
      </c>
      <c r="AW187" s="65">
        <v>294.73</v>
      </c>
      <c r="AX187" s="65">
        <v>299.44</v>
      </c>
      <c r="AY187" s="65">
        <v>304.14</v>
      </c>
      <c r="AZ187" s="65">
        <v>308.83999999999997</v>
      </c>
      <c r="BA187" s="24">
        <v>267.08</v>
      </c>
      <c r="BB187" s="24">
        <v>271.77999999999997</v>
      </c>
      <c r="BC187" s="24">
        <v>276.48</v>
      </c>
      <c r="BD187" s="24">
        <v>281.19</v>
      </c>
      <c r="BE187" s="24">
        <v>196.53</v>
      </c>
      <c r="BF187" s="24">
        <v>191.83</v>
      </c>
      <c r="BG187" s="24">
        <v>187.13</v>
      </c>
      <c r="BH187" s="24">
        <v>182.42</v>
      </c>
      <c r="BI187" s="24">
        <v>177.72</v>
      </c>
    </row>
    <row r="188" spans="1:61" x14ac:dyDescent="0.45">
      <c r="A188" s="43">
        <v>359.68</v>
      </c>
      <c r="B188" s="43">
        <v>366.38</v>
      </c>
      <c r="C188" s="43">
        <v>373.08</v>
      </c>
      <c r="D188" s="43">
        <v>379.77</v>
      </c>
      <c r="E188" s="43">
        <v>386.47</v>
      </c>
      <c r="F188" s="43">
        <v>393.17</v>
      </c>
      <c r="G188" s="43">
        <v>399.87</v>
      </c>
      <c r="H188" s="43">
        <v>406.56</v>
      </c>
      <c r="I188" s="44">
        <v>413.26</v>
      </c>
      <c r="J188" s="53">
        <v>419.96</v>
      </c>
      <c r="K188" s="53">
        <v>426.66</v>
      </c>
      <c r="L188" s="44">
        <v>433.36</v>
      </c>
      <c r="M188" s="44">
        <v>440.05</v>
      </c>
      <c r="N188" s="44">
        <v>446.75</v>
      </c>
      <c r="O188" s="59">
        <v>453.45</v>
      </c>
      <c r="P188" s="65">
        <v>460.15</v>
      </c>
      <c r="Q188" s="65">
        <v>466.84</v>
      </c>
      <c r="R188" s="65">
        <v>473.54</v>
      </c>
      <c r="S188" s="65">
        <v>480.24</v>
      </c>
      <c r="T188" s="65">
        <v>486.94</v>
      </c>
      <c r="U188" s="65">
        <v>493.63</v>
      </c>
      <c r="V188" s="24">
        <v>407.2</v>
      </c>
      <c r="W188" s="24">
        <v>413.9</v>
      </c>
      <c r="X188" s="24">
        <v>420.6</v>
      </c>
      <c r="Y188" s="24">
        <v>427.29</v>
      </c>
      <c r="Z188" s="24">
        <v>306.74</v>
      </c>
      <c r="AA188" s="24">
        <v>300.04000000000002</v>
      </c>
      <c r="AB188" s="24">
        <v>293.33999999999997</v>
      </c>
      <c r="AC188" s="24">
        <v>286.64999999999998</v>
      </c>
      <c r="AD188" s="24">
        <v>279.95</v>
      </c>
      <c r="AE188" s="5">
        <v>184</v>
      </c>
      <c r="AF188" s="43">
        <v>215.84</v>
      </c>
      <c r="AG188" s="43">
        <v>220.56</v>
      </c>
      <c r="AH188" s="43">
        <v>225.29</v>
      </c>
      <c r="AI188" s="43">
        <v>230.02</v>
      </c>
      <c r="AJ188" s="43">
        <v>234.75</v>
      </c>
      <c r="AK188" s="43">
        <v>239.48</v>
      </c>
      <c r="AL188" s="43">
        <v>244.21</v>
      </c>
      <c r="AM188" s="43">
        <v>248.94</v>
      </c>
      <c r="AN188" s="44">
        <v>253.67</v>
      </c>
      <c r="AO188" s="53">
        <v>258.39999999999998</v>
      </c>
      <c r="AP188" s="53">
        <v>263.12</v>
      </c>
      <c r="AQ188" s="44">
        <v>267.85000000000002</v>
      </c>
      <c r="AR188" s="44">
        <v>272.58</v>
      </c>
      <c r="AS188" s="72">
        <v>277.31</v>
      </c>
      <c r="AT188" s="59">
        <v>282.04000000000002</v>
      </c>
      <c r="AU188" s="65">
        <v>286.77</v>
      </c>
      <c r="AV188" s="65">
        <v>291.5</v>
      </c>
      <c r="AW188" s="65">
        <v>296.23</v>
      </c>
      <c r="AX188" s="65">
        <v>300.95</v>
      </c>
      <c r="AY188" s="65">
        <v>305.68</v>
      </c>
      <c r="AZ188" s="65">
        <v>310.41000000000003</v>
      </c>
      <c r="BA188" s="24">
        <v>268.45999999999998</v>
      </c>
      <c r="BB188" s="24">
        <v>273.19</v>
      </c>
      <c r="BC188" s="24">
        <v>277.92</v>
      </c>
      <c r="BD188" s="24">
        <v>282.64999999999998</v>
      </c>
      <c r="BE188" s="24">
        <v>197.53</v>
      </c>
      <c r="BF188" s="24">
        <v>192.8</v>
      </c>
      <c r="BG188" s="24">
        <v>188.07</v>
      </c>
      <c r="BH188" s="24">
        <v>183.35</v>
      </c>
      <c r="BI188" s="24">
        <v>178.62</v>
      </c>
    </row>
    <row r="189" spans="1:61" x14ac:dyDescent="0.45">
      <c r="A189" s="43">
        <v>361.75</v>
      </c>
      <c r="B189" s="43">
        <v>368.49</v>
      </c>
      <c r="C189" s="43">
        <v>375.22</v>
      </c>
      <c r="D189" s="43">
        <v>381.95</v>
      </c>
      <c r="E189" s="43">
        <v>388.69</v>
      </c>
      <c r="F189" s="43">
        <v>395.42</v>
      </c>
      <c r="G189" s="43">
        <v>402.16</v>
      </c>
      <c r="H189" s="43">
        <v>408.89</v>
      </c>
      <c r="I189" s="44">
        <v>415.62</v>
      </c>
      <c r="J189" s="53">
        <v>422.36</v>
      </c>
      <c r="K189" s="53">
        <v>429.09</v>
      </c>
      <c r="L189" s="44">
        <v>435.83</v>
      </c>
      <c r="M189" s="44">
        <v>442.56</v>
      </c>
      <c r="N189" s="44">
        <v>449.29</v>
      </c>
      <c r="O189" s="59">
        <v>456.03</v>
      </c>
      <c r="P189" s="65">
        <v>462.76</v>
      </c>
      <c r="Q189" s="65">
        <v>469.5</v>
      </c>
      <c r="R189" s="65">
        <v>476.23</v>
      </c>
      <c r="S189" s="65">
        <v>482.96</v>
      </c>
      <c r="T189" s="65">
        <v>489.7</v>
      </c>
      <c r="U189" s="65">
        <v>496.43</v>
      </c>
      <c r="V189" s="24">
        <v>409.48</v>
      </c>
      <c r="W189" s="24">
        <v>416.22</v>
      </c>
      <c r="X189" s="24">
        <v>422.95</v>
      </c>
      <c r="Y189" s="24">
        <v>429.69</v>
      </c>
      <c r="Z189" s="24">
        <v>308.47000000000003</v>
      </c>
      <c r="AA189" s="24">
        <v>301.74</v>
      </c>
      <c r="AB189" s="24">
        <v>295.01</v>
      </c>
      <c r="AC189" s="24">
        <v>288.27</v>
      </c>
      <c r="AD189" s="24">
        <v>281.54000000000002</v>
      </c>
      <c r="AE189" s="5">
        <v>185</v>
      </c>
      <c r="AF189" s="43">
        <v>217.04</v>
      </c>
      <c r="AG189" s="43">
        <v>221.8</v>
      </c>
      <c r="AH189" s="43">
        <v>226.55</v>
      </c>
      <c r="AI189" s="43">
        <v>231.31</v>
      </c>
      <c r="AJ189" s="43">
        <v>236.03</v>
      </c>
      <c r="AK189" s="43">
        <v>240.81</v>
      </c>
      <c r="AL189" s="43">
        <v>245.57</v>
      </c>
      <c r="AM189" s="43">
        <v>250.32</v>
      </c>
      <c r="AN189" s="44">
        <v>255.08</v>
      </c>
      <c r="AO189" s="53">
        <v>259.83</v>
      </c>
      <c r="AP189" s="53">
        <v>264.58999999999997</v>
      </c>
      <c r="AQ189" s="44">
        <v>269.33999999999997</v>
      </c>
      <c r="AR189" s="44">
        <v>274.10000000000002</v>
      </c>
      <c r="AS189" s="72">
        <v>278.85000000000002</v>
      </c>
      <c r="AT189" s="59">
        <v>283.60000000000002</v>
      </c>
      <c r="AU189" s="65">
        <v>288.36</v>
      </c>
      <c r="AV189" s="65">
        <v>293.11</v>
      </c>
      <c r="AW189" s="65">
        <v>297.87</v>
      </c>
      <c r="AX189" s="65">
        <v>302.62</v>
      </c>
      <c r="AY189" s="65">
        <v>307.38</v>
      </c>
      <c r="AZ189" s="65">
        <v>312.13</v>
      </c>
      <c r="BA189" s="24">
        <v>269.94</v>
      </c>
      <c r="BB189" s="24">
        <v>274.7</v>
      </c>
      <c r="BC189" s="24">
        <v>279.45</v>
      </c>
      <c r="BD189" s="24">
        <v>284.20999999999998</v>
      </c>
      <c r="BE189" s="24">
        <v>198.63</v>
      </c>
      <c r="BF189" s="24">
        <v>193.87</v>
      </c>
      <c r="BG189" s="24">
        <v>189.12</v>
      </c>
      <c r="BH189" s="24">
        <v>184.36</v>
      </c>
      <c r="BI189" s="24">
        <v>179.61</v>
      </c>
    </row>
    <row r="190" spans="1:61" x14ac:dyDescent="0.45">
      <c r="A190" s="43">
        <v>363.83</v>
      </c>
      <c r="B190" s="43">
        <v>370.6</v>
      </c>
      <c r="C190" s="43">
        <v>377.37</v>
      </c>
      <c r="D190" s="43">
        <v>384.14</v>
      </c>
      <c r="E190" s="43">
        <v>390.91</v>
      </c>
      <c r="F190" s="43">
        <v>397.68</v>
      </c>
      <c r="G190" s="43">
        <v>404.45</v>
      </c>
      <c r="H190" s="43">
        <v>411.22</v>
      </c>
      <c r="I190" s="44">
        <v>418</v>
      </c>
      <c r="J190" s="53">
        <v>424.77</v>
      </c>
      <c r="K190" s="53">
        <v>431.54</v>
      </c>
      <c r="L190" s="44">
        <v>438.31</v>
      </c>
      <c r="M190" s="44">
        <v>445.08</v>
      </c>
      <c r="N190" s="44">
        <v>451.85</v>
      </c>
      <c r="O190" s="59">
        <v>458.62</v>
      </c>
      <c r="P190" s="65">
        <v>465.39</v>
      </c>
      <c r="Q190" s="65">
        <v>472.16</v>
      </c>
      <c r="R190" s="65">
        <v>478.93</v>
      </c>
      <c r="S190" s="65">
        <v>485.7</v>
      </c>
      <c r="T190" s="65">
        <v>492.47</v>
      </c>
      <c r="U190" s="65">
        <v>499.24</v>
      </c>
      <c r="V190" s="24">
        <v>411.77</v>
      </c>
      <c r="W190" s="24">
        <v>418.54</v>
      </c>
      <c r="X190" s="24">
        <v>425.31</v>
      </c>
      <c r="Y190" s="24">
        <v>432.08</v>
      </c>
      <c r="Z190" s="24">
        <v>310.20999999999998</v>
      </c>
      <c r="AA190" s="24">
        <v>303.44</v>
      </c>
      <c r="AB190" s="24">
        <v>296.67</v>
      </c>
      <c r="AC190" s="24">
        <v>289.89999999999998</v>
      </c>
      <c r="AD190" s="24">
        <v>283.13</v>
      </c>
      <c r="AE190" s="5">
        <v>186</v>
      </c>
      <c r="AF190" s="43">
        <v>218.25</v>
      </c>
      <c r="AG190" s="43">
        <v>223.03</v>
      </c>
      <c r="AH190" s="43">
        <v>227.81</v>
      </c>
      <c r="AI190" s="43">
        <v>232.59</v>
      </c>
      <c r="AJ190" s="43">
        <v>237.37</v>
      </c>
      <c r="AK190" s="43">
        <v>242.15</v>
      </c>
      <c r="AL190" s="43">
        <v>246.93</v>
      </c>
      <c r="AM190" s="43">
        <v>251.71</v>
      </c>
      <c r="AN190" s="44">
        <v>256.49</v>
      </c>
      <c r="AO190" s="53">
        <v>261.27</v>
      </c>
      <c r="AP190" s="53">
        <v>266.05</v>
      </c>
      <c r="AQ190" s="44">
        <v>270.83</v>
      </c>
      <c r="AR190" s="44">
        <v>275.61</v>
      </c>
      <c r="AS190" s="72">
        <v>280.39</v>
      </c>
      <c r="AT190" s="59">
        <v>285.17</v>
      </c>
      <c r="AU190" s="65">
        <v>289.95</v>
      </c>
      <c r="AV190" s="65">
        <v>294.73</v>
      </c>
      <c r="AW190" s="65">
        <v>299.51</v>
      </c>
      <c r="AX190" s="65">
        <v>304.29000000000002</v>
      </c>
      <c r="AY190" s="65">
        <v>309.07</v>
      </c>
      <c r="AZ190" s="65">
        <v>313.85000000000002</v>
      </c>
      <c r="BA190" s="24">
        <v>271.42</v>
      </c>
      <c r="BB190" s="24">
        <v>276.2</v>
      </c>
      <c r="BC190" s="24">
        <v>280.98</v>
      </c>
      <c r="BD190" s="24">
        <v>285.76</v>
      </c>
      <c r="BE190" s="24">
        <v>199.72</v>
      </c>
      <c r="BF190" s="24">
        <v>194.94</v>
      </c>
      <c r="BG190" s="24">
        <v>190.16</v>
      </c>
      <c r="BH190" s="24">
        <v>185.38</v>
      </c>
      <c r="BI190" s="24">
        <v>180.6</v>
      </c>
    </row>
    <row r="191" spans="1:61" x14ac:dyDescent="0.45">
      <c r="A191" s="43">
        <v>365.92</v>
      </c>
      <c r="B191" s="43">
        <v>372.73</v>
      </c>
      <c r="C191" s="43">
        <v>379.53</v>
      </c>
      <c r="D191" s="43">
        <v>386.34</v>
      </c>
      <c r="E191" s="43">
        <v>393.15</v>
      </c>
      <c r="F191" s="43">
        <v>399.95</v>
      </c>
      <c r="G191" s="43">
        <v>406.76</v>
      </c>
      <c r="H191" s="43">
        <v>413.57</v>
      </c>
      <c r="I191" s="44">
        <v>420.37</v>
      </c>
      <c r="J191" s="53">
        <v>427.18</v>
      </c>
      <c r="K191" s="53">
        <v>433.99</v>
      </c>
      <c r="L191" s="44">
        <v>440.79</v>
      </c>
      <c r="M191" s="44">
        <v>447.6</v>
      </c>
      <c r="N191" s="44">
        <v>454.41</v>
      </c>
      <c r="O191" s="59">
        <v>461.21</v>
      </c>
      <c r="P191" s="65">
        <v>468.02</v>
      </c>
      <c r="Q191" s="65">
        <v>474.83</v>
      </c>
      <c r="R191" s="65">
        <v>481.63</v>
      </c>
      <c r="S191" s="65">
        <v>488.44</v>
      </c>
      <c r="T191" s="65">
        <v>495.25</v>
      </c>
      <c r="U191" s="65">
        <v>502.05</v>
      </c>
      <c r="V191" s="24">
        <v>414.06</v>
      </c>
      <c r="W191" s="24">
        <v>420.87</v>
      </c>
      <c r="X191" s="24">
        <v>427.67</v>
      </c>
      <c r="Y191" s="24">
        <v>434.48</v>
      </c>
      <c r="Z191" s="24">
        <v>311.95999999999998</v>
      </c>
      <c r="AA191" s="24">
        <v>305.14999999999998</v>
      </c>
      <c r="AB191" s="24">
        <v>298.33999999999997</v>
      </c>
      <c r="AC191" s="24">
        <v>291.54000000000002</v>
      </c>
      <c r="AD191" s="24">
        <v>284.73</v>
      </c>
      <c r="AE191" s="5">
        <v>187</v>
      </c>
      <c r="AF191" s="43">
        <v>219.46</v>
      </c>
      <c r="AG191" s="43">
        <v>224.26</v>
      </c>
      <c r="AH191" s="43">
        <v>229.07</v>
      </c>
      <c r="AI191" s="43">
        <v>233.88</v>
      </c>
      <c r="AJ191" s="43">
        <v>238.68</v>
      </c>
      <c r="AK191" s="43">
        <v>243.49</v>
      </c>
      <c r="AL191" s="43">
        <v>248.29</v>
      </c>
      <c r="AM191" s="43">
        <v>253.1</v>
      </c>
      <c r="AN191" s="44">
        <v>257.91000000000003</v>
      </c>
      <c r="AO191" s="53">
        <v>262.70999999999998</v>
      </c>
      <c r="AP191" s="53">
        <v>267.52</v>
      </c>
      <c r="AQ191" s="44">
        <v>272.32</v>
      </c>
      <c r="AR191" s="44">
        <v>277.13</v>
      </c>
      <c r="AS191" s="72">
        <v>281.94</v>
      </c>
      <c r="AT191" s="59">
        <v>286.74</v>
      </c>
      <c r="AU191" s="65">
        <v>291.55</v>
      </c>
      <c r="AV191" s="65">
        <v>296.35000000000002</v>
      </c>
      <c r="AW191" s="65">
        <v>301.16000000000003</v>
      </c>
      <c r="AX191" s="65">
        <v>305.95999999999998</v>
      </c>
      <c r="AY191" s="65">
        <v>310.77</v>
      </c>
      <c r="AZ191" s="65">
        <v>315.58</v>
      </c>
      <c r="BA191" s="24">
        <v>272.91000000000003</v>
      </c>
      <c r="BB191" s="24">
        <v>277.70999999999998</v>
      </c>
      <c r="BC191" s="24">
        <v>282.52</v>
      </c>
      <c r="BD191" s="24">
        <v>287.32</v>
      </c>
      <c r="BE191" s="24">
        <v>200.82</v>
      </c>
      <c r="BF191" s="24">
        <v>196.01</v>
      </c>
      <c r="BG191" s="24">
        <v>191.21</v>
      </c>
      <c r="BH191" s="24">
        <v>186.4</v>
      </c>
      <c r="BI191" s="24">
        <v>181.59</v>
      </c>
    </row>
    <row r="192" spans="1:61" x14ac:dyDescent="0.45">
      <c r="A192" s="43">
        <v>367.43</v>
      </c>
      <c r="B192" s="43">
        <v>374.27</v>
      </c>
      <c r="C192" s="43">
        <v>381.11</v>
      </c>
      <c r="D192" s="43">
        <v>387.96</v>
      </c>
      <c r="E192" s="43">
        <v>394.8</v>
      </c>
      <c r="F192" s="43">
        <v>401.64</v>
      </c>
      <c r="G192" s="43">
        <v>408.49</v>
      </c>
      <c r="H192" s="43">
        <v>415.33</v>
      </c>
      <c r="I192" s="44">
        <v>422.17</v>
      </c>
      <c r="J192" s="53">
        <v>429.01</v>
      </c>
      <c r="K192" s="53">
        <v>435.86</v>
      </c>
      <c r="L192" s="44">
        <v>442.7</v>
      </c>
      <c r="M192" s="44">
        <v>449.54</v>
      </c>
      <c r="N192" s="44">
        <v>456.39</v>
      </c>
      <c r="O192" s="59">
        <v>463.23</v>
      </c>
      <c r="P192" s="65">
        <v>470.07</v>
      </c>
      <c r="Q192" s="65">
        <v>476.92</v>
      </c>
      <c r="R192" s="65">
        <v>483.76</v>
      </c>
      <c r="S192" s="65">
        <v>490.6</v>
      </c>
      <c r="T192" s="65">
        <v>497.45</v>
      </c>
      <c r="U192" s="65">
        <v>504.29</v>
      </c>
      <c r="V192" s="24">
        <v>416.01</v>
      </c>
      <c r="W192" s="24">
        <v>422.85</v>
      </c>
      <c r="X192" s="24">
        <v>429.7</v>
      </c>
      <c r="Y192" s="24">
        <v>436.54</v>
      </c>
      <c r="Z192" s="24">
        <v>313.36</v>
      </c>
      <c r="AA192" s="24">
        <v>306.52</v>
      </c>
      <c r="AB192" s="24">
        <v>299.68</v>
      </c>
      <c r="AC192" s="24">
        <v>292.83</v>
      </c>
      <c r="AD192" s="24">
        <v>285.99</v>
      </c>
      <c r="AE192" s="5">
        <v>188</v>
      </c>
      <c r="AF192" s="43">
        <v>220.52</v>
      </c>
      <c r="AG192" s="43">
        <v>225.35</v>
      </c>
      <c r="AH192" s="43">
        <v>230.18</v>
      </c>
      <c r="AI192" s="43">
        <v>235.01</v>
      </c>
      <c r="AJ192" s="43">
        <v>239.84</v>
      </c>
      <c r="AK192" s="43">
        <v>244.67</v>
      </c>
      <c r="AL192" s="43">
        <v>249.5</v>
      </c>
      <c r="AM192" s="43">
        <v>254.34</v>
      </c>
      <c r="AN192" s="44">
        <v>259.17</v>
      </c>
      <c r="AO192" s="53">
        <v>264</v>
      </c>
      <c r="AP192" s="53">
        <v>268.83</v>
      </c>
      <c r="AQ192" s="44">
        <v>273.66000000000003</v>
      </c>
      <c r="AR192" s="44">
        <v>278.49</v>
      </c>
      <c r="AS192" s="72">
        <v>283.33</v>
      </c>
      <c r="AT192" s="59">
        <v>288.16000000000003</v>
      </c>
      <c r="AU192" s="65">
        <v>292.99</v>
      </c>
      <c r="AV192" s="65">
        <v>297.82</v>
      </c>
      <c r="AW192" s="65">
        <v>302.64999999999998</v>
      </c>
      <c r="AX192" s="65">
        <v>307.48</v>
      </c>
      <c r="AY192" s="65">
        <v>312.32</v>
      </c>
      <c r="AZ192" s="65">
        <v>317.14999999999998</v>
      </c>
      <c r="BA192" s="24">
        <v>274.29000000000002</v>
      </c>
      <c r="BB192" s="24">
        <v>279.12</v>
      </c>
      <c r="BC192" s="24">
        <v>283.95999999999998</v>
      </c>
      <c r="BD192" s="24">
        <v>288.79000000000002</v>
      </c>
      <c r="BE192" s="24">
        <v>201.82</v>
      </c>
      <c r="BF192" s="24">
        <v>196.99</v>
      </c>
      <c r="BG192" s="24">
        <v>192.16</v>
      </c>
      <c r="BH192" s="24">
        <v>187.32</v>
      </c>
      <c r="BI192" s="24">
        <v>182.49</v>
      </c>
    </row>
    <row r="193" spans="1:61" x14ac:dyDescent="0.45">
      <c r="A193" s="43">
        <v>369.52</v>
      </c>
      <c r="B193" s="43">
        <v>376.4</v>
      </c>
      <c r="C193" s="43">
        <v>383.28</v>
      </c>
      <c r="D193" s="43">
        <v>390.16</v>
      </c>
      <c r="E193" s="43">
        <v>397.04</v>
      </c>
      <c r="F193" s="43">
        <v>403.92</v>
      </c>
      <c r="G193" s="43">
        <v>410.8</v>
      </c>
      <c r="H193" s="43">
        <v>417.68</v>
      </c>
      <c r="I193" s="44">
        <v>424.56</v>
      </c>
      <c r="J193" s="53">
        <v>431.44</v>
      </c>
      <c r="K193" s="53">
        <v>438.32</v>
      </c>
      <c r="L193" s="44">
        <v>445.2</v>
      </c>
      <c r="M193" s="44">
        <v>452.08</v>
      </c>
      <c r="N193" s="44">
        <v>458.96</v>
      </c>
      <c r="O193" s="59">
        <v>465.84</v>
      </c>
      <c r="P193" s="65">
        <v>472.72</v>
      </c>
      <c r="Q193" s="65">
        <v>479.59</v>
      </c>
      <c r="R193" s="65">
        <v>486.47</v>
      </c>
      <c r="S193" s="65">
        <v>493.35</v>
      </c>
      <c r="T193" s="65">
        <v>500.23</v>
      </c>
      <c r="U193" s="65">
        <v>507.11</v>
      </c>
      <c r="V193" s="24">
        <v>418.31</v>
      </c>
      <c r="W193" s="24">
        <v>425.19</v>
      </c>
      <c r="X193" s="24">
        <v>432.06</v>
      </c>
      <c r="Y193" s="24">
        <v>438.94</v>
      </c>
      <c r="Z193" s="24">
        <v>315.11</v>
      </c>
      <c r="AA193" s="24">
        <v>308.23</v>
      </c>
      <c r="AB193" s="24">
        <v>301.35000000000002</v>
      </c>
      <c r="AC193" s="24">
        <v>294.47000000000003</v>
      </c>
      <c r="AD193" s="24">
        <v>287.58999999999997</v>
      </c>
      <c r="AE193" s="5">
        <v>189</v>
      </c>
      <c r="AF193" s="43">
        <v>221.73</v>
      </c>
      <c r="AG193" s="43">
        <v>226.58</v>
      </c>
      <c r="AH193" s="43">
        <v>231.44</v>
      </c>
      <c r="AI193" s="43">
        <v>236.3</v>
      </c>
      <c r="AJ193" s="43">
        <v>241.16</v>
      </c>
      <c r="AK193" s="43">
        <v>246.01</v>
      </c>
      <c r="AL193" s="43">
        <v>250.87</v>
      </c>
      <c r="AM193" s="43">
        <v>255.73</v>
      </c>
      <c r="AN193" s="44">
        <v>260.58999999999997</v>
      </c>
      <c r="AO193" s="53">
        <v>265.44</v>
      </c>
      <c r="AP193" s="53">
        <v>270.3</v>
      </c>
      <c r="AQ193" s="44">
        <v>275.16000000000003</v>
      </c>
      <c r="AR193" s="44">
        <v>280.01</v>
      </c>
      <c r="AS193" s="72">
        <v>284.87</v>
      </c>
      <c r="AT193" s="59">
        <v>289.73</v>
      </c>
      <c r="AU193" s="65">
        <v>294.58999999999997</v>
      </c>
      <c r="AV193" s="65">
        <v>299.44</v>
      </c>
      <c r="AW193" s="65">
        <v>304.3</v>
      </c>
      <c r="AX193" s="65">
        <v>309.16000000000003</v>
      </c>
      <c r="AY193" s="65">
        <v>314.02</v>
      </c>
      <c r="AZ193" s="65">
        <v>318.87</v>
      </c>
      <c r="BA193" s="24">
        <v>275.77999999999997</v>
      </c>
      <c r="BB193" s="24">
        <v>280.63</v>
      </c>
      <c r="BC193" s="24">
        <v>285.49</v>
      </c>
      <c r="BD193" s="24">
        <v>290.35000000000002</v>
      </c>
      <c r="BE193" s="24">
        <v>202.92</v>
      </c>
      <c r="BF193" s="24">
        <v>198.06</v>
      </c>
      <c r="BG193" s="24">
        <v>193.2</v>
      </c>
      <c r="BH193" s="24">
        <v>188.34</v>
      </c>
      <c r="BI193" s="24">
        <v>183.49</v>
      </c>
    </row>
    <row r="194" spans="1:61" x14ac:dyDescent="0.45">
      <c r="A194" s="43">
        <v>371.62</v>
      </c>
      <c r="B194" s="43">
        <v>378.54</v>
      </c>
      <c r="C194" s="43">
        <v>385.46</v>
      </c>
      <c r="D194" s="43">
        <v>392.37</v>
      </c>
      <c r="E194" s="43">
        <v>399.29</v>
      </c>
      <c r="F194" s="43">
        <v>406.2</v>
      </c>
      <c r="G194" s="43">
        <v>413.12</v>
      </c>
      <c r="H194" s="43">
        <v>420.04</v>
      </c>
      <c r="I194" s="44">
        <v>426.95</v>
      </c>
      <c r="J194" s="53">
        <v>433.87</v>
      </c>
      <c r="K194" s="53">
        <v>440.78</v>
      </c>
      <c r="L194" s="44">
        <v>447.7</v>
      </c>
      <c r="M194" s="44">
        <v>454.62</v>
      </c>
      <c r="N194" s="44">
        <v>461.53</v>
      </c>
      <c r="O194" s="59">
        <v>468.45</v>
      </c>
      <c r="P194" s="65">
        <v>475.36</v>
      </c>
      <c r="Q194" s="65">
        <v>482.28</v>
      </c>
      <c r="R194" s="65">
        <v>489.2</v>
      </c>
      <c r="S194" s="65">
        <v>496.11</v>
      </c>
      <c r="T194" s="65">
        <v>503.03</v>
      </c>
      <c r="U194" s="65">
        <v>509.94</v>
      </c>
      <c r="V194" s="24">
        <v>420.61</v>
      </c>
      <c r="W194" s="24">
        <v>427.52</v>
      </c>
      <c r="X194" s="24">
        <v>434.44</v>
      </c>
      <c r="Y194" s="24">
        <v>441.35</v>
      </c>
      <c r="Z194" s="24">
        <v>316.87</v>
      </c>
      <c r="AA194" s="24">
        <v>309.95</v>
      </c>
      <c r="AB194" s="24">
        <v>303.02999999999997</v>
      </c>
      <c r="AC194" s="24">
        <v>296.12</v>
      </c>
      <c r="AD194" s="24">
        <v>289.2</v>
      </c>
      <c r="AE194" s="5">
        <v>190</v>
      </c>
      <c r="AF194" s="43">
        <v>222.94</v>
      </c>
      <c r="AG194" s="43">
        <v>227.82</v>
      </c>
      <c r="AH194" s="43">
        <v>232.71</v>
      </c>
      <c r="AI194" s="43">
        <v>237.59</v>
      </c>
      <c r="AJ194" s="43">
        <v>242.47</v>
      </c>
      <c r="AK194" s="43">
        <v>247.36</v>
      </c>
      <c r="AL194" s="43">
        <v>252.24</v>
      </c>
      <c r="AM194" s="43">
        <v>257.12</v>
      </c>
      <c r="AN194" s="44">
        <v>262</v>
      </c>
      <c r="AO194" s="53">
        <v>266.89</v>
      </c>
      <c r="AP194" s="53">
        <v>271.77</v>
      </c>
      <c r="AQ194" s="44">
        <v>276.64999999999998</v>
      </c>
      <c r="AR194" s="44">
        <v>281.54000000000002</v>
      </c>
      <c r="AS194" s="72">
        <v>286.42</v>
      </c>
      <c r="AT194" s="59">
        <v>291.3</v>
      </c>
      <c r="AU194" s="65">
        <v>296.19</v>
      </c>
      <c r="AV194" s="65">
        <v>301.07</v>
      </c>
      <c r="AW194" s="65">
        <v>305.95</v>
      </c>
      <c r="AX194" s="65">
        <v>310.83</v>
      </c>
      <c r="AY194" s="65">
        <v>315.72000000000003</v>
      </c>
      <c r="AZ194" s="65">
        <v>320.60000000000002</v>
      </c>
      <c r="BA194" s="24">
        <v>277.26</v>
      </c>
      <c r="BB194" s="24">
        <v>282.14</v>
      </c>
      <c r="BC194" s="24">
        <v>287.02999999999997</v>
      </c>
      <c r="BD194" s="24">
        <v>291.91000000000003</v>
      </c>
      <c r="BE194" s="24">
        <v>204.02</v>
      </c>
      <c r="BF194" s="24">
        <v>199.13</v>
      </c>
      <c r="BG194" s="24">
        <v>194.25</v>
      </c>
      <c r="BH194" s="24">
        <v>189.37</v>
      </c>
      <c r="BI194" s="24">
        <v>184.48</v>
      </c>
    </row>
    <row r="195" spans="1:61" x14ac:dyDescent="0.45">
      <c r="A195" s="43">
        <v>373.74</v>
      </c>
      <c r="B195" s="43">
        <v>380.69</v>
      </c>
      <c r="C195" s="43">
        <v>387.64</v>
      </c>
      <c r="D195" s="43">
        <v>394.59</v>
      </c>
      <c r="E195" s="43">
        <v>401.55</v>
      </c>
      <c r="F195" s="43">
        <v>408.5</v>
      </c>
      <c r="G195" s="43">
        <v>415.45</v>
      </c>
      <c r="H195" s="43">
        <v>422.4</v>
      </c>
      <c r="I195" s="44">
        <v>429.36</v>
      </c>
      <c r="J195" s="53">
        <v>436.31</v>
      </c>
      <c r="K195" s="53">
        <v>443.26</v>
      </c>
      <c r="L195" s="44">
        <v>450.21</v>
      </c>
      <c r="M195" s="44">
        <v>457.17</v>
      </c>
      <c r="N195" s="44">
        <v>464.12</v>
      </c>
      <c r="O195" s="59">
        <v>471.07</v>
      </c>
      <c r="P195" s="65">
        <v>478.02</v>
      </c>
      <c r="Q195" s="65">
        <v>484.97</v>
      </c>
      <c r="R195" s="65">
        <v>491.93</v>
      </c>
      <c r="S195" s="65">
        <v>498.88</v>
      </c>
      <c r="T195" s="65">
        <v>505.83</v>
      </c>
      <c r="U195" s="65">
        <v>512.78</v>
      </c>
      <c r="V195" s="24">
        <v>422.91</v>
      </c>
      <c r="W195" s="24">
        <v>429.86</v>
      </c>
      <c r="X195" s="24">
        <v>436.81</v>
      </c>
      <c r="Y195" s="24">
        <v>443.77</v>
      </c>
      <c r="Z195" s="24">
        <v>318.62</v>
      </c>
      <c r="AA195" s="24">
        <v>311.67</v>
      </c>
      <c r="AB195" s="24">
        <v>304.72000000000003</v>
      </c>
      <c r="AC195" s="24">
        <v>297.77</v>
      </c>
      <c r="AD195" s="24">
        <v>290.81</v>
      </c>
      <c r="AE195" s="5">
        <v>191</v>
      </c>
      <c r="AF195" s="43">
        <v>224.26</v>
      </c>
      <c r="AG195" s="43">
        <v>229.07</v>
      </c>
      <c r="AH195" s="43">
        <v>233.97</v>
      </c>
      <c r="AI195" s="43">
        <v>238.88</v>
      </c>
      <c r="AJ195" s="43">
        <v>243.79</v>
      </c>
      <c r="AK195" s="43">
        <v>248.7</v>
      </c>
      <c r="AL195" s="43">
        <v>253.61</v>
      </c>
      <c r="AM195" s="43">
        <v>258.52</v>
      </c>
      <c r="AN195" s="44">
        <v>263.43</v>
      </c>
      <c r="AO195" s="53">
        <v>268.33999999999997</v>
      </c>
      <c r="AP195" s="53">
        <v>273.24</v>
      </c>
      <c r="AQ195" s="44">
        <v>278.14999999999998</v>
      </c>
      <c r="AR195" s="44">
        <v>283.06</v>
      </c>
      <c r="AS195" s="72">
        <v>287.97000000000003</v>
      </c>
      <c r="AT195" s="59">
        <v>292.88</v>
      </c>
      <c r="AU195" s="65">
        <v>297.79000000000002</v>
      </c>
      <c r="AV195" s="65">
        <v>302.7</v>
      </c>
      <c r="AW195" s="65">
        <v>307.61</v>
      </c>
      <c r="AX195" s="65">
        <v>312.51</v>
      </c>
      <c r="AY195" s="65">
        <v>317.42</v>
      </c>
      <c r="AZ195" s="65">
        <v>322.33</v>
      </c>
      <c r="BA195" s="24">
        <v>278.75</v>
      </c>
      <c r="BB195" s="24">
        <v>283.66000000000003</v>
      </c>
      <c r="BC195" s="24">
        <v>288.56</v>
      </c>
      <c r="BD195" s="24">
        <v>293.47000000000003</v>
      </c>
      <c r="BE195" s="24">
        <v>205.12</v>
      </c>
      <c r="BF195" s="24">
        <v>200.21</v>
      </c>
      <c r="BG195" s="24">
        <v>195.3</v>
      </c>
      <c r="BH195" s="24">
        <v>190.39</v>
      </c>
      <c r="BI195" s="24">
        <v>185.48</v>
      </c>
    </row>
    <row r="196" spans="1:61" x14ac:dyDescent="0.45">
      <c r="A196" s="43">
        <v>375.24</v>
      </c>
      <c r="B196" s="43">
        <v>382.23</v>
      </c>
      <c r="C196" s="43">
        <v>389.22</v>
      </c>
      <c r="D196" s="43">
        <v>396.21</v>
      </c>
      <c r="E196" s="43">
        <v>403.2</v>
      </c>
      <c r="F196" s="43">
        <v>410.19</v>
      </c>
      <c r="G196" s="43">
        <v>417.18</v>
      </c>
      <c r="H196" s="43">
        <v>424.17</v>
      </c>
      <c r="I196" s="44">
        <v>431.15</v>
      </c>
      <c r="J196" s="53">
        <v>438.14</v>
      </c>
      <c r="K196" s="53">
        <v>445.13</v>
      </c>
      <c r="L196" s="44">
        <v>452.12</v>
      </c>
      <c r="M196" s="44">
        <v>459.11</v>
      </c>
      <c r="N196" s="44">
        <v>466.1</v>
      </c>
      <c r="O196" s="59">
        <v>473.09</v>
      </c>
      <c r="P196" s="65">
        <v>480.08</v>
      </c>
      <c r="Q196" s="65">
        <v>487.06</v>
      </c>
      <c r="R196" s="65">
        <v>494.05</v>
      </c>
      <c r="S196" s="65">
        <v>501.04</v>
      </c>
      <c r="T196" s="65">
        <v>508.03</v>
      </c>
      <c r="U196" s="65">
        <v>515.02</v>
      </c>
      <c r="V196" s="24">
        <v>424.86</v>
      </c>
      <c r="W196" s="24">
        <v>431.85</v>
      </c>
      <c r="X196" s="24">
        <v>438.84</v>
      </c>
      <c r="Y196" s="24">
        <v>445.83</v>
      </c>
      <c r="Z196" s="24">
        <v>320.02999999999997</v>
      </c>
      <c r="AA196" s="24">
        <v>313.04000000000002</v>
      </c>
      <c r="AB196" s="24">
        <v>306.05</v>
      </c>
      <c r="AC196" s="24">
        <v>299.06</v>
      </c>
      <c r="AD196" s="24">
        <v>292.07</v>
      </c>
      <c r="AE196" s="5">
        <v>192</v>
      </c>
      <c r="AF196" s="43">
        <v>225.21</v>
      </c>
      <c r="AG196" s="43">
        <v>230.15</v>
      </c>
      <c r="AH196" s="43">
        <v>235.08</v>
      </c>
      <c r="AI196" s="43">
        <v>240.02</v>
      </c>
      <c r="AJ196" s="43">
        <v>244.95</v>
      </c>
      <c r="AK196" s="43">
        <v>249.89</v>
      </c>
      <c r="AL196" s="43">
        <v>254.82</v>
      </c>
      <c r="AM196" s="43">
        <v>259.75</v>
      </c>
      <c r="AN196" s="44">
        <v>264.69</v>
      </c>
      <c r="AO196" s="53">
        <v>269.62</v>
      </c>
      <c r="AP196" s="53">
        <v>274.56</v>
      </c>
      <c r="AQ196" s="44">
        <v>279.49</v>
      </c>
      <c r="AR196" s="44">
        <v>284.43</v>
      </c>
      <c r="AS196" s="72">
        <v>289.36</v>
      </c>
      <c r="AT196" s="59">
        <v>294.3</v>
      </c>
      <c r="AU196" s="65">
        <v>299.23</v>
      </c>
      <c r="AV196" s="65">
        <v>304.16000000000003</v>
      </c>
      <c r="AW196" s="65">
        <v>309.10000000000002</v>
      </c>
      <c r="AX196" s="65">
        <v>314.02999999999997</v>
      </c>
      <c r="AY196" s="65">
        <v>318.97000000000003</v>
      </c>
      <c r="AZ196" s="65">
        <v>323.89999999999998</v>
      </c>
      <c r="BA196" s="24">
        <v>280.13</v>
      </c>
      <c r="BB196" s="24">
        <v>285.07</v>
      </c>
      <c r="BC196" s="24">
        <v>290</v>
      </c>
      <c r="BD196" s="24">
        <v>294.94</v>
      </c>
      <c r="BE196" s="24">
        <v>206.12</v>
      </c>
      <c r="BF196" s="24">
        <v>201.18</v>
      </c>
      <c r="BG196" s="24">
        <v>196.25</v>
      </c>
      <c r="BH196" s="24">
        <v>191.31</v>
      </c>
      <c r="BI196" s="24">
        <v>186.38</v>
      </c>
    </row>
    <row r="197" spans="1:61" x14ac:dyDescent="0.45">
      <c r="A197" s="43">
        <v>377.36</v>
      </c>
      <c r="B197" s="43">
        <v>384.39</v>
      </c>
      <c r="C197" s="43">
        <v>391.41</v>
      </c>
      <c r="D197" s="43">
        <v>398.44</v>
      </c>
      <c r="E197" s="43">
        <v>405.46</v>
      </c>
      <c r="F197" s="43">
        <v>412.49</v>
      </c>
      <c r="G197" s="43">
        <v>419.52</v>
      </c>
      <c r="H197" s="43">
        <v>426.54</v>
      </c>
      <c r="I197" s="44">
        <v>433.57</v>
      </c>
      <c r="J197" s="53">
        <v>440.59</v>
      </c>
      <c r="K197" s="53">
        <v>447.62</v>
      </c>
      <c r="L197" s="44">
        <v>454.64</v>
      </c>
      <c r="M197" s="44">
        <v>461.67</v>
      </c>
      <c r="N197" s="44">
        <v>468.69</v>
      </c>
      <c r="O197" s="59">
        <v>475.72</v>
      </c>
      <c r="P197" s="65">
        <v>482.74</v>
      </c>
      <c r="Q197" s="65">
        <v>489.77</v>
      </c>
      <c r="R197" s="65">
        <v>496.79</v>
      </c>
      <c r="S197" s="65">
        <v>503.82</v>
      </c>
      <c r="T197" s="65">
        <v>510.84</v>
      </c>
      <c r="U197" s="65">
        <v>517.87</v>
      </c>
      <c r="V197" s="24">
        <v>427.17</v>
      </c>
      <c r="W197" s="24">
        <v>434.2</v>
      </c>
      <c r="X197" s="24">
        <v>441.22</v>
      </c>
      <c r="Y197" s="24">
        <v>448.25</v>
      </c>
      <c r="Z197" s="24">
        <v>321.79000000000002</v>
      </c>
      <c r="AA197" s="24">
        <v>314.77</v>
      </c>
      <c r="AB197" s="24">
        <v>307.74</v>
      </c>
      <c r="AC197" s="24">
        <v>300.72000000000003</v>
      </c>
      <c r="AD197" s="24">
        <v>293.69</v>
      </c>
      <c r="AE197" s="5">
        <v>193</v>
      </c>
      <c r="AF197" s="43">
        <v>226.43</v>
      </c>
      <c r="AG197" s="43">
        <v>231.39</v>
      </c>
      <c r="AH197" s="43">
        <v>236.35</v>
      </c>
      <c r="AI197" s="43">
        <v>241.31</v>
      </c>
      <c r="AJ197" s="43">
        <v>246.27</v>
      </c>
      <c r="AK197" s="43">
        <v>251.23</v>
      </c>
      <c r="AL197" s="43">
        <v>256.19</v>
      </c>
      <c r="AM197" s="43">
        <v>261.14999999999998</v>
      </c>
      <c r="AN197" s="44">
        <v>266.11</v>
      </c>
      <c r="AO197" s="53">
        <v>271.07</v>
      </c>
      <c r="AP197" s="53">
        <v>276.02999999999997</v>
      </c>
      <c r="AQ197" s="44">
        <v>280.99</v>
      </c>
      <c r="AR197" s="44">
        <v>285.95</v>
      </c>
      <c r="AS197" s="72">
        <v>290.91000000000003</v>
      </c>
      <c r="AT197" s="59">
        <v>295.87</v>
      </c>
      <c r="AU197" s="65">
        <v>300.83</v>
      </c>
      <c r="AV197" s="65">
        <v>305.79000000000002</v>
      </c>
      <c r="AW197" s="65">
        <v>310.75</v>
      </c>
      <c r="AX197" s="65">
        <v>315.70999999999998</v>
      </c>
      <c r="AY197" s="65">
        <v>320.67</v>
      </c>
      <c r="AZ197" s="65">
        <v>325.02999999999997</v>
      </c>
      <c r="BA197" s="24">
        <v>281.62</v>
      </c>
      <c r="BB197" s="24">
        <v>286.58</v>
      </c>
      <c r="BC197" s="24">
        <v>291.54000000000002</v>
      </c>
      <c r="BD197" s="24">
        <v>296.5</v>
      </c>
      <c r="BE197" s="24">
        <v>207.22</v>
      </c>
      <c r="BF197" s="24">
        <v>202.26</v>
      </c>
      <c r="BG197" s="24">
        <v>197.3</v>
      </c>
      <c r="BH197" s="24">
        <v>192.34</v>
      </c>
      <c r="BI197" s="24">
        <v>187.38</v>
      </c>
    </row>
    <row r="198" spans="1:61" x14ac:dyDescent="0.45">
      <c r="A198" s="43">
        <v>379.49</v>
      </c>
      <c r="B198" s="43">
        <v>386.56</v>
      </c>
      <c r="C198" s="43">
        <v>393.62</v>
      </c>
      <c r="D198" s="43">
        <v>400.68</v>
      </c>
      <c r="E198" s="43">
        <v>407.74</v>
      </c>
      <c r="F198" s="43">
        <v>414.8</v>
      </c>
      <c r="G198" s="43">
        <v>421.86</v>
      </c>
      <c r="H198" s="43">
        <v>428.92</v>
      </c>
      <c r="I198" s="44">
        <v>435.99</v>
      </c>
      <c r="J198" s="53">
        <v>443.05</v>
      </c>
      <c r="K198" s="53">
        <v>450.11</v>
      </c>
      <c r="L198" s="44">
        <v>457.17</v>
      </c>
      <c r="M198" s="44">
        <v>464.23</v>
      </c>
      <c r="N198" s="44">
        <v>471.29</v>
      </c>
      <c r="O198" s="59">
        <v>478.36</v>
      </c>
      <c r="P198" s="65">
        <v>485.42</v>
      </c>
      <c r="Q198" s="65">
        <v>492.48</v>
      </c>
      <c r="R198" s="65">
        <v>499.54</v>
      </c>
      <c r="S198" s="65">
        <v>506.6</v>
      </c>
      <c r="T198" s="65">
        <v>513.66</v>
      </c>
      <c r="U198" s="65">
        <v>520.73</v>
      </c>
      <c r="V198" s="24">
        <v>429.49</v>
      </c>
      <c r="W198" s="24">
        <v>436.55</v>
      </c>
      <c r="X198" s="24">
        <v>443.61</v>
      </c>
      <c r="Y198" s="24">
        <v>450.67</v>
      </c>
      <c r="Z198" s="24">
        <v>323.56</v>
      </c>
      <c r="AA198" s="24">
        <v>316.5</v>
      </c>
      <c r="AB198" s="24">
        <v>309.44</v>
      </c>
      <c r="AC198" s="24">
        <v>302.38</v>
      </c>
      <c r="AD198" s="24">
        <v>295.32</v>
      </c>
      <c r="AE198" s="5">
        <v>194</v>
      </c>
      <c r="AF198" s="43">
        <v>227.65</v>
      </c>
      <c r="AG198" s="43">
        <v>232.64</v>
      </c>
      <c r="AH198" s="43">
        <v>237.62</v>
      </c>
      <c r="AI198" s="43">
        <v>242.61</v>
      </c>
      <c r="AJ198" s="43">
        <v>247.6</v>
      </c>
      <c r="AK198" s="43">
        <v>252.58</v>
      </c>
      <c r="AL198" s="43">
        <v>257.57</v>
      </c>
      <c r="AM198" s="43">
        <v>262.55</v>
      </c>
      <c r="AN198" s="44">
        <v>267.54000000000002</v>
      </c>
      <c r="AO198" s="53">
        <v>272.52999999999997</v>
      </c>
      <c r="AP198" s="53">
        <v>277.51</v>
      </c>
      <c r="AQ198" s="44">
        <v>282.5</v>
      </c>
      <c r="AR198" s="44">
        <v>287.48</v>
      </c>
      <c r="AS198" s="72">
        <v>292.47000000000003</v>
      </c>
      <c r="AT198" s="59">
        <v>297.45</v>
      </c>
      <c r="AU198" s="65">
        <v>302.44</v>
      </c>
      <c r="AV198" s="65">
        <v>307.43</v>
      </c>
      <c r="AW198" s="65">
        <v>312.41000000000003</v>
      </c>
      <c r="AX198" s="65">
        <v>317.39999999999998</v>
      </c>
      <c r="AY198" s="65">
        <v>322.38</v>
      </c>
      <c r="AZ198" s="65">
        <v>327.37</v>
      </c>
      <c r="BA198" s="24">
        <v>283.11</v>
      </c>
      <c r="BB198" s="24">
        <v>288.08999999999997</v>
      </c>
      <c r="BC198" s="24">
        <v>293.08</v>
      </c>
      <c r="BD198" s="24">
        <v>298.07</v>
      </c>
      <c r="BE198" s="24">
        <v>208.32</v>
      </c>
      <c r="BF198" s="24">
        <v>203.34</v>
      </c>
      <c r="BG198" s="24">
        <v>198.35</v>
      </c>
      <c r="BH198" s="24">
        <v>193.36</v>
      </c>
      <c r="BI198" s="24">
        <v>188.38</v>
      </c>
    </row>
    <row r="199" spans="1:61" x14ac:dyDescent="0.45">
      <c r="A199" s="43">
        <v>381.63</v>
      </c>
      <c r="B199" s="43">
        <v>388.73</v>
      </c>
      <c r="C199" s="43">
        <v>395.83</v>
      </c>
      <c r="D199" s="43">
        <v>402.93</v>
      </c>
      <c r="E199" s="43">
        <v>410.02</v>
      </c>
      <c r="F199" s="43">
        <v>417.12</v>
      </c>
      <c r="G199" s="43">
        <v>424.22</v>
      </c>
      <c r="H199" s="43">
        <v>431.32</v>
      </c>
      <c r="I199" s="44">
        <v>438.42</v>
      </c>
      <c r="J199" s="53">
        <v>445.51</v>
      </c>
      <c r="K199" s="53">
        <v>452.61</v>
      </c>
      <c r="L199" s="44">
        <v>459.71</v>
      </c>
      <c r="M199" s="44">
        <v>466.81</v>
      </c>
      <c r="N199" s="44">
        <v>473.91</v>
      </c>
      <c r="O199" s="59">
        <v>481</v>
      </c>
      <c r="P199" s="65">
        <v>488.1</v>
      </c>
      <c r="Q199" s="65">
        <v>495.2</v>
      </c>
      <c r="R199" s="65">
        <v>502.3</v>
      </c>
      <c r="S199" s="65">
        <v>509.4</v>
      </c>
      <c r="T199" s="65">
        <v>516.49</v>
      </c>
      <c r="U199" s="65">
        <v>523.59</v>
      </c>
      <c r="V199" s="24">
        <v>431.81</v>
      </c>
      <c r="W199" s="24">
        <v>438.9</v>
      </c>
      <c r="X199" s="24">
        <v>446</v>
      </c>
      <c r="Y199" s="24">
        <v>453.1</v>
      </c>
      <c r="Z199" s="24">
        <v>325.33999999999997</v>
      </c>
      <c r="AA199" s="24">
        <v>318.24</v>
      </c>
      <c r="AB199" s="24">
        <v>311.14</v>
      </c>
      <c r="AC199" s="24">
        <v>304.04000000000002</v>
      </c>
      <c r="AD199" s="24">
        <v>296.94</v>
      </c>
      <c r="AE199" s="5">
        <v>195</v>
      </c>
      <c r="AF199" s="43">
        <v>228.71</v>
      </c>
      <c r="AG199" s="43">
        <v>233.72</v>
      </c>
      <c r="AH199" s="43">
        <v>238.73</v>
      </c>
      <c r="AI199" s="43">
        <v>243.74</v>
      </c>
      <c r="AJ199" s="43">
        <v>248.76</v>
      </c>
      <c r="AK199" s="43">
        <v>253.77</v>
      </c>
      <c r="AL199" s="43">
        <v>258.77999999999997</v>
      </c>
      <c r="AM199" s="43">
        <v>263.79000000000002</v>
      </c>
      <c r="AN199" s="44">
        <v>268.8</v>
      </c>
      <c r="AO199" s="53">
        <v>273.81</v>
      </c>
      <c r="AP199" s="53">
        <v>278.82</v>
      </c>
      <c r="AQ199" s="44">
        <v>283.83999999999997</v>
      </c>
      <c r="AR199" s="44">
        <v>288.85000000000002</v>
      </c>
      <c r="AS199" s="72">
        <v>293.86</v>
      </c>
      <c r="AT199" s="59">
        <v>298.87</v>
      </c>
      <c r="AU199" s="65">
        <v>303.88</v>
      </c>
      <c r="AV199" s="65">
        <v>308.89</v>
      </c>
      <c r="AW199" s="65">
        <v>313.91000000000003</v>
      </c>
      <c r="AX199" s="65">
        <v>318.92</v>
      </c>
      <c r="AY199" s="65">
        <v>323.93</v>
      </c>
      <c r="AZ199" s="67">
        <v>328</v>
      </c>
      <c r="BA199" s="24">
        <v>284.5</v>
      </c>
      <c r="BB199" s="24">
        <v>289.51</v>
      </c>
      <c r="BC199" s="24">
        <v>294.52</v>
      </c>
      <c r="BD199" s="24">
        <v>299.52999999999997</v>
      </c>
      <c r="BE199" s="24">
        <v>209.32</v>
      </c>
      <c r="BF199" s="24">
        <v>204.31</v>
      </c>
      <c r="BG199" s="24">
        <v>199.3</v>
      </c>
      <c r="BH199" s="24">
        <v>194.29</v>
      </c>
      <c r="BI199" s="24">
        <v>189.28</v>
      </c>
    </row>
    <row r="200" spans="1:61" x14ac:dyDescent="0.45">
      <c r="A200" s="43">
        <v>383.14</v>
      </c>
      <c r="B200" s="43">
        <v>390.27</v>
      </c>
      <c r="C200" s="43">
        <v>397.41</v>
      </c>
      <c r="D200" s="43">
        <v>404.54</v>
      </c>
      <c r="E200" s="43">
        <v>411.68</v>
      </c>
      <c r="F200" s="43">
        <v>418.81</v>
      </c>
      <c r="G200" s="43">
        <v>425.95</v>
      </c>
      <c r="H200" s="43">
        <v>433.08</v>
      </c>
      <c r="I200" s="44">
        <v>440.21</v>
      </c>
      <c r="J200" s="53">
        <v>447.35</v>
      </c>
      <c r="K200" s="53">
        <v>454.48</v>
      </c>
      <c r="L200" s="44">
        <v>461.62</v>
      </c>
      <c r="M200" s="44">
        <v>468.75</v>
      </c>
      <c r="N200" s="44">
        <v>475.89</v>
      </c>
      <c r="O200" s="59">
        <v>483.02</v>
      </c>
      <c r="P200" s="65">
        <v>490.16</v>
      </c>
      <c r="Q200" s="65">
        <v>497.29</v>
      </c>
      <c r="R200" s="65">
        <v>504.42</v>
      </c>
      <c r="S200" s="65">
        <v>511.56</v>
      </c>
      <c r="T200" s="65">
        <v>518.69000000000005</v>
      </c>
      <c r="U200" s="65">
        <v>525.83000000000004</v>
      </c>
      <c r="V200" s="24">
        <v>433.76</v>
      </c>
      <c r="W200" s="24">
        <v>440.89</v>
      </c>
      <c r="X200" s="24">
        <v>448.03</v>
      </c>
      <c r="Y200" s="24">
        <v>455.16</v>
      </c>
      <c r="Z200" s="24">
        <v>326.74</v>
      </c>
      <c r="AA200" s="24">
        <v>319.61</v>
      </c>
      <c r="AB200" s="24">
        <v>312.47000000000003</v>
      </c>
      <c r="AC200" s="24">
        <v>305.33999999999997</v>
      </c>
      <c r="AD200" s="24">
        <v>298.20999999999998</v>
      </c>
      <c r="AE200" s="5">
        <v>196</v>
      </c>
      <c r="AF200" s="43">
        <v>229.93</v>
      </c>
      <c r="AG200" s="43">
        <v>234.97</v>
      </c>
      <c r="AH200" s="43">
        <v>240.01</v>
      </c>
      <c r="AI200" s="43">
        <v>245.04</v>
      </c>
      <c r="AJ200" s="43">
        <v>250.08</v>
      </c>
      <c r="AK200" s="43">
        <v>255.12</v>
      </c>
      <c r="AL200" s="43">
        <v>260.16000000000003</v>
      </c>
      <c r="AM200" s="43">
        <v>265.19</v>
      </c>
      <c r="AN200" s="44">
        <v>270.23</v>
      </c>
      <c r="AO200" s="53">
        <v>275.27</v>
      </c>
      <c r="AP200" s="53">
        <v>280.31</v>
      </c>
      <c r="AQ200" s="44">
        <v>285.33999999999997</v>
      </c>
      <c r="AR200" s="44">
        <v>290.38</v>
      </c>
      <c r="AS200" s="72">
        <v>295.42</v>
      </c>
      <c r="AT200" s="59">
        <v>300.45</v>
      </c>
      <c r="AU200" s="65">
        <v>305.49</v>
      </c>
      <c r="AV200" s="65">
        <v>310.52999999999997</v>
      </c>
      <c r="AW200" s="65">
        <v>315.57</v>
      </c>
      <c r="AX200" s="65">
        <v>320.60000000000002</v>
      </c>
      <c r="AY200" s="65">
        <v>325.64</v>
      </c>
      <c r="AZ200" s="67">
        <v>330.6</v>
      </c>
      <c r="BA200" s="24">
        <v>285.99</v>
      </c>
      <c r="BB200" s="24">
        <v>291.02</v>
      </c>
      <c r="BC200" s="24">
        <v>296.06</v>
      </c>
      <c r="BD200" s="24">
        <v>301.10000000000002</v>
      </c>
      <c r="BE200" s="24">
        <v>210.43</v>
      </c>
      <c r="BF200" s="24">
        <v>205.39</v>
      </c>
      <c r="BG200" s="24">
        <v>200.35</v>
      </c>
      <c r="BH200" s="24">
        <v>195.32</v>
      </c>
      <c r="BI200" s="24">
        <v>190.28</v>
      </c>
    </row>
    <row r="201" spans="1:61" x14ac:dyDescent="0.45">
      <c r="A201" s="43">
        <v>385.29</v>
      </c>
      <c r="B201" s="43">
        <v>392.46</v>
      </c>
      <c r="C201" s="43">
        <v>399.63</v>
      </c>
      <c r="D201" s="43">
        <v>406.8</v>
      </c>
      <c r="E201" s="43">
        <v>413.97</v>
      </c>
      <c r="F201" s="43">
        <v>421.14</v>
      </c>
      <c r="G201" s="43">
        <v>428.31</v>
      </c>
      <c r="H201" s="43">
        <v>435.48</v>
      </c>
      <c r="I201" s="44">
        <v>442.65</v>
      </c>
      <c r="J201" s="53">
        <v>449.82</v>
      </c>
      <c r="K201" s="53">
        <v>456.99</v>
      </c>
      <c r="L201" s="44">
        <v>464.17</v>
      </c>
      <c r="M201" s="44">
        <v>471.34</v>
      </c>
      <c r="N201" s="44">
        <v>478.51</v>
      </c>
      <c r="O201" s="59">
        <v>485.68</v>
      </c>
      <c r="P201" s="65">
        <v>492.85</v>
      </c>
      <c r="Q201" s="65">
        <v>500.02</v>
      </c>
      <c r="R201" s="65">
        <v>507.19</v>
      </c>
      <c r="S201" s="65">
        <v>514.36</v>
      </c>
      <c r="T201" s="65">
        <v>521.53</v>
      </c>
      <c r="U201" s="65">
        <v>528.70000000000005</v>
      </c>
      <c r="V201" s="24">
        <v>436.08</v>
      </c>
      <c r="W201" s="24">
        <v>443.25</v>
      </c>
      <c r="X201" s="24">
        <v>450.43</v>
      </c>
      <c r="Y201" s="24">
        <v>457.6</v>
      </c>
      <c r="Z201" s="24">
        <v>328.52</v>
      </c>
      <c r="AA201" s="24">
        <v>321.35000000000002</v>
      </c>
      <c r="AB201" s="24">
        <v>314.18</v>
      </c>
      <c r="AC201" s="24">
        <v>307.01</v>
      </c>
      <c r="AD201" s="24">
        <v>299.83999999999997</v>
      </c>
      <c r="AE201" s="5">
        <v>197</v>
      </c>
      <c r="AF201" s="43">
        <v>231.16</v>
      </c>
      <c r="AG201" s="43">
        <v>236.22</v>
      </c>
      <c r="AH201" s="43">
        <v>241.28</v>
      </c>
      <c r="AI201" s="43">
        <v>246.35</v>
      </c>
      <c r="AJ201" s="43">
        <v>251.41</v>
      </c>
      <c r="AK201" s="43">
        <v>256.47000000000003</v>
      </c>
      <c r="AL201" s="43">
        <v>261.54000000000002</v>
      </c>
      <c r="AM201" s="43">
        <v>266.60000000000002</v>
      </c>
      <c r="AN201" s="44">
        <v>271.66000000000003</v>
      </c>
      <c r="AO201" s="53">
        <v>276.73</v>
      </c>
      <c r="AP201" s="53">
        <v>281.79000000000002</v>
      </c>
      <c r="AQ201" s="44">
        <v>286.85000000000002</v>
      </c>
      <c r="AR201" s="44">
        <v>291.91000000000003</v>
      </c>
      <c r="AS201" s="72">
        <v>296.98</v>
      </c>
      <c r="AT201" s="59">
        <v>302.04000000000002</v>
      </c>
      <c r="AU201" s="65">
        <v>307.10000000000002</v>
      </c>
      <c r="AV201" s="65">
        <v>312.17</v>
      </c>
      <c r="AW201" s="65">
        <v>317.23</v>
      </c>
      <c r="AX201" s="65">
        <v>322.29000000000002</v>
      </c>
      <c r="AY201" s="65">
        <v>327.35000000000002</v>
      </c>
      <c r="AZ201" s="65">
        <v>332.42</v>
      </c>
      <c r="BA201" s="24">
        <v>287.48</v>
      </c>
      <c r="BB201" s="24">
        <v>292.54000000000002</v>
      </c>
      <c r="BC201" s="24">
        <v>297.60000000000002</v>
      </c>
      <c r="BD201" s="24">
        <v>302.67</v>
      </c>
      <c r="BE201" s="24">
        <v>211.53</v>
      </c>
      <c r="BF201" s="24">
        <v>206.47</v>
      </c>
      <c r="BG201" s="24">
        <v>201.41</v>
      </c>
      <c r="BH201" s="24">
        <v>196.35</v>
      </c>
      <c r="BI201" s="24">
        <v>191.28</v>
      </c>
    </row>
    <row r="202" spans="1:61" x14ac:dyDescent="0.45">
      <c r="A202" s="37">
        <v>387.44</v>
      </c>
      <c r="B202" s="37">
        <v>394.65</v>
      </c>
      <c r="C202" s="37">
        <v>401.86</v>
      </c>
      <c r="D202" s="37">
        <v>409.07</v>
      </c>
      <c r="E202" s="37">
        <v>416.27</v>
      </c>
      <c r="F202" s="37">
        <v>423.48</v>
      </c>
      <c r="G202" s="37">
        <v>430.69</v>
      </c>
      <c r="H202" s="37">
        <v>437.89</v>
      </c>
      <c r="I202" s="38">
        <v>445.1</v>
      </c>
      <c r="J202" s="50">
        <v>452.31</v>
      </c>
      <c r="K202" s="50">
        <v>459.52</v>
      </c>
      <c r="L202" s="38">
        <v>466.72</v>
      </c>
      <c r="M202" s="38">
        <v>473.93</v>
      </c>
      <c r="N202" s="38">
        <v>481.14</v>
      </c>
      <c r="O202" s="56">
        <v>488.34</v>
      </c>
      <c r="P202" s="65">
        <v>495.55</v>
      </c>
      <c r="Q202" s="65">
        <v>502.76</v>
      </c>
      <c r="R202" s="65">
        <v>509.97</v>
      </c>
      <c r="S202" s="65">
        <v>517.16999999999996</v>
      </c>
      <c r="T202" s="65">
        <v>524.38</v>
      </c>
      <c r="U202" s="65">
        <v>531.59</v>
      </c>
      <c r="V202" s="24">
        <v>438.42</v>
      </c>
      <c r="W202" s="24">
        <v>445.62</v>
      </c>
      <c r="X202" s="24">
        <v>452.83</v>
      </c>
      <c r="Y202" s="24">
        <v>460.04</v>
      </c>
      <c r="Z202" s="24">
        <v>330.31</v>
      </c>
      <c r="AA202" s="24">
        <v>323.10000000000002</v>
      </c>
      <c r="AB202" s="24">
        <v>315.89</v>
      </c>
      <c r="AC202" s="24">
        <v>308.69</v>
      </c>
      <c r="AD202" s="24">
        <v>301.48</v>
      </c>
      <c r="AE202" s="5">
        <v>198</v>
      </c>
      <c r="AF202" s="37">
        <v>232.22</v>
      </c>
      <c r="AG202" s="37">
        <v>237.3</v>
      </c>
      <c r="AH202" s="37">
        <v>242.39</v>
      </c>
      <c r="AI202" s="37">
        <v>247.48</v>
      </c>
      <c r="AJ202" s="37">
        <v>252.57</v>
      </c>
      <c r="AK202" s="37">
        <v>257.66000000000003</v>
      </c>
      <c r="AL202" s="37">
        <v>262.75</v>
      </c>
      <c r="AM202" s="37">
        <v>267.83999999999997</v>
      </c>
      <c r="AN202" s="38">
        <v>272.92</v>
      </c>
      <c r="AO202" s="50">
        <v>278.01</v>
      </c>
      <c r="AP202" s="50">
        <v>283.10000000000002</v>
      </c>
      <c r="AQ202" s="38">
        <v>288.19</v>
      </c>
      <c r="AR202" s="38">
        <v>293.27999999999997</v>
      </c>
      <c r="AS202" s="72">
        <v>298.37</v>
      </c>
      <c r="AT202" s="56">
        <v>303.45999999999998</v>
      </c>
      <c r="AU202" s="65">
        <v>308.54000000000002</v>
      </c>
      <c r="AV202" s="65">
        <v>313.63</v>
      </c>
      <c r="AW202" s="65">
        <v>318.72000000000003</v>
      </c>
      <c r="AX202" s="65">
        <v>323.81</v>
      </c>
      <c r="AY202" s="65">
        <v>328.9</v>
      </c>
      <c r="AZ202" s="65">
        <v>333.99</v>
      </c>
      <c r="BA202" s="24">
        <v>288.86</v>
      </c>
      <c r="BB202" s="24">
        <v>293.95</v>
      </c>
      <c r="BC202" s="24">
        <v>299.04000000000002</v>
      </c>
      <c r="BD202" s="24">
        <v>304.13</v>
      </c>
      <c r="BE202" s="24">
        <v>212.54</v>
      </c>
      <c r="BF202" s="24">
        <v>207.45</v>
      </c>
      <c r="BG202" s="24">
        <v>202.36</v>
      </c>
      <c r="BH202" s="24">
        <v>197.27</v>
      </c>
      <c r="BI202" s="24">
        <v>192.18</v>
      </c>
    </row>
    <row r="203" spans="1:61" x14ac:dyDescent="0.45">
      <c r="A203" s="39">
        <v>388.95</v>
      </c>
      <c r="B203" s="39">
        <v>396.19</v>
      </c>
      <c r="C203" s="39">
        <v>403.44</v>
      </c>
      <c r="D203" s="39">
        <v>410.68</v>
      </c>
      <c r="E203" s="39">
        <v>417.93</v>
      </c>
      <c r="F203" s="39">
        <v>425.17</v>
      </c>
      <c r="G203" s="39">
        <v>432.41</v>
      </c>
      <c r="H203" s="39">
        <v>439.66</v>
      </c>
      <c r="I203" s="40">
        <v>446.9</v>
      </c>
      <c r="J203" s="51">
        <v>454.14</v>
      </c>
      <c r="K203" s="51">
        <v>461.39</v>
      </c>
      <c r="L203" s="40">
        <v>468.63</v>
      </c>
      <c r="M203" s="40">
        <v>475.87</v>
      </c>
      <c r="N203" s="40">
        <v>483.12</v>
      </c>
      <c r="O203" s="57">
        <v>490.36</v>
      </c>
      <c r="P203" s="65">
        <v>497.6</v>
      </c>
      <c r="Q203" s="65">
        <v>504.85</v>
      </c>
      <c r="R203" s="65">
        <v>512.09</v>
      </c>
      <c r="S203" s="65">
        <v>519.34</v>
      </c>
      <c r="T203" s="65">
        <v>526.58000000000004</v>
      </c>
      <c r="U203" s="65">
        <v>533.82000000000005</v>
      </c>
      <c r="V203" s="24">
        <v>440.37</v>
      </c>
      <c r="W203" s="24">
        <v>447.61</v>
      </c>
      <c r="X203" s="24">
        <v>454.85</v>
      </c>
      <c r="Y203" s="24">
        <v>462.1</v>
      </c>
      <c r="Z203" s="24">
        <v>331.71</v>
      </c>
      <c r="AA203" s="24">
        <v>324.47000000000003</v>
      </c>
      <c r="AB203" s="24">
        <v>317.23</v>
      </c>
      <c r="AC203" s="24">
        <v>309.38</v>
      </c>
      <c r="AD203" s="24">
        <v>302.74</v>
      </c>
      <c r="AE203" s="5">
        <v>199</v>
      </c>
      <c r="AF203" s="39">
        <v>233.44</v>
      </c>
      <c r="AG203" s="39">
        <v>238.56</v>
      </c>
      <c r="AH203" s="39">
        <v>243.67</v>
      </c>
      <c r="AI203" s="39">
        <v>248.79</v>
      </c>
      <c r="AJ203" s="39">
        <v>253.9</v>
      </c>
      <c r="AK203" s="39">
        <v>259.02</v>
      </c>
      <c r="AL203" s="39">
        <v>264.13</v>
      </c>
      <c r="AM203" s="39">
        <v>269.24</v>
      </c>
      <c r="AN203" s="40">
        <v>274.36</v>
      </c>
      <c r="AO203" s="51">
        <v>279.47000000000003</v>
      </c>
      <c r="AP203" s="51">
        <v>284.58999999999997</v>
      </c>
      <c r="AQ203" s="40">
        <v>289.7</v>
      </c>
      <c r="AR203" s="40">
        <v>294.82</v>
      </c>
      <c r="AS203" s="72">
        <v>299.93</v>
      </c>
      <c r="AT203" s="57">
        <v>305.04000000000002</v>
      </c>
      <c r="AU203" s="65">
        <v>310.16000000000003</v>
      </c>
      <c r="AV203" s="65">
        <v>315.27</v>
      </c>
      <c r="AW203" s="65">
        <v>320.39</v>
      </c>
      <c r="AX203" s="65">
        <v>325.5</v>
      </c>
      <c r="AY203" s="65">
        <v>330.62</v>
      </c>
      <c r="AZ203" s="65">
        <v>335.73</v>
      </c>
      <c r="BA203" s="24">
        <v>290.36</v>
      </c>
      <c r="BB203" s="24">
        <v>295.47000000000003</v>
      </c>
      <c r="BC203" s="24">
        <v>300.58999999999997</v>
      </c>
      <c r="BD203" s="24">
        <v>305.7</v>
      </c>
      <c r="BE203" s="24">
        <v>213.64</v>
      </c>
      <c r="BF203" s="24">
        <v>208.53</v>
      </c>
      <c r="BG203" s="24">
        <v>203.41</v>
      </c>
      <c r="BH203" s="24">
        <v>198.3</v>
      </c>
      <c r="BI203" s="24">
        <v>193.19</v>
      </c>
    </row>
    <row r="204" spans="1:61" ht="21.75" thickBot="1" x14ac:dyDescent="0.5">
      <c r="A204" s="45">
        <v>391.12</v>
      </c>
      <c r="B204" s="45">
        <v>398.4</v>
      </c>
      <c r="C204" s="45">
        <v>405.68</v>
      </c>
      <c r="D204" s="45">
        <v>412.96</v>
      </c>
      <c r="E204" s="45">
        <v>420.24</v>
      </c>
      <c r="F204" s="45">
        <v>427.52</v>
      </c>
      <c r="G204" s="45">
        <v>434.8</v>
      </c>
      <c r="H204" s="45">
        <v>442.08</v>
      </c>
      <c r="I204" s="46">
        <v>449.36</v>
      </c>
      <c r="J204" s="54">
        <v>456.64</v>
      </c>
      <c r="K204" s="54">
        <v>463.92</v>
      </c>
      <c r="L204" s="46">
        <v>471.2</v>
      </c>
      <c r="M204" s="46">
        <v>478.48</v>
      </c>
      <c r="N204" s="46">
        <v>485.76</v>
      </c>
      <c r="O204" s="60">
        <v>493.04</v>
      </c>
      <c r="P204" s="66">
        <v>500.32</v>
      </c>
      <c r="Q204" s="66">
        <v>507.6</v>
      </c>
      <c r="R204" s="66">
        <v>514.88</v>
      </c>
      <c r="S204" s="66">
        <v>522.16</v>
      </c>
      <c r="T204" s="66">
        <v>529.44000000000005</v>
      </c>
      <c r="U204" s="66">
        <v>536.72</v>
      </c>
      <c r="V204" s="25">
        <v>442.7</v>
      </c>
      <c r="W204" s="25">
        <v>449.98</v>
      </c>
      <c r="X204" s="25">
        <v>457.26</v>
      </c>
      <c r="Y204" s="25">
        <v>464.54</v>
      </c>
      <c r="Z204" s="24">
        <v>333.5</v>
      </c>
      <c r="AA204" s="24">
        <v>326.22000000000003</v>
      </c>
      <c r="AB204" s="24">
        <v>318.94</v>
      </c>
      <c r="AC204" s="24">
        <v>311.66000000000003</v>
      </c>
      <c r="AD204" s="24">
        <v>304.38</v>
      </c>
      <c r="AE204" s="6">
        <v>200</v>
      </c>
      <c r="AF204" s="45">
        <v>234.67</v>
      </c>
      <c r="AG204" s="45">
        <v>239.81</v>
      </c>
      <c r="AH204" s="45">
        <v>244.95</v>
      </c>
      <c r="AI204" s="45">
        <v>250.07</v>
      </c>
      <c r="AJ204" s="45">
        <v>255.23</v>
      </c>
      <c r="AK204" s="45">
        <v>260.37</v>
      </c>
      <c r="AL204" s="45">
        <v>265.51</v>
      </c>
      <c r="AM204" s="45">
        <v>270.64999999999998</v>
      </c>
      <c r="AN204" s="46">
        <v>275.79000000000002</v>
      </c>
      <c r="AO204" s="54">
        <v>280.93</v>
      </c>
      <c r="AP204" s="54">
        <v>286.07</v>
      </c>
      <c r="AQ204" s="46">
        <v>291.20999999999998</v>
      </c>
      <c r="AR204" s="46">
        <v>296.35000000000002</v>
      </c>
      <c r="AS204" s="73">
        <v>301.49</v>
      </c>
      <c r="AT204" s="60">
        <v>306.63</v>
      </c>
      <c r="AU204" s="66">
        <v>311.77</v>
      </c>
      <c r="AV204" s="66">
        <v>316.91000000000003</v>
      </c>
      <c r="AW204" s="66">
        <v>322.05</v>
      </c>
      <c r="AX204" s="66">
        <v>327.19</v>
      </c>
      <c r="AY204" s="66">
        <v>332.33</v>
      </c>
      <c r="AZ204" s="66">
        <v>337.47</v>
      </c>
      <c r="BA204" s="25">
        <v>291.85000000000002</v>
      </c>
      <c r="BB204" s="25">
        <v>296.99</v>
      </c>
      <c r="BC204" s="25">
        <v>302.13</v>
      </c>
      <c r="BD204" s="25">
        <v>307.27</v>
      </c>
      <c r="BE204" s="24">
        <v>214.75</v>
      </c>
      <c r="BF204" s="24">
        <v>209.61</v>
      </c>
      <c r="BG204" s="24">
        <v>204.47</v>
      </c>
      <c r="BH204" s="24">
        <v>199.33</v>
      </c>
      <c r="BI204" s="24">
        <v>194.19</v>
      </c>
    </row>
    <row r="205" spans="1:61" ht="21.75" thickBot="1" x14ac:dyDescent="0.5">
      <c r="A205" s="35">
        <v>1.96</v>
      </c>
      <c r="B205" s="35">
        <v>1.99</v>
      </c>
      <c r="C205" s="35">
        <v>2.0299999999999998</v>
      </c>
      <c r="D205" s="35">
        <v>2.06</v>
      </c>
      <c r="E205" s="35">
        <v>2.1</v>
      </c>
      <c r="F205" s="35">
        <v>2.14</v>
      </c>
      <c r="G205" s="35">
        <v>2.1800000000000002</v>
      </c>
      <c r="H205" s="35">
        <v>2.21</v>
      </c>
      <c r="I205" s="47">
        <v>2.25</v>
      </c>
      <c r="J205" s="49">
        <v>2.29</v>
      </c>
      <c r="K205" s="49">
        <v>2.3199999999999998</v>
      </c>
      <c r="L205" s="47">
        <v>2.36</v>
      </c>
      <c r="M205" s="47">
        <v>2.39</v>
      </c>
      <c r="N205" s="47">
        <v>2.4300000000000002</v>
      </c>
      <c r="O205" s="61">
        <v>2.46</v>
      </c>
      <c r="P205" s="47">
        <v>2.5</v>
      </c>
      <c r="Q205" s="47">
        <v>2.54</v>
      </c>
      <c r="R205" s="47">
        <v>2.58</v>
      </c>
      <c r="S205" s="47">
        <v>2.61</v>
      </c>
      <c r="T205" s="47">
        <v>2.65</v>
      </c>
      <c r="U205" s="47">
        <v>2.69</v>
      </c>
      <c r="V205" s="19">
        <v>2.21</v>
      </c>
      <c r="W205" s="19">
        <v>2.25</v>
      </c>
      <c r="X205" s="19">
        <v>2.29</v>
      </c>
      <c r="Y205" s="20">
        <v>2.3199999999999998</v>
      </c>
      <c r="Z205" s="28">
        <v>1.67</v>
      </c>
      <c r="AA205" s="27">
        <v>1.63</v>
      </c>
      <c r="AB205" s="27">
        <v>1.6</v>
      </c>
      <c r="AC205" s="27">
        <v>1.56</v>
      </c>
      <c r="AD205" s="28">
        <v>1.52</v>
      </c>
      <c r="AE205" s="28"/>
      <c r="AF205" s="35">
        <v>1.17</v>
      </c>
      <c r="AG205" s="35">
        <v>1.2</v>
      </c>
      <c r="AH205" s="35">
        <v>1.22</v>
      </c>
      <c r="AI205" s="35">
        <v>1.25</v>
      </c>
      <c r="AJ205" s="35">
        <v>1.28</v>
      </c>
      <c r="AK205" s="35">
        <v>1.3</v>
      </c>
      <c r="AL205" s="35">
        <v>1.33</v>
      </c>
      <c r="AM205" s="35">
        <v>1.35</v>
      </c>
      <c r="AN205" s="49">
        <v>1.38</v>
      </c>
      <c r="AO205" s="49">
        <v>1.41</v>
      </c>
      <c r="AP205" s="49">
        <v>1.43</v>
      </c>
      <c r="AQ205" s="49">
        <v>1.46</v>
      </c>
      <c r="AR205" s="47">
        <v>1.48</v>
      </c>
      <c r="AS205" s="47">
        <v>1.51</v>
      </c>
      <c r="AT205" s="61">
        <v>1.54</v>
      </c>
      <c r="AU205" s="75">
        <v>1.56</v>
      </c>
      <c r="AV205" s="76">
        <v>1.59</v>
      </c>
      <c r="AW205" s="76">
        <v>1.61</v>
      </c>
      <c r="AX205" s="76">
        <v>1.64</v>
      </c>
      <c r="AY205" s="76">
        <v>1.66</v>
      </c>
      <c r="AZ205" s="76">
        <v>1.69</v>
      </c>
      <c r="BA205" s="26">
        <v>1.46</v>
      </c>
      <c r="BB205" s="26">
        <v>1.48</v>
      </c>
      <c r="BC205" s="26">
        <v>1.51</v>
      </c>
      <c r="BD205" s="27">
        <v>1.54</v>
      </c>
      <c r="BE205" s="28">
        <v>1.07</v>
      </c>
      <c r="BF205" s="29">
        <v>1.05</v>
      </c>
      <c r="BG205" s="29">
        <v>1.02</v>
      </c>
      <c r="BH205" s="29">
        <v>1</v>
      </c>
      <c r="BI205" s="28">
        <v>0.97</v>
      </c>
    </row>
    <row r="206" spans="1:61" x14ac:dyDescent="0.45"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BE206" s="2"/>
      <c r="BF206" s="2"/>
      <c r="BG206" s="2"/>
      <c r="BH20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</sheetPr>
  <dimension ref="A1:J25"/>
  <sheetViews>
    <sheetView topLeftCell="A7" workbookViewId="0">
      <selection activeCell="L9" sqref="L9"/>
    </sheetView>
  </sheetViews>
  <sheetFormatPr defaultColWidth="9.140625" defaultRowHeight="18.75" x14ac:dyDescent="0.3"/>
  <cols>
    <col min="1" max="16384" width="9.140625" style="171"/>
  </cols>
  <sheetData>
    <row r="1" spans="1:10" ht="26.25" x14ac:dyDescent="0.3">
      <c r="A1" s="1129" t="s">
        <v>468</v>
      </c>
      <c r="B1" s="1129"/>
      <c r="C1" s="1129"/>
      <c r="D1" s="1129"/>
      <c r="E1" s="1129"/>
      <c r="F1" s="1129"/>
      <c r="G1" s="1129"/>
      <c r="H1" s="1129"/>
      <c r="I1" s="1129"/>
      <c r="J1" s="1129"/>
    </row>
    <row r="2" spans="1:10" x14ac:dyDescent="0.3">
      <c r="A2" s="172" t="s">
        <v>469</v>
      </c>
      <c r="B2" s="173"/>
      <c r="C2" s="174"/>
      <c r="D2" s="174"/>
      <c r="E2" s="175"/>
      <c r="F2" s="174"/>
      <c r="G2" s="176"/>
      <c r="H2" s="175"/>
      <c r="I2" s="177"/>
      <c r="J2" s="178"/>
    </row>
    <row r="3" spans="1:10" x14ac:dyDescent="0.3">
      <c r="A3" s="179" t="s">
        <v>470</v>
      </c>
      <c r="B3" s="173"/>
      <c r="C3" s="174"/>
      <c r="D3" s="176">
        <v>1</v>
      </c>
      <c r="E3" s="180" t="s">
        <v>33</v>
      </c>
      <c r="F3" s="175"/>
      <c r="G3" s="180"/>
      <c r="H3" s="181"/>
      <c r="I3" s="182"/>
      <c r="J3" s="181"/>
    </row>
    <row r="4" spans="1:10" x14ac:dyDescent="0.3">
      <c r="A4" s="179" t="s">
        <v>471</v>
      </c>
      <c r="B4" s="179"/>
      <c r="C4" s="183"/>
      <c r="D4" s="184">
        <v>1</v>
      </c>
      <c r="E4" s="180" t="s">
        <v>472</v>
      </c>
      <c r="F4" s="185">
        <f>+ราคาวัสดุ!E26</f>
        <v>717.76</v>
      </c>
      <c r="G4" s="180" t="s">
        <v>47</v>
      </c>
      <c r="H4" s="174" t="s">
        <v>15</v>
      </c>
      <c r="I4" s="176">
        <f>ROUNDDOWN(F4*D4,2)</f>
        <v>717.76</v>
      </c>
      <c r="J4" s="177" t="s">
        <v>126</v>
      </c>
    </row>
    <row r="5" spans="1:10" x14ac:dyDescent="0.3">
      <c r="A5" s="179" t="s">
        <v>473</v>
      </c>
      <c r="B5" s="173"/>
      <c r="C5" s="183"/>
      <c r="D5" s="184">
        <v>0.3</v>
      </c>
      <c r="E5" s="180" t="s">
        <v>472</v>
      </c>
      <c r="F5" s="185">
        <f>+ราคาวัสดุ!E27</f>
        <v>546.73</v>
      </c>
      <c r="G5" s="180" t="s">
        <v>47</v>
      </c>
      <c r="H5" s="174" t="s">
        <v>15</v>
      </c>
      <c r="I5" s="176">
        <f>ROUNDDOWN(F5*D5,2)</f>
        <v>164.01</v>
      </c>
      <c r="J5" s="177" t="s">
        <v>126</v>
      </c>
    </row>
    <row r="6" spans="1:10" x14ac:dyDescent="0.3">
      <c r="A6" s="179" t="s">
        <v>474</v>
      </c>
      <c r="B6" s="173"/>
      <c r="C6" s="183"/>
      <c r="D6" s="184">
        <v>0.3</v>
      </c>
      <c r="E6" s="180" t="s">
        <v>475</v>
      </c>
      <c r="F6" s="185">
        <f>+ราคาวัสดุ!E28</f>
        <v>40</v>
      </c>
      <c r="G6" s="180" t="s">
        <v>47</v>
      </c>
      <c r="H6" s="174" t="s">
        <v>15</v>
      </c>
      <c r="I6" s="176">
        <f>ROUNDDOWN(F6*D6,2)</f>
        <v>12</v>
      </c>
      <c r="J6" s="177" t="s">
        <v>126</v>
      </c>
    </row>
    <row r="7" spans="1:10" x14ac:dyDescent="0.3">
      <c r="A7" s="179" t="s">
        <v>476</v>
      </c>
      <c r="B7" s="173"/>
      <c r="C7" s="183"/>
      <c r="D7" s="184">
        <v>0.25</v>
      </c>
      <c r="E7" s="180" t="s">
        <v>477</v>
      </c>
      <c r="F7" s="185">
        <f>+ราคาวัสดุ!E34</f>
        <v>56.07</v>
      </c>
      <c r="G7" s="180" t="s">
        <v>47</v>
      </c>
      <c r="H7" s="174" t="s">
        <v>15</v>
      </c>
      <c r="I7" s="176">
        <f>ROUNDDOWN(F7*D7,2)</f>
        <v>14.01</v>
      </c>
      <c r="J7" s="177" t="s">
        <v>126</v>
      </c>
    </row>
    <row r="8" spans="1:10" x14ac:dyDescent="0.3">
      <c r="A8" s="179"/>
      <c r="B8" s="173"/>
      <c r="C8" s="183"/>
      <c r="D8" s="184"/>
      <c r="E8" s="180"/>
      <c r="F8" s="185" t="s">
        <v>30</v>
      </c>
      <c r="G8" s="180"/>
      <c r="H8" s="174" t="s">
        <v>15</v>
      </c>
      <c r="I8" s="176">
        <f>ROUNDDOWN(I4+I5+I6+I7,2)</f>
        <v>907.78</v>
      </c>
      <c r="J8" s="177" t="s">
        <v>126</v>
      </c>
    </row>
    <row r="9" spans="1:10" x14ac:dyDescent="0.3">
      <c r="A9" s="179" t="s">
        <v>478</v>
      </c>
      <c r="B9" s="173"/>
      <c r="C9" s="183"/>
      <c r="D9" s="184"/>
      <c r="E9" s="180">
        <f>I8</f>
        <v>907.78</v>
      </c>
      <c r="F9" s="185" t="s">
        <v>479</v>
      </c>
      <c r="G9" s="180">
        <v>4</v>
      </c>
      <c r="H9" s="174" t="s">
        <v>15</v>
      </c>
      <c r="I9" s="176">
        <f>ROUNDDOWN(E9/G9,2)</f>
        <v>226.94</v>
      </c>
      <c r="J9" s="177" t="s">
        <v>126</v>
      </c>
    </row>
    <row r="10" spans="1:10" x14ac:dyDescent="0.3">
      <c r="A10" s="179" t="s">
        <v>29</v>
      </c>
      <c r="B10" s="173"/>
      <c r="C10" s="183"/>
      <c r="D10" s="184"/>
      <c r="E10" s="180"/>
      <c r="F10" s="185"/>
      <c r="G10" s="180"/>
      <c r="H10" s="174" t="s">
        <v>15</v>
      </c>
      <c r="I10" s="176">
        <v>133</v>
      </c>
      <c r="J10" s="177" t="s">
        <v>126</v>
      </c>
    </row>
    <row r="11" spans="1:10" x14ac:dyDescent="0.3">
      <c r="A11" s="179" t="s">
        <v>480</v>
      </c>
      <c r="B11" s="173"/>
      <c r="C11" s="183"/>
      <c r="D11" s="184"/>
      <c r="E11" s="180"/>
      <c r="F11" s="185"/>
      <c r="G11" s="180"/>
      <c r="H11" s="174" t="s">
        <v>15</v>
      </c>
      <c r="I11" s="176">
        <v>10</v>
      </c>
      <c r="J11" s="177" t="s">
        <v>126</v>
      </c>
    </row>
    <row r="12" spans="1:10" x14ac:dyDescent="0.3">
      <c r="A12" s="173"/>
      <c r="B12" s="179"/>
      <c r="C12" s="173"/>
      <c r="D12" s="173"/>
      <c r="E12" s="173"/>
      <c r="F12" s="173"/>
      <c r="G12" s="183" t="s">
        <v>30</v>
      </c>
      <c r="H12" s="174" t="s">
        <v>15</v>
      </c>
      <c r="I12" s="176">
        <f>ROUNDDOWN(SUM(I9:I11),2)</f>
        <v>369.94</v>
      </c>
      <c r="J12" s="177" t="s">
        <v>126</v>
      </c>
    </row>
    <row r="14" spans="1:10" x14ac:dyDescent="0.3">
      <c r="A14" s="172" t="s">
        <v>481</v>
      </c>
      <c r="B14" s="173"/>
      <c r="C14" s="174"/>
      <c r="D14" s="174"/>
      <c r="E14" s="175"/>
      <c r="F14" s="174"/>
      <c r="G14" s="176"/>
      <c r="H14" s="175"/>
      <c r="I14" s="177"/>
      <c r="J14" s="178"/>
    </row>
    <row r="15" spans="1:10" x14ac:dyDescent="0.3">
      <c r="A15" s="179" t="s">
        <v>470</v>
      </c>
      <c r="B15" s="173"/>
      <c r="C15" s="174"/>
      <c r="D15" s="176">
        <v>1</v>
      </c>
      <c r="E15" s="180" t="s">
        <v>33</v>
      </c>
      <c r="F15" s="175"/>
      <c r="G15" s="180"/>
      <c r="H15" s="181"/>
      <c r="I15" s="182"/>
      <c r="J15" s="181"/>
    </row>
    <row r="16" spans="1:10" x14ac:dyDescent="0.3">
      <c r="A16" s="179" t="s">
        <v>471</v>
      </c>
      <c r="B16" s="179"/>
      <c r="C16" s="183"/>
      <c r="D16" s="184">
        <v>1</v>
      </c>
      <c r="E16" s="180" t="s">
        <v>472</v>
      </c>
      <c r="F16" s="185">
        <f>+F4</f>
        <v>717.76</v>
      </c>
      <c r="G16" s="180" t="s">
        <v>47</v>
      </c>
      <c r="H16" s="174" t="s">
        <v>15</v>
      </c>
      <c r="I16" s="176">
        <f>ROUNDDOWN(F16*D16,2)</f>
        <v>717.76</v>
      </c>
      <c r="J16" s="177" t="s">
        <v>126</v>
      </c>
    </row>
    <row r="17" spans="1:10" x14ac:dyDescent="0.3">
      <c r="A17" s="179" t="s">
        <v>473</v>
      </c>
      <c r="B17" s="173"/>
      <c r="C17" s="183"/>
      <c r="D17" s="184">
        <v>0.3</v>
      </c>
      <c r="E17" s="180" t="s">
        <v>472</v>
      </c>
      <c r="F17" s="185">
        <f>+F5</f>
        <v>546.73</v>
      </c>
      <c r="G17" s="180" t="s">
        <v>47</v>
      </c>
      <c r="H17" s="174" t="s">
        <v>15</v>
      </c>
      <c r="I17" s="176">
        <f>ROUNDDOWN(F17*D17,2)</f>
        <v>164.01</v>
      </c>
      <c r="J17" s="177" t="s">
        <v>126</v>
      </c>
    </row>
    <row r="18" spans="1:10" x14ac:dyDescent="0.3">
      <c r="A18" s="179" t="s">
        <v>474</v>
      </c>
      <c r="B18" s="173"/>
      <c r="C18" s="183"/>
      <c r="D18" s="184">
        <v>0.3</v>
      </c>
      <c r="E18" s="180" t="s">
        <v>475</v>
      </c>
      <c r="F18" s="185">
        <f>+F6</f>
        <v>40</v>
      </c>
      <c r="G18" s="180" t="s">
        <v>47</v>
      </c>
      <c r="H18" s="174" t="s">
        <v>15</v>
      </c>
      <c r="I18" s="176">
        <f>ROUNDDOWN(F18*D18,2)</f>
        <v>12</v>
      </c>
      <c r="J18" s="177" t="s">
        <v>126</v>
      </c>
    </row>
    <row r="19" spans="1:10" x14ac:dyDescent="0.3">
      <c r="A19" s="179" t="s">
        <v>476</v>
      </c>
      <c r="B19" s="173"/>
      <c r="C19" s="183"/>
      <c r="D19" s="184">
        <v>0.25</v>
      </c>
      <c r="E19" s="180" t="s">
        <v>477</v>
      </c>
      <c r="F19" s="185">
        <f>+F7</f>
        <v>56.07</v>
      </c>
      <c r="G19" s="180" t="s">
        <v>47</v>
      </c>
      <c r="H19" s="174" t="s">
        <v>15</v>
      </c>
      <c r="I19" s="176">
        <f>ROUNDDOWN(F19*D19,2)</f>
        <v>14.01</v>
      </c>
      <c r="J19" s="177" t="s">
        <v>126</v>
      </c>
    </row>
    <row r="20" spans="1:10" x14ac:dyDescent="0.3">
      <c r="A20" s="179"/>
      <c r="B20" s="173"/>
      <c r="C20" s="183"/>
      <c r="D20" s="184"/>
      <c r="E20" s="180"/>
      <c r="F20" s="185" t="s">
        <v>30</v>
      </c>
      <c r="G20" s="180"/>
      <c r="H20" s="174" t="s">
        <v>15</v>
      </c>
      <c r="I20" s="176">
        <f>ROUNDDOWN(I16+I17+I18+I19,2)</f>
        <v>907.78</v>
      </c>
      <c r="J20" s="177" t="s">
        <v>126</v>
      </c>
    </row>
    <row r="21" spans="1:10" x14ac:dyDescent="0.3">
      <c r="A21" s="179" t="s">
        <v>482</v>
      </c>
      <c r="B21" s="173"/>
      <c r="C21" s="183"/>
      <c r="D21" s="184"/>
      <c r="E21" s="180">
        <f>I20</f>
        <v>907.78</v>
      </c>
      <c r="F21" s="185" t="s">
        <v>479</v>
      </c>
      <c r="G21" s="180">
        <v>5</v>
      </c>
      <c r="H21" s="174" t="s">
        <v>15</v>
      </c>
      <c r="I21" s="176">
        <f>ROUNDDOWN(E21/G21,2)</f>
        <v>181.55</v>
      </c>
      <c r="J21" s="177" t="s">
        <v>126</v>
      </c>
    </row>
    <row r="22" spans="1:10" x14ac:dyDescent="0.3">
      <c r="A22" s="179" t="s">
        <v>29</v>
      </c>
      <c r="B22" s="173"/>
      <c r="C22" s="183"/>
      <c r="D22" s="184"/>
      <c r="E22" s="180"/>
      <c r="F22" s="185"/>
      <c r="G22" s="180"/>
      <c r="H22" s="174" t="s">
        <v>15</v>
      </c>
      <c r="I22" s="176">
        <v>139</v>
      </c>
      <c r="J22" s="177" t="s">
        <v>126</v>
      </c>
    </row>
    <row r="23" spans="1:10" x14ac:dyDescent="0.3">
      <c r="A23" s="179" t="s">
        <v>480</v>
      </c>
      <c r="B23" s="173"/>
      <c r="C23" s="183"/>
      <c r="D23" s="184"/>
      <c r="E23" s="180"/>
      <c r="F23" s="185"/>
      <c r="G23" s="180"/>
      <c r="H23" s="174" t="s">
        <v>15</v>
      </c>
      <c r="I23" s="176">
        <v>10</v>
      </c>
      <c r="J23" s="177" t="s">
        <v>126</v>
      </c>
    </row>
    <row r="24" spans="1:10" x14ac:dyDescent="0.3">
      <c r="A24" s="173"/>
      <c r="B24" s="179"/>
      <c r="C24" s="173"/>
      <c r="D24" s="173"/>
      <c r="E24" s="173"/>
      <c r="F24" s="173"/>
      <c r="G24" s="183" t="s">
        <v>30</v>
      </c>
      <c r="H24" s="174" t="s">
        <v>15</v>
      </c>
      <c r="I24" s="176">
        <f>ROUNDDOWN(SUM(I21:I23),2)</f>
        <v>330.55</v>
      </c>
      <c r="J24" s="177" t="s">
        <v>126</v>
      </c>
    </row>
    <row r="25" spans="1:10" x14ac:dyDescent="0.3">
      <c r="A25" s="263"/>
      <c r="B25" s="264"/>
      <c r="C25" s="263"/>
      <c r="D25" s="263"/>
      <c r="E25" s="263"/>
      <c r="F25" s="263"/>
      <c r="G25" s="265" t="s">
        <v>30</v>
      </c>
      <c r="H25" s="266" t="s">
        <v>15</v>
      </c>
      <c r="I25" s="267">
        <f>FLOOR(I24,2)</f>
        <v>330</v>
      </c>
      <c r="J25" s="268" t="s">
        <v>126</v>
      </c>
    </row>
  </sheetData>
  <mergeCells count="1">
    <mergeCell ref="A1:J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FF00"/>
  </sheetPr>
  <dimension ref="A1:Q34"/>
  <sheetViews>
    <sheetView view="pageBreakPreview" zoomScale="60" zoomScaleNormal="100" workbookViewId="0">
      <selection activeCell="V33" sqref="V33"/>
    </sheetView>
  </sheetViews>
  <sheetFormatPr defaultColWidth="9.140625" defaultRowHeight="18.75" x14ac:dyDescent="0.5"/>
  <cols>
    <col min="1" max="1" width="7" style="129" customWidth="1"/>
    <col min="2" max="2" width="9.140625" style="128"/>
    <col min="3" max="3" width="14.85546875" style="128" customWidth="1"/>
    <col min="4" max="4" width="9.140625" style="129"/>
    <col min="5" max="5" width="10" style="132" bestFit="1" customWidth="1"/>
    <col min="6" max="7" width="9.140625" style="128"/>
    <col min="8" max="8" width="9.7109375" style="128" customWidth="1"/>
    <col min="9" max="9" width="10.140625" style="128" customWidth="1"/>
    <col min="10" max="10" width="10.42578125" style="132" customWidth="1"/>
    <col min="11" max="11" width="9.140625" style="128"/>
    <col min="12" max="12" width="13.140625" style="128" customWidth="1"/>
    <col min="13" max="14" width="9.140625" style="128"/>
    <col min="15" max="15" width="7.42578125" style="128" customWidth="1"/>
    <col min="16" max="16384" width="9.140625" style="128"/>
  </cols>
  <sheetData>
    <row r="1" spans="1:15" x14ac:dyDescent="0.5">
      <c r="A1" s="355" t="s">
        <v>413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</row>
    <row r="2" spans="1:15" x14ac:dyDescent="0.5">
      <c r="B2" s="128" t="s">
        <v>414</v>
      </c>
      <c r="E2" s="130" t="str">
        <f>'[4]ปร.4.-5'!D4</f>
        <v>ก่อสร้างถนน ค.ส.ล. สายหนองขี้เหล็ก บ้านหล่าย หมู่ที่ 4 ต.ออย อ.ปง จ.พะเยา</v>
      </c>
      <c r="F2" s="130"/>
      <c r="G2" s="130"/>
      <c r="H2" s="130"/>
      <c r="I2" s="130"/>
      <c r="J2" s="130"/>
      <c r="K2" s="130"/>
      <c r="L2" s="130"/>
      <c r="M2" s="131"/>
      <c r="N2" s="131"/>
      <c r="O2" s="131"/>
    </row>
    <row r="3" spans="1:15" x14ac:dyDescent="0.5">
      <c r="E3" s="356" t="str">
        <f>'[4]ปร.4.-5'!D5</f>
        <v xml:space="preserve">ขนาดผิวจราจรกว้าง 4.00 ม. ยาวรวม 198.00 ม. หนา 0.15 ม. หรือมีพื้นที่ไม่น้อยกว่า 792.00 ตร.ม. </v>
      </c>
      <c r="F3" s="356"/>
      <c r="G3" s="356"/>
      <c r="H3" s="356"/>
      <c r="I3" s="356"/>
      <c r="J3" s="356"/>
      <c r="K3" s="356"/>
      <c r="L3" s="356"/>
    </row>
    <row r="4" spans="1:15" x14ac:dyDescent="0.5">
      <c r="E4" s="356" t="str">
        <f>'[4]ปร.4.-5'!D6</f>
        <v>รายละเอียดตามประมาณการและแบบแปลน อบจ.พะเยา</v>
      </c>
      <c r="F4" s="356"/>
      <c r="G4" s="356"/>
      <c r="H4" s="356"/>
      <c r="I4" s="356"/>
      <c r="J4" s="356"/>
      <c r="K4" s="356"/>
      <c r="L4" s="356"/>
    </row>
    <row r="5" spans="1:15" ht="23.25" customHeight="1" x14ac:dyDescent="0.5">
      <c r="B5" s="128" t="s">
        <v>415</v>
      </c>
      <c r="E5" s="132" t="str">
        <f>+'[4]ปร.4.-5'!D3</f>
        <v>องค์การบริหารส่วนจังหวัดพะเยา</v>
      </c>
    </row>
    <row r="6" spans="1:15" x14ac:dyDescent="0.5">
      <c r="B6" s="128" t="s">
        <v>416</v>
      </c>
      <c r="D6" s="129" t="s">
        <v>417</v>
      </c>
      <c r="E6" s="132" t="s">
        <v>418</v>
      </c>
      <c r="G6" s="128" t="s">
        <v>83</v>
      </c>
      <c r="J6" s="132" t="s">
        <v>419</v>
      </c>
      <c r="L6" s="133">
        <v>33.5</v>
      </c>
      <c r="M6" s="129" t="s">
        <v>420</v>
      </c>
    </row>
    <row r="7" spans="1:15" x14ac:dyDescent="0.5">
      <c r="B7" s="128" t="s">
        <v>71</v>
      </c>
      <c r="D7" s="129">
        <v>0</v>
      </c>
      <c r="E7" s="133" t="s">
        <v>69</v>
      </c>
      <c r="H7" s="128" t="s">
        <v>154</v>
      </c>
      <c r="J7" s="133">
        <v>6</v>
      </c>
      <c r="K7" s="129" t="s">
        <v>69</v>
      </c>
    </row>
    <row r="8" spans="1:15" x14ac:dyDescent="0.5">
      <c r="B8" s="128" t="s">
        <v>421</v>
      </c>
      <c r="D8" s="129">
        <v>0</v>
      </c>
      <c r="E8" s="133" t="s">
        <v>69</v>
      </c>
      <c r="H8" s="128" t="s">
        <v>422</v>
      </c>
      <c r="J8" s="133">
        <v>7</v>
      </c>
      <c r="K8" s="129" t="s">
        <v>69</v>
      </c>
    </row>
    <row r="9" spans="1:15" ht="19.5" thickBot="1" x14ac:dyDescent="0.55000000000000004">
      <c r="B9" s="128" t="s">
        <v>1334</v>
      </c>
      <c r="D9" s="489" t="str">
        <f>+ข้อมูล!I3</f>
        <v>วันที่   24  เดือน  กันยายน      พ.ศ. 2567</v>
      </c>
    </row>
    <row r="10" spans="1:15" x14ac:dyDescent="0.5">
      <c r="A10" s="357" t="s">
        <v>424</v>
      </c>
      <c r="B10" s="359" t="s">
        <v>425</v>
      </c>
      <c r="C10" s="359"/>
      <c r="D10" s="361" t="s">
        <v>25</v>
      </c>
      <c r="E10" s="135" t="s">
        <v>426</v>
      </c>
      <c r="F10" s="136" t="s">
        <v>427</v>
      </c>
      <c r="G10" s="137" t="s">
        <v>428</v>
      </c>
      <c r="H10" s="136" t="s">
        <v>429</v>
      </c>
      <c r="I10" s="261" t="s">
        <v>714</v>
      </c>
      <c r="J10" s="138" t="s">
        <v>431</v>
      </c>
      <c r="K10" s="359" t="s">
        <v>432</v>
      </c>
      <c r="L10" s="359"/>
      <c r="M10" s="363" t="s">
        <v>20</v>
      </c>
      <c r="N10" s="359"/>
      <c r="O10" s="364"/>
    </row>
    <row r="11" spans="1:15" x14ac:dyDescent="0.5">
      <c r="A11" s="358"/>
      <c r="B11" s="360"/>
      <c r="C11" s="360"/>
      <c r="D11" s="362"/>
      <c r="E11" s="139" t="s">
        <v>31</v>
      </c>
      <c r="F11" s="480" t="s">
        <v>433</v>
      </c>
      <c r="G11" s="481" t="s">
        <v>31</v>
      </c>
      <c r="H11" s="480" t="s">
        <v>31</v>
      </c>
      <c r="I11" s="481" t="s">
        <v>31</v>
      </c>
      <c r="J11" s="480" t="s">
        <v>31</v>
      </c>
      <c r="K11" s="360"/>
      <c r="L11" s="360"/>
      <c r="M11" s="365" t="s">
        <v>434</v>
      </c>
      <c r="N11" s="360"/>
      <c r="O11" s="366"/>
    </row>
    <row r="12" spans="1:15" x14ac:dyDescent="0.5">
      <c r="A12" s="143">
        <v>1</v>
      </c>
      <c r="B12" s="131" t="s">
        <v>435</v>
      </c>
      <c r="C12" s="131"/>
      <c r="D12" s="144" t="s">
        <v>436</v>
      </c>
      <c r="E12" s="476">
        <v>29110.880000000001</v>
      </c>
      <c r="F12" s="482">
        <v>0</v>
      </c>
      <c r="G12" s="476">
        <v>0</v>
      </c>
      <c r="H12" s="483">
        <v>80</v>
      </c>
      <c r="I12" s="476">
        <v>4100</v>
      </c>
      <c r="J12" s="483">
        <f>ROUNDDOWN(E12+G12+H12+I12,2)</f>
        <v>33290.879999999997</v>
      </c>
      <c r="K12" s="367" t="s">
        <v>437</v>
      </c>
      <c r="L12" s="367"/>
      <c r="M12" s="368" t="s">
        <v>438</v>
      </c>
      <c r="N12" s="367"/>
      <c r="O12" s="369"/>
    </row>
    <row r="13" spans="1:15" x14ac:dyDescent="0.5">
      <c r="A13" s="143">
        <v>2</v>
      </c>
      <c r="B13" s="131" t="s">
        <v>439</v>
      </c>
      <c r="C13" s="131"/>
      <c r="D13" s="144" t="s">
        <v>436</v>
      </c>
      <c r="E13" s="476">
        <v>24496.880000000001</v>
      </c>
      <c r="F13" s="482">
        <v>0</v>
      </c>
      <c r="G13" s="476">
        <v>0</v>
      </c>
      <c r="H13" s="483">
        <v>80</v>
      </c>
      <c r="I13" s="476">
        <v>4100</v>
      </c>
      <c r="J13" s="483">
        <f>ROUNDDOWN(E13+G13+H13+I13,2)</f>
        <v>28676.880000000001</v>
      </c>
      <c r="K13" s="367" t="s">
        <v>437</v>
      </c>
      <c r="L13" s="367"/>
      <c r="M13" s="368" t="str">
        <f>+M12</f>
        <v>จาก พาณิชย์ จ.พะเยา</v>
      </c>
      <c r="N13" s="367"/>
      <c r="O13" s="369"/>
    </row>
    <row r="14" spans="1:15" x14ac:dyDescent="0.5">
      <c r="A14" s="143">
        <v>3</v>
      </c>
      <c r="B14" s="131" t="s">
        <v>440</v>
      </c>
      <c r="C14" s="131"/>
      <c r="D14" s="144" t="s">
        <v>436</v>
      </c>
      <c r="E14" s="476">
        <v>24320.560000000001</v>
      </c>
      <c r="F14" s="482">
        <v>0</v>
      </c>
      <c r="G14" s="476">
        <v>0</v>
      </c>
      <c r="H14" s="483">
        <v>80</v>
      </c>
      <c r="I14" s="476">
        <v>3300</v>
      </c>
      <c r="J14" s="483">
        <f>ROUNDDOWN(E14+G14+H14+I14,2)</f>
        <v>27700.560000000001</v>
      </c>
      <c r="K14" s="367" t="s">
        <v>437</v>
      </c>
      <c r="L14" s="367"/>
      <c r="M14" s="368" t="str">
        <f t="shared" ref="M14:M19" si="0">+M13</f>
        <v>จาก พาณิชย์ จ.พะเยา</v>
      </c>
      <c r="N14" s="367"/>
      <c r="O14" s="369"/>
    </row>
    <row r="15" spans="1:15" x14ac:dyDescent="0.5">
      <c r="A15" s="143">
        <v>4</v>
      </c>
      <c r="B15" s="131" t="s">
        <v>441</v>
      </c>
      <c r="C15" s="131"/>
      <c r="D15" s="144" t="s">
        <v>436</v>
      </c>
      <c r="E15" s="476">
        <v>24220.73</v>
      </c>
      <c r="F15" s="482">
        <v>0</v>
      </c>
      <c r="G15" s="476">
        <v>0</v>
      </c>
      <c r="H15" s="483">
        <v>80</v>
      </c>
      <c r="I15" s="476">
        <v>3300</v>
      </c>
      <c r="J15" s="483">
        <f>ROUNDDOWN(E15+G15+H15+I15,2)</f>
        <v>27600.73</v>
      </c>
      <c r="K15" s="367" t="s">
        <v>437</v>
      </c>
      <c r="L15" s="367"/>
      <c r="M15" s="368" t="str">
        <f t="shared" si="0"/>
        <v>จาก พาณิชย์ จ.พะเยา</v>
      </c>
      <c r="N15" s="367"/>
      <c r="O15" s="369"/>
    </row>
    <row r="16" spans="1:15" x14ac:dyDescent="0.5">
      <c r="A16" s="143">
        <v>5</v>
      </c>
      <c r="B16" s="131" t="s">
        <v>442</v>
      </c>
      <c r="C16" s="131"/>
      <c r="D16" s="144" t="s">
        <v>443</v>
      </c>
      <c r="E16" s="476">
        <v>50</v>
      </c>
      <c r="F16" s="482">
        <v>0</v>
      </c>
      <c r="G16" s="476">
        <v>0</v>
      </c>
      <c r="H16" s="483">
        <v>0</v>
      </c>
      <c r="I16" s="476">
        <v>0</v>
      </c>
      <c r="J16" s="483">
        <f>ROUNDDOWN(E16+H16,2)</f>
        <v>50</v>
      </c>
      <c r="K16" s="367" t="s">
        <v>444</v>
      </c>
      <c r="L16" s="367"/>
      <c r="M16" s="368" t="s">
        <v>445</v>
      </c>
      <c r="N16" s="367"/>
      <c r="O16" s="369"/>
    </row>
    <row r="17" spans="1:17" x14ac:dyDescent="0.5">
      <c r="A17" s="149"/>
      <c r="B17" s="150" t="s">
        <v>446</v>
      </c>
      <c r="C17" s="131"/>
      <c r="D17" s="144"/>
      <c r="E17" s="476"/>
      <c r="F17" s="482"/>
      <c r="G17" s="476"/>
      <c r="H17" s="483"/>
      <c r="I17" s="476"/>
      <c r="J17" s="483"/>
      <c r="K17" s="129"/>
      <c r="L17" s="129"/>
      <c r="M17" s="368" t="s">
        <v>447</v>
      </c>
      <c r="N17" s="367"/>
      <c r="O17" s="369"/>
    </row>
    <row r="18" spans="1:17" x14ac:dyDescent="0.5">
      <c r="A18" s="149">
        <v>6</v>
      </c>
      <c r="B18" s="150" t="s">
        <v>448</v>
      </c>
      <c r="C18" s="131"/>
      <c r="D18" s="144" t="s">
        <v>449</v>
      </c>
      <c r="E18" s="476">
        <v>39.72</v>
      </c>
      <c r="F18" s="482">
        <v>0</v>
      </c>
      <c r="G18" s="476">
        <v>0</v>
      </c>
      <c r="H18" s="483">
        <v>0</v>
      </c>
      <c r="I18" s="476">
        <v>0</v>
      </c>
      <c r="J18" s="483">
        <f>ROUNDDOWN(E18+H18,2)</f>
        <v>39.72</v>
      </c>
      <c r="K18" s="367" t="s">
        <v>444</v>
      </c>
      <c r="L18" s="367"/>
      <c r="M18" s="368" t="str">
        <f>+M12</f>
        <v>จาก พาณิชย์ จ.พะเยา</v>
      </c>
      <c r="N18" s="367"/>
      <c r="O18" s="369"/>
    </row>
    <row r="19" spans="1:17" x14ac:dyDescent="0.5">
      <c r="A19" s="149">
        <v>7</v>
      </c>
      <c r="B19" s="150" t="s">
        <v>450</v>
      </c>
      <c r="C19" s="131"/>
      <c r="D19" s="151" t="s">
        <v>436</v>
      </c>
      <c r="E19" s="477">
        <v>2100</v>
      </c>
      <c r="F19" s="484">
        <v>0</v>
      </c>
      <c r="G19" s="477">
        <v>0</v>
      </c>
      <c r="H19" s="477">
        <v>0</v>
      </c>
      <c r="I19" s="477">
        <v>419</v>
      </c>
      <c r="J19" s="477">
        <f>ROUNDDOWN(E19+G19+I19,2)</f>
        <v>2519</v>
      </c>
      <c r="K19" s="368" t="s">
        <v>437</v>
      </c>
      <c r="L19" s="367"/>
      <c r="M19" s="368" t="str">
        <f t="shared" si="0"/>
        <v>จาก พาณิชย์ จ.พะเยา</v>
      </c>
      <c r="N19" s="367"/>
      <c r="O19" s="369"/>
    </row>
    <row r="20" spans="1:17" x14ac:dyDescent="0.5">
      <c r="A20" s="149"/>
      <c r="B20" s="150" t="s">
        <v>451</v>
      </c>
      <c r="C20" s="131"/>
      <c r="D20" s="151"/>
      <c r="E20" s="477"/>
      <c r="F20" s="484"/>
      <c r="G20" s="477"/>
      <c r="H20" s="477"/>
      <c r="I20" s="477"/>
      <c r="J20" s="477"/>
      <c r="K20" s="151"/>
      <c r="L20" s="129"/>
      <c r="M20" s="151"/>
      <c r="N20" s="129"/>
      <c r="O20" s="154"/>
    </row>
    <row r="21" spans="1:17" x14ac:dyDescent="0.5">
      <c r="A21" s="143">
        <v>8</v>
      </c>
      <c r="B21" s="150" t="s">
        <v>452</v>
      </c>
      <c r="C21" s="131"/>
      <c r="D21" s="151" t="s">
        <v>453</v>
      </c>
      <c r="E21" s="477">
        <v>315.42</v>
      </c>
      <c r="F21" s="484">
        <v>0</v>
      </c>
      <c r="G21" s="477">
        <f>+ข้อมูล!L10</f>
        <v>92.88</v>
      </c>
      <c r="H21" s="477">
        <v>0</v>
      </c>
      <c r="I21" s="477">
        <v>0</v>
      </c>
      <c r="J21" s="477">
        <f t="shared" ref="J21:J32" si="1">ROUNDDOWN(E21+G21+H21,2)</f>
        <v>408.3</v>
      </c>
      <c r="K21" s="368" t="s">
        <v>444</v>
      </c>
      <c r="L21" s="367"/>
      <c r="M21" s="368" t="str">
        <f>+M19</f>
        <v>จาก พาณิชย์ จ.พะเยา</v>
      </c>
      <c r="N21" s="367"/>
      <c r="O21" s="369"/>
    </row>
    <row r="22" spans="1:17" x14ac:dyDescent="0.5">
      <c r="A22" s="143">
        <v>9</v>
      </c>
      <c r="B22" s="131" t="s">
        <v>454</v>
      </c>
      <c r="C22" s="131"/>
      <c r="D22" s="144" t="s">
        <v>453</v>
      </c>
      <c r="E22" s="476">
        <v>471.97</v>
      </c>
      <c r="F22" s="482">
        <v>0</v>
      </c>
      <c r="G22" s="477">
        <f>+ข้อมูล!L11</f>
        <v>92.88</v>
      </c>
      <c r="H22" s="483">
        <v>0</v>
      </c>
      <c r="I22" s="476">
        <v>0</v>
      </c>
      <c r="J22" s="483">
        <f t="shared" si="1"/>
        <v>564.85</v>
      </c>
      <c r="K22" s="367" t="s">
        <v>444</v>
      </c>
      <c r="L22" s="367"/>
      <c r="M22" s="368" t="str">
        <f t="shared" ref="M22:M24" si="2">+M21</f>
        <v>จาก พาณิชย์ จ.พะเยา</v>
      </c>
      <c r="N22" s="367"/>
      <c r="O22" s="369"/>
    </row>
    <row r="23" spans="1:17" x14ac:dyDescent="0.5">
      <c r="A23" s="149">
        <v>10</v>
      </c>
      <c r="B23" s="150" t="s">
        <v>455</v>
      </c>
      <c r="C23" s="131"/>
      <c r="D23" s="144" t="s">
        <v>453</v>
      </c>
      <c r="E23" s="476">
        <v>543.62</v>
      </c>
      <c r="F23" s="482">
        <v>0</v>
      </c>
      <c r="G23" s="477">
        <v>0</v>
      </c>
      <c r="H23" s="483">
        <v>0</v>
      </c>
      <c r="I23" s="476">
        <v>0</v>
      </c>
      <c r="J23" s="483">
        <f t="shared" si="1"/>
        <v>543.62</v>
      </c>
      <c r="K23" s="367" t="s">
        <v>444</v>
      </c>
      <c r="L23" s="367"/>
      <c r="M23" s="368" t="str">
        <f t="shared" si="2"/>
        <v>จาก พาณิชย์ จ.พะเยา</v>
      </c>
      <c r="N23" s="367"/>
      <c r="O23" s="369"/>
      <c r="Q23" s="262"/>
    </row>
    <row r="24" spans="1:17" x14ac:dyDescent="0.5">
      <c r="A24" s="143">
        <v>11</v>
      </c>
      <c r="B24" s="150" t="s">
        <v>456</v>
      </c>
      <c r="C24" s="131"/>
      <c r="D24" s="144" t="s">
        <v>453</v>
      </c>
      <c r="E24" s="476">
        <v>543.62</v>
      </c>
      <c r="F24" s="482">
        <v>0</v>
      </c>
      <c r="G24" s="476">
        <v>0</v>
      </c>
      <c r="H24" s="483">
        <v>0</v>
      </c>
      <c r="I24" s="476">
        <v>0</v>
      </c>
      <c r="J24" s="483">
        <f t="shared" si="1"/>
        <v>543.62</v>
      </c>
      <c r="K24" s="367" t="s">
        <v>444</v>
      </c>
      <c r="L24" s="367"/>
      <c r="M24" s="368" t="str">
        <f t="shared" si="2"/>
        <v>จาก พาณิชย์ จ.พะเยา</v>
      </c>
      <c r="N24" s="367"/>
      <c r="O24" s="369"/>
    </row>
    <row r="25" spans="1:17" x14ac:dyDescent="0.5">
      <c r="A25" s="143">
        <v>12</v>
      </c>
      <c r="B25" s="150" t="s">
        <v>8</v>
      </c>
      <c r="C25" s="131"/>
      <c r="D25" s="144" t="s">
        <v>453</v>
      </c>
      <c r="E25" s="476">
        <v>15</v>
      </c>
      <c r="F25" s="482">
        <v>0</v>
      </c>
      <c r="G25" s="476">
        <v>0</v>
      </c>
      <c r="H25" s="483">
        <v>0</v>
      </c>
      <c r="I25" s="476">
        <v>0</v>
      </c>
      <c r="J25" s="483">
        <f t="shared" si="1"/>
        <v>15</v>
      </c>
      <c r="K25" s="367" t="s">
        <v>444</v>
      </c>
      <c r="L25" s="367"/>
      <c r="M25" s="368" t="s">
        <v>1333</v>
      </c>
      <c r="N25" s="367"/>
      <c r="O25" s="369"/>
    </row>
    <row r="26" spans="1:17" x14ac:dyDescent="0.5">
      <c r="A26" s="143">
        <v>13</v>
      </c>
      <c r="B26" s="150" t="s">
        <v>458</v>
      </c>
      <c r="C26" s="131"/>
      <c r="D26" s="144" t="s">
        <v>396</v>
      </c>
      <c r="E26" s="476">
        <v>717.76</v>
      </c>
      <c r="F26" s="482">
        <v>0</v>
      </c>
      <c r="G26" s="476">
        <v>0</v>
      </c>
      <c r="H26" s="483">
        <v>0</v>
      </c>
      <c r="I26" s="476">
        <v>0</v>
      </c>
      <c r="J26" s="483">
        <f t="shared" si="1"/>
        <v>717.76</v>
      </c>
      <c r="K26" s="367" t="s">
        <v>444</v>
      </c>
      <c r="L26" s="367"/>
      <c r="M26" s="368" t="str">
        <f>+M24</f>
        <v>จาก พาณิชย์ จ.พะเยา</v>
      </c>
      <c r="N26" s="367"/>
      <c r="O26" s="369"/>
    </row>
    <row r="27" spans="1:17" x14ac:dyDescent="0.5">
      <c r="A27" s="149">
        <v>14</v>
      </c>
      <c r="B27" s="150" t="s">
        <v>459</v>
      </c>
      <c r="C27" s="131"/>
      <c r="D27" s="144" t="s">
        <v>396</v>
      </c>
      <c r="E27" s="476">
        <v>546.73</v>
      </c>
      <c r="F27" s="482">
        <v>0</v>
      </c>
      <c r="G27" s="476">
        <v>0</v>
      </c>
      <c r="H27" s="483">
        <v>0</v>
      </c>
      <c r="I27" s="476">
        <v>0</v>
      </c>
      <c r="J27" s="483">
        <f t="shared" si="1"/>
        <v>546.73</v>
      </c>
      <c r="K27" s="367" t="s">
        <v>444</v>
      </c>
      <c r="L27" s="367"/>
      <c r="M27" s="368" t="str">
        <f t="shared" ref="M27" si="3">+M26</f>
        <v>จาก พาณิชย์ จ.พะเยา</v>
      </c>
      <c r="N27" s="367"/>
      <c r="O27" s="369"/>
    </row>
    <row r="28" spans="1:17" x14ac:dyDescent="0.5">
      <c r="A28" s="155">
        <v>15</v>
      </c>
      <c r="B28" s="150" t="s">
        <v>460</v>
      </c>
      <c r="C28" s="131"/>
      <c r="D28" s="144" t="s">
        <v>461</v>
      </c>
      <c r="E28" s="476">
        <v>40</v>
      </c>
      <c r="F28" s="482">
        <v>0</v>
      </c>
      <c r="G28" s="476">
        <v>0</v>
      </c>
      <c r="H28" s="483">
        <v>0</v>
      </c>
      <c r="I28" s="476">
        <v>0</v>
      </c>
      <c r="J28" s="483">
        <f t="shared" si="1"/>
        <v>40</v>
      </c>
      <c r="K28" s="367" t="s">
        <v>444</v>
      </c>
      <c r="L28" s="367"/>
      <c r="M28" s="368" t="str">
        <f>+M25</f>
        <v>จาก แหล่ง อ.เมือง จ.พะเยา</v>
      </c>
      <c r="N28" s="367"/>
      <c r="O28" s="369"/>
    </row>
    <row r="29" spans="1:17" x14ac:dyDescent="0.5">
      <c r="A29" s="143">
        <v>16</v>
      </c>
      <c r="B29" s="150" t="s">
        <v>462</v>
      </c>
      <c r="C29" s="131"/>
      <c r="D29" s="144" t="s">
        <v>400</v>
      </c>
      <c r="E29" s="476">
        <v>507.01</v>
      </c>
      <c r="F29" s="482">
        <v>0</v>
      </c>
      <c r="G29" s="476">
        <v>0</v>
      </c>
      <c r="H29" s="483">
        <v>0</v>
      </c>
      <c r="I29" s="476">
        <v>0</v>
      </c>
      <c r="J29" s="483">
        <f t="shared" si="1"/>
        <v>507.01</v>
      </c>
      <c r="K29" s="367" t="s">
        <v>444</v>
      </c>
      <c r="L29" s="367"/>
      <c r="M29" s="368" t="str">
        <f>+M24</f>
        <v>จาก พาณิชย์ จ.พะเยา</v>
      </c>
      <c r="N29" s="367"/>
      <c r="O29" s="369"/>
    </row>
    <row r="30" spans="1:17" s="162" customFormat="1" x14ac:dyDescent="0.5">
      <c r="A30" s="143">
        <v>17</v>
      </c>
      <c r="B30" s="156" t="s">
        <v>463</v>
      </c>
      <c r="C30" s="156"/>
      <c r="D30" s="157" t="s">
        <v>400</v>
      </c>
      <c r="E30" s="478"/>
      <c r="F30" s="485">
        <v>0</v>
      </c>
      <c r="G30" s="478">
        <v>0</v>
      </c>
      <c r="H30" s="486">
        <v>0</v>
      </c>
      <c r="I30" s="478">
        <v>0</v>
      </c>
      <c r="J30" s="486">
        <f t="shared" si="1"/>
        <v>0</v>
      </c>
      <c r="K30" s="370" t="s">
        <v>444</v>
      </c>
      <c r="L30" s="370"/>
      <c r="M30" s="368" t="str">
        <f t="shared" ref="M30:M34" si="4">+M29</f>
        <v>จาก พาณิชย์ จ.พะเยา</v>
      </c>
      <c r="N30" s="367"/>
      <c r="O30" s="369"/>
    </row>
    <row r="31" spans="1:17" x14ac:dyDescent="0.5">
      <c r="A31" s="143">
        <v>18</v>
      </c>
      <c r="B31" s="131" t="s">
        <v>464</v>
      </c>
      <c r="C31" s="131"/>
      <c r="D31" s="144" t="s">
        <v>400</v>
      </c>
      <c r="E31" s="476"/>
      <c r="F31" s="482">
        <v>0</v>
      </c>
      <c r="G31" s="476">
        <v>0</v>
      </c>
      <c r="H31" s="483">
        <v>0</v>
      </c>
      <c r="I31" s="476">
        <v>0</v>
      </c>
      <c r="J31" s="483">
        <f t="shared" si="1"/>
        <v>0</v>
      </c>
      <c r="K31" s="368" t="s">
        <v>444</v>
      </c>
      <c r="L31" s="371"/>
      <c r="M31" s="368" t="str">
        <f t="shared" si="4"/>
        <v>จาก พาณิชย์ จ.พะเยา</v>
      </c>
      <c r="N31" s="367"/>
      <c r="O31" s="369"/>
    </row>
    <row r="32" spans="1:17" x14ac:dyDescent="0.5">
      <c r="A32" s="143">
        <v>19</v>
      </c>
      <c r="B32" s="131" t="s">
        <v>465</v>
      </c>
      <c r="C32" s="131"/>
      <c r="D32" s="144" t="s">
        <v>400</v>
      </c>
      <c r="E32" s="476"/>
      <c r="F32" s="482">
        <v>0</v>
      </c>
      <c r="G32" s="476">
        <v>0</v>
      </c>
      <c r="H32" s="483">
        <v>0</v>
      </c>
      <c r="I32" s="476">
        <v>0</v>
      </c>
      <c r="J32" s="483">
        <f t="shared" si="1"/>
        <v>0</v>
      </c>
      <c r="K32" s="368" t="s">
        <v>444</v>
      </c>
      <c r="L32" s="371"/>
      <c r="M32" s="368" t="str">
        <f t="shared" si="4"/>
        <v>จาก พาณิชย์ จ.พะเยา</v>
      </c>
      <c r="N32" s="367"/>
      <c r="O32" s="369"/>
    </row>
    <row r="33" spans="1:15" x14ac:dyDescent="0.5">
      <c r="A33" s="143">
        <v>20</v>
      </c>
      <c r="B33" s="131" t="s">
        <v>466</v>
      </c>
      <c r="C33" s="131"/>
      <c r="D33" s="144" t="s">
        <v>212</v>
      </c>
      <c r="E33" s="476"/>
      <c r="F33" s="482">
        <v>0</v>
      </c>
      <c r="G33" s="476">
        <v>0</v>
      </c>
      <c r="H33" s="483">
        <v>0</v>
      </c>
      <c r="I33" s="476">
        <v>0</v>
      </c>
      <c r="J33" s="483">
        <f>ROUNDDOWN(E33/3,2)</f>
        <v>0</v>
      </c>
      <c r="K33" s="368" t="s">
        <v>444</v>
      </c>
      <c r="L33" s="371"/>
      <c r="M33" s="368" t="str">
        <f t="shared" si="4"/>
        <v>จาก พาณิชย์ จ.พะเยา</v>
      </c>
      <c r="N33" s="367"/>
      <c r="O33" s="369"/>
    </row>
    <row r="34" spans="1:15" ht="19.5" thickBot="1" x14ac:dyDescent="0.55000000000000004">
      <c r="A34" s="163">
        <v>21</v>
      </c>
      <c r="B34" s="164" t="s">
        <v>467</v>
      </c>
      <c r="C34" s="165"/>
      <c r="D34" s="166" t="s">
        <v>399</v>
      </c>
      <c r="E34" s="479">
        <v>56.07</v>
      </c>
      <c r="F34" s="487">
        <v>0</v>
      </c>
      <c r="G34" s="479">
        <v>0</v>
      </c>
      <c r="H34" s="488">
        <v>0</v>
      </c>
      <c r="I34" s="479">
        <v>0</v>
      </c>
      <c r="J34" s="488">
        <f>ROUNDDOWN(E34+G34+H34,2)</f>
        <v>56.07</v>
      </c>
      <c r="K34" s="372" t="s">
        <v>444</v>
      </c>
      <c r="L34" s="373"/>
      <c r="M34" s="365" t="str">
        <f t="shared" si="4"/>
        <v>จาก พาณิชย์ จ.พะเยา</v>
      </c>
      <c r="N34" s="360"/>
      <c r="O34" s="366"/>
    </row>
  </sheetData>
  <mergeCells count="52">
    <mergeCell ref="K32:L32"/>
    <mergeCell ref="M32:O32"/>
    <mergeCell ref="K33:L33"/>
    <mergeCell ref="M33:O33"/>
    <mergeCell ref="K34:L34"/>
    <mergeCell ref="M34:O34"/>
    <mergeCell ref="K29:L29"/>
    <mergeCell ref="M29:O29"/>
    <mergeCell ref="K30:L30"/>
    <mergeCell ref="M30:O30"/>
    <mergeCell ref="K31:L31"/>
    <mergeCell ref="M31:O31"/>
    <mergeCell ref="K26:L26"/>
    <mergeCell ref="M26:O26"/>
    <mergeCell ref="K27:L27"/>
    <mergeCell ref="M27:O27"/>
    <mergeCell ref="K28:L28"/>
    <mergeCell ref="M28:O28"/>
    <mergeCell ref="K23:L23"/>
    <mergeCell ref="M23:O23"/>
    <mergeCell ref="K24:L24"/>
    <mergeCell ref="M24:O24"/>
    <mergeCell ref="K25:L25"/>
    <mergeCell ref="M25:O25"/>
    <mergeCell ref="K19:L19"/>
    <mergeCell ref="M19:O19"/>
    <mergeCell ref="K21:L21"/>
    <mergeCell ref="M21:O21"/>
    <mergeCell ref="K22:L22"/>
    <mergeCell ref="M22:O22"/>
    <mergeCell ref="K18:L18"/>
    <mergeCell ref="M18:O18"/>
    <mergeCell ref="K12:L12"/>
    <mergeCell ref="M12:O12"/>
    <mergeCell ref="K13:L13"/>
    <mergeCell ref="M13:O13"/>
    <mergeCell ref="K14:L14"/>
    <mergeCell ref="M14:O14"/>
    <mergeCell ref="K15:L15"/>
    <mergeCell ref="M15:O15"/>
    <mergeCell ref="K16:L16"/>
    <mergeCell ref="M16:O16"/>
    <mergeCell ref="M17:O17"/>
    <mergeCell ref="A1:O1"/>
    <mergeCell ref="E3:L3"/>
    <mergeCell ref="E4:L4"/>
    <mergeCell ref="A10:A11"/>
    <mergeCell ref="B10:C11"/>
    <mergeCell ref="D10:D11"/>
    <mergeCell ref="K10:L11"/>
    <mergeCell ref="M10:O10"/>
    <mergeCell ref="M11:O11"/>
  </mergeCells>
  <pageMargins left="0.7" right="0.7" top="0.75" bottom="0.75" header="0.3" footer="0.3"/>
  <pageSetup paperSize="9" scale="65" orientation="portrait" horizontalDpi="0" verticalDpi="0" r:id="rId1"/>
  <colBreaks count="1" manualBreakCount="1">
    <brk id="1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15"/>
  <sheetViews>
    <sheetView topLeftCell="A4" zoomScale="130" zoomScaleNormal="130" workbookViewId="0">
      <selection activeCell="N11" sqref="N11"/>
    </sheetView>
  </sheetViews>
  <sheetFormatPr defaultColWidth="9.140625" defaultRowHeight="21" x14ac:dyDescent="0.45"/>
  <cols>
    <col min="1" max="1" width="4" style="1" customWidth="1"/>
    <col min="2" max="2" width="11.7109375" style="1" customWidth="1"/>
    <col min="3" max="3" width="7.85546875" style="1" customWidth="1"/>
    <col min="4" max="4" width="7.7109375" style="1" customWidth="1"/>
    <col min="5" max="6" width="9" style="1" customWidth="1"/>
    <col min="7" max="7" width="7.7109375" style="1" customWidth="1"/>
    <col min="8" max="8" width="9.85546875" style="1" customWidth="1"/>
    <col min="9" max="9" width="12.85546875" style="194" customWidth="1"/>
    <col min="10" max="10" width="6.28515625" style="193" customWidth="1"/>
    <col min="11" max="11" width="7.85546875" style="1" customWidth="1"/>
    <col min="12" max="12" width="5.140625" style="1" customWidth="1"/>
    <col min="13" max="15" width="9.140625" style="1"/>
    <col min="16" max="16" width="12.85546875" style="1" customWidth="1"/>
    <col min="17" max="17" width="9.140625" style="1"/>
    <col min="18" max="18" width="10" style="1" bestFit="1" customWidth="1"/>
    <col min="19" max="16384" width="9.140625" style="1"/>
  </cols>
  <sheetData>
    <row r="1" spans="1:12" s="190" customFormat="1" ht="23.25" customHeight="1" x14ac:dyDescent="0.45">
      <c r="A1" s="350" t="s">
        <v>178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</row>
    <row r="2" spans="1:12" s="190" customFormat="1" ht="23.25" customHeight="1" x14ac:dyDescent="0.45">
      <c r="A2" s="350" t="str">
        <f>ข้อมูล!$B$2</f>
        <v>องค์การบริหารส่วนจังหวัดพะเยา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</row>
    <row r="3" spans="1:12" x14ac:dyDescent="0.45">
      <c r="D3" s="191"/>
      <c r="E3" s="191"/>
      <c r="F3" s="191"/>
      <c r="G3" s="191"/>
      <c r="I3" s="192" t="str">
        <f>ข้อมูล!$I$3</f>
        <v>วันที่   24  เดือน  กันยายน      พ.ศ. 2567</v>
      </c>
    </row>
    <row r="4" spans="1:12" x14ac:dyDescent="0.45">
      <c r="A4" s="191" t="s">
        <v>595</v>
      </c>
      <c r="C4" s="222" t="str">
        <f>ข้อมูล!$D$5</f>
        <v>ซ่อมสร้างและขยายผิวจราจรถนน ทางหลวงหมายเลข 1 ตอนเดิมเข้าเมืองพะเยา  ต.บ้านต๋อม อ.เมืองพะเยา จ.พะเยา</v>
      </c>
    </row>
    <row r="5" spans="1:12" x14ac:dyDescent="0.45">
      <c r="A5" s="191" t="s">
        <v>596</v>
      </c>
      <c r="C5" s="1" t="str">
        <f>ข้อมูล!$D$6</f>
        <v>องค์การบริหารส่วนจังหวัดพะเยา</v>
      </c>
    </row>
    <row r="6" spans="1:12" x14ac:dyDescent="0.45">
      <c r="A6" s="191" t="s">
        <v>597</v>
      </c>
      <c r="C6" s="195"/>
      <c r="D6" s="196" t="s">
        <v>179</v>
      </c>
      <c r="E6" s="197" t="str">
        <f>ข้อมูล!F7</f>
        <v>ทางหลวงหมายเลข 1 ตอน ทางเดิมเข้าเมืองพะเยา ต.บ้านต๋อม อ.เมืองพะเยา จ.พะเยา</v>
      </c>
      <c r="F6" s="197"/>
      <c r="G6" s="197"/>
    </row>
    <row r="7" spans="1:12" ht="21.75" customHeight="1" x14ac:dyDescent="0.45">
      <c r="A7" s="191" t="s">
        <v>598</v>
      </c>
      <c r="C7" s="198" t="str">
        <f>ข้อมูล!$C$8</f>
        <v>ทางหลวงหมายเลข 1 ตอนเดิมเข้าเมืองพะเยา  ต.บ้านต๋อม อ.เมือง จ.พะเยา</v>
      </c>
      <c r="G7" s="199"/>
      <c r="H7" s="193"/>
      <c r="I7" s="1"/>
      <c r="J7" s="1"/>
    </row>
    <row r="8" spans="1:12" x14ac:dyDescent="0.45">
      <c r="A8" s="191" t="s">
        <v>599</v>
      </c>
      <c r="C8" s="1" t="s">
        <v>180</v>
      </c>
      <c r="E8" s="200" t="s">
        <v>632</v>
      </c>
      <c r="G8" s="223" t="s">
        <v>617</v>
      </c>
      <c r="I8" s="201" t="s">
        <v>618</v>
      </c>
      <c r="J8" s="193" t="s">
        <v>53</v>
      </c>
    </row>
    <row r="9" spans="1:12" x14ac:dyDescent="0.45">
      <c r="E9" s="202"/>
      <c r="H9" s="191"/>
      <c r="I9" s="202"/>
    </row>
    <row r="10" spans="1:12" x14ac:dyDescent="0.45">
      <c r="A10" s="211" t="s">
        <v>628</v>
      </c>
      <c r="B10" s="208"/>
      <c r="C10" s="100"/>
      <c r="D10" s="212"/>
      <c r="E10" s="225">
        <v>2.4</v>
      </c>
      <c r="F10" s="213" t="s">
        <v>44</v>
      </c>
      <c r="G10" s="351" t="s">
        <v>606</v>
      </c>
      <c r="H10" s="351"/>
      <c r="I10" s="214" t="str">
        <f>+I8</f>
        <v>10.50</v>
      </c>
      <c r="J10" s="215" t="s">
        <v>53</v>
      </c>
    </row>
    <row r="11" spans="1:12" x14ac:dyDescent="0.45">
      <c r="A11" s="374" t="s">
        <v>619</v>
      </c>
      <c r="B11" s="375"/>
      <c r="C11" s="226" t="s">
        <v>603</v>
      </c>
      <c r="D11" s="227" t="s">
        <v>181</v>
      </c>
      <c r="E11" s="226" t="s">
        <v>607</v>
      </c>
      <c r="F11" s="228"/>
      <c r="G11" s="204" t="s">
        <v>633</v>
      </c>
      <c r="H11" s="232"/>
      <c r="I11" s="232"/>
      <c r="J11" s="232"/>
      <c r="K11" s="204"/>
      <c r="L11" s="205"/>
    </row>
    <row r="12" spans="1:12" x14ac:dyDescent="0.45">
      <c r="A12" s="209"/>
      <c r="B12" s="210"/>
      <c r="C12" s="229" t="s">
        <v>608</v>
      </c>
      <c r="D12" s="230"/>
      <c r="E12" s="229" t="s">
        <v>612</v>
      </c>
      <c r="F12" s="210"/>
      <c r="G12" s="376" t="s">
        <v>609</v>
      </c>
      <c r="H12" s="376"/>
      <c r="I12" s="231">
        <v>1.2</v>
      </c>
      <c r="J12" s="233" t="s">
        <v>44</v>
      </c>
      <c r="K12" s="206"/>
      <c r="L12" s="207"/>
    </row>
    <row r="13" spans="1:12" x14ac:dyDescent="0.45">
      <c r="A13" s="374" t="s">
        <v>620</v>
      </c>
      <c r="B13" s="375"/>
      <c r="C13" s="226" t="s">
        <v>603</v>
      </c>
      <c r="D13" s="227" t="s">
        <v>181</v>
      </c>
      <c r="E13" s="226" t="s">
        <v>610</v>
      </c>
      <c r="F13" s="228"/>
      <c r="G13" s="204" t="s">
        <v>634</v>
      </c>
      <c r="H13" s="204"/>
      <c r="I13" s="204"/>
      <c r="J13" s="204"/>
      <c r="L13" s="205"/>
    </row>
    <row r="14" spans="1:12" x14ac:dyDescent="0.45">
      <c r="A14" s="209"/>
      <c r="B14" s="210"/>
      <c r="C14" s="229" t="s">
        <v>611</v>
      </c>
      <c r="D14" s="230"/>
      <c r="E14" s="229" t="s">
        <v>613</v>
      </c>
      <c r="F14" s="210"/>
      <c r="G14" s="376" t="s">
        <v>609</v>
      </c>
      <c r="H14" s="376"/>
      <c r="I14" s="231">
        <v>1.2</v>
      </c>
      <c r="J14" s="233" t="s">
        <v>44</v>
      </c>
      <c r="K14" s="206"/>
      <c r="L14" s="207"/>
    </row>
    <row r="15" spans="1:12" ht="21.75" x14ac:dyDescent="0.5">
      <c r="A15" s="100"/>
      <c r="B15" s="352" t="s">
        <v>623</v>
      </c>
      <c r="C15" s="352"/>
      <c r="D15" s="353"/>
      <c r="E15" s="353"/>
      <c r="F15" s="353"/>
      <c r="G15" s="353"/>
      <c r="H15" s="224">
        <f>'0+000-1+200'!E59</f>
        <v>29706</v>
      </c>
      <c r="I15" s="216" t="s">
        <v>329</v>
      </c>
      <c r="J15" s="217"/>
      <c r="K15" s="203"/>
    </row>
  </sheetData>
  <mergeCells count="8">
    <mergeCell ref="A13:B13"/>
    <mergeCell ref="G14:H14"/>
    <mergeCell ref="B15:G15"/>
    <mergeCell ref="A1:L1"/>
    <mergeCell ref="A2:L2"/>
    <mergeCell ref="G10:H10"/>
    <mergeCell ref="A11:B11"/>
    <mergeCell ref="G12:H12"/>
  </mergeCells>
  <pageMargins left="0.75" right="0.54" top="0.83" bottom="0.75" header="0.5" footer="0.5"/>
  <pageSetup paperSize="9" scale="97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20"/>
  <sheetViews>
    <sheetView topLeftCell="A4" workbookViewId="0">
      <selection activeCell="E27" sqref="E27"/>
    </sheetView>
  </sheetViews>
  <sheetFormatPr defaultRowHeight="21.75" x14ac:dyDescent="0.5"/>
  <cols>
    <col min="1" max="1" width="6" customWidth="1"/>
    <col min="2" max="2" width="52" customWidth="1"/>
    <col min="3" max="3" width="8.85546875" customWidth="1"/>
    <col min="4" max="4" width="7.42578125" customWidth="1"/>
    <col min="5" max="5" width="14.7109375" customWidth="1"/>
    <col min="6" max="6" width="16.7109375" customWidth="1"/>
    <col min="7" max="7" width="13.5703125" customWidth="1"/>
    <col min="8" max="8" width="14.7109375" customWidth="1"/>
    <col min="9" max="9" width="15.7109375" customWidth="1"/>
    <col min="10" max="10" width="12.85546875" customWidth="1"/>
    <col min="11" max="11" width="14.42578125" customWidth="1"/>
    <col min="12" max="12" width="11.140625" customWidth="1"/>
    <col min="13" max="13" width="12.42578125" customWidth="1"/>
    <col min="14" max="14" width="13.28515625" customWidth="1"/>
    <col min="15" max="15" width="16.85546875" customWidth="1"/>
  </cols>
  <sheetData>
    <row r="1" spans="1:10" x14ac:dyDescent="0.5">
      <c r="A1" s="354" t="s">
        <v>377</v>
      </c>
      <c r="B1" s="354"/>
      <c r="C1" s="354"/>
      <c r="D1" s="354"/>
      <c r="E1" s="354"/>
      <c r="F1" s="354"/>
      <c r="G1" s="354"/>
      <c r="H1" s="354"/>
      <c r="I1" s="354"/>
      <c r="J1" s="354"/>
    </row>
    <row r="2" spans="1:10" ht="20.100000000000001" customHeight="1" x14ac:dyDescent="0.5">
      <c r="A2" s="98" t="s">
        <v>378</v>
      </c>
      <c r="C2" s="99" t="s">
        <v>405</v>
      </c>
      <c r="I2" s="98"/>
    </row>
    <row r="3" spans="1:10" ht="20.100000000000001" customHeight="1" x14ac:dyDescent="0.5">
      <c r="A3" s="98" t="s">
        <v>379</v>
      </c>
      <c r="C3" s="99" t="s">
        <v>332</v>
      </c>
      <c r="I3" s="98"/>
    </row>
    <row r="4" spans="1:10" ht="20.100000000000001" customHeight="1" x14ac:dyDescent="0.5">
      <c r="A4" s="98" t="s">
        <v>380</v>
      </c>
      <c r="C4" s="99" t="s">
        <v>381</v>
      </c>
      <c r="E4" s="98"/>
      <c r="F4" s="98"/>
      <c r="G4" s="98"/>
      <c r="H4" s="98"/>
    </row>
    <row r="5" spans="1:10" ht="20.100000000000001" customHeight="1" x14ac:dyDescent="0.5">
      <c r="A5" s="98" t="s">
        <v>382</v>
      </c>
      <c r="C5" s="99" t="s">
        <v>383</v>
      </c>
      <c r="E5" s="100"/>
      <c r="G5" s="98"/>
    </row>
    <row r="6" spans="1:10" ht="20.100000000000001" customHeight="1" x14ac:dyDescent="0.5">
      <c r="A6" s="98" t="s">
        <v>384</v>
      </c>
      <c r="C6" s="99" t="s">
        <v>385</v>
      </c>
      <c r="E6" s="100"/>
      <c r="G6" s="98"/>
    </row>
    <row r="7" spans="1:10" ht="20.100000000000001" customHeight="1" x14ac:dyDescent="0.5">
      <c r="A7" s="101" t="s">
        <v>386</v>
      </c>
      <c r="B7" s="102" t="s">
        <v>1</v>
      </c>
      <c r="C7" s="102" t="s">
        <v>24</v>
      </c>
      <c r="D7" s="102" t="s">
        <v>25</v>
      </c>
      <c r="E7" s="103" t="s">
        <v>387</v>
      </c>
      <c r="F7" s="104"/>
      <c r="G7" s="105" t="s">
        <v>388</v>
      </c>
      <c r="H7" s="104"/>
      <c r="I7" s="102" t="s">
        <v>389</v>
      </c>
      <c r="J7" s="106" t="s">
        <v>20</v>
      </c>
    </row>
    <row r="8" spans="1:10" ht="20.100000000000001" customHeight="1" x14ac:dyDescent="0.5">
      <c r="A8" s="107" t="s">
        <v>0</v>
      </c>
      <c r="B8" s="108"/>
      <c r="C8" s="108"/>
      <c r="D8" s="108"/>
      <c r="E8" s="109" t="s">
        <v>390</v>
      </c>
      <c r="F8" s="109" t="s">
        <v>27</v>
      </c>
      <c r="G8" s="109" t="s">
        <v>390</v>
      </c>
      <c r="H8" s="109" t="s">
        <v>27</v>
      </c>
      <c r="I8" s="107" t="s">
        <v>391</v>
      </c>
      <c r="J8" s="108"/>
    </row>
    <row r="9" spans="1:10" ht="20.100000000000001" customHeight="1" x14ac:dyDescent="0.5">
      <c r="A9" s="101" t="s">
        <v>386</v>
      </c>
      <c r="B9" s="102" t="s">
        <v>1</v>
      </c>
      <c r="C9" s="102" t="s">
        <v>24</v>
      </c>
      <c r="D9" s="102" t="s">
        <v>25</v>
      </c>
      <c r="E9" s="103" t="s">
        <v>387</v>
      </c>
      <c r="F9" s="104"/>
      <c r="G9" s="105" t="s">
        <v>388</v>
      </c>
      <c r="H9" s="104"/>
      <c r="I9" s="102" t="s">
        <v>389</v>
      </c>
      <c r="J9" s="106" t="s">
        <v>20</v>
      </c>
    </row>
    <row r="10" spans="1:10" ht="20.100000000000001" customHeight="1" x14ac:dyDescent="0.5">
      <c r="A10" s="107" t="s">
        <v>0</v>
      </c>
      <c r="B10" s="108"/>
      <c r="C10" s="108"/>
      <c r="D10" s="108"/>
      <c r="E10" s="109" t="s">
        <v>390</v>
      </c>
      <c r="F10" s="109" t="s">
        <v>27</v>
      </c>
      <c r="G10" s="109" t="s">
        <v>390</v>
      </c>
      <c r="H10" s="109" t="s">
        <v>27</v>
      </c>
      <c r="I10" s="107" t="s">
        <v>391</v>
      </c>
      <c r="J10" s="108"/>
    </row>
    <row r="11" spans="1:10" ht="20.100000000000001" customHeight="1" x14ac:dyDescent="0.5">
      <c r="A11" s="110">
        <v>1</v>
      </c>
      <c r="B11" s="111" t="s">
        <v>392</v>
      </c>
      <c r="C11" s="108"/>
      <c r="D11" s="108"/>
      <c r="E11" s="109"/>
      <c r="F11" s="109"/>
      <c r="G11" s="109"/>
      <c r="H11" s="109"/>
      <c r="I11" s="107"/>
      <c r="J11" s="108"/>
    </row>
    <row r="12" spans="1:10" ht="20.100000000000001" customHeight="1" x14ac:dyDescent="0.5">
      <c r="A12" s="112">
        <v>1.5</v>
      </c>
      <c r="B12" s="123" t="s">
        <v>393</v>
      </c>
      <c r="C12" s="120">
        <v>7.1999999999999995E-2</v>
      </c>
      <c r="D12" s="115" t="s">
        <v>34</v>
      </c>
      <c r="E12" s="116">
        <v>2100</v>
      </c>
      <c r="F12" s="125">
        <f t="shared" ref="F12:F19" si="0">C12*E12</f>
        <v>151.19999999999999</v>
      </c>
      <c r="G12" s="116">
        <v>419</v>
      </c>
      <c r="H12" s="118">
        <f t="shared" ref="H12:H19" si="1">C12*G12</f>
        <v>30.167999999999999</v>
      </c>
      <c r="I12" s="117">
        <f t="shared" ref="I12:I19" si="2">F12+H12</f>
        <v>181.36799999999999</v>
      </c>
      <c r="J12" s="122"/>
    </row>
    <row r="13" spans="1:10" ht="20.100000000000001" customHeight="1" x14ac:dyDescent="0.5">
      <c r="A13" s="112">
        <v>1.6</v>
      </c>
      <c r="B13" s="119" t="s">
        <v>394</v>
      </c>
      <c r="C13" s="120">
        <v>0.72</v>
      </c>
      <c r="D13" s="115" t="s">
        <v>33</v>
      </c>
      <c r="E13" s="116">
        <v>0</v>
      </c>
      <c r="F13" s="117">
        <f>C13*E13</f>
        <v>0</v>
      </c>
      <c r="G13" s="121">
        <v>139</v>
      </c>
      <c r="H13" s="124">
        <f>C13*G13</f>
        <v>100.08</v>
      </c>
      <c r="I13" s="117">
        <f>F13+H13</f>
        <v>100.08</v>
      </c>
      <c r="J13" s="122"/>
    </row>
    <row r="14" spans="1:10" ht="20.100000000000001" customHeight="1" x14ac:dyDescent="0.5">
      <c r="A14" s="115"/>
      <c r="B14" s="119" t="s">
        <v>395</v>
      </c>
      <c r="C14" s="120">
        <f>C13*0.5</f>
        <v>0.36</v>
      </c>
      <c r="D14" s="115" t="s">
        <v>396</v>
      </c>
      <c r="E14" s="116">
        <v>697.2</v>
      </c>
      <c r="F14" s="125">
        <f>C14*E14</f>
        <v>250.99200000000002</v>
      </c>
      <c r="G14" s="121">
        <v>0</v>
      </c>
      <c r="H14" s="117">
        <f>C14*G14</f>
        <v>0</v>
      </c>
      <c r="I14" s="117">
        <f>F14+H14</f>
        <v>250.99200000000002</v>
      </c>
      <c r="J14" s="122"/>
    </row>
    <row r="15" spans="1:10" ht="20.100000000000001" customHeight="1" x14ac:dyDescent="0.5">
      <c r="A15" s="115"/>
      <c r="B15" s="119" t="s">
        <v>397</v>
      </c>
      <c r="C15" s="120">
        <f>C14*0.3</f>
        <v>0.108</v>
      </c>
      <c r="D15" s="115" t="s">
        <v>396</v>
      </c>
      <c r="E15" s="116">
        <v>546.73</v>
      </c>
      <c r="F15" s="117">
        <f>C15*E15</f>
        <v>59.046840000000003</v>
      </c>
      <c r="G15" s="121">
        <v>0</v>
      </c>
      <c r="H15" s="117">
        <f>C15*G15</f>
        <v>0</v>
      </c>
      <c r="I15" s="117">
        <f>F15+H15</f>
        <v>59.046840000000003</v>
      </c>
      <c r="J15" s="122"/>
    </row>
    <row r="16" spans="1:10" ht="20.100000000000001" customHeight="1" x14ac:dyDescent="0.5">
      <c r="A16" s="115"/>
      <c r="B16" s="119" t="s">
        <v>398</v>
      </c>
      <c r="C16" s="120">
        <v>46.07</v>
      </c>
      <c r="D16" s="115" t="s">
        <v>399</v>
      </c>
      <c r="E16" s="116">
        <v>56.07</v>
      </c>
      <c r="F16" s="117">
        <f>C16*E16</f>
        <v>2583.1449000000002</v>
      </c>
      <c r="G16" s="121">
        <v>0</v>
      </c>
      <c r="H16" s="117">
        <f>C16*G16</f>
        <v>0</v>
      </c>
      <c r="I16" s="117">
        <f>F16+H16</f>
        <v>2583.1449000000002</v>
      </c>
      <c r="J16" s="122"/>
    </row>
    <row r="17" spans="1:10" ht="20.100000000000001" customHeight="1" x14ac:dyDescent="0.5">
      <c r="A17" s="114">
        <v>1.1000000000000001</v>
      </c>
      <c r="B17" s="113" t="s">
        <v>407</v>
      </c>
      <c r="C17" s="114">
        <v>0.8</v>
      </c>
      <c r="D17" s="115" t="s">
        <v>400</v>
      </c>
      <c r="E17" s="116">
        <v>1359.35</v>
      </c>
      <c r="F17" s="117">
        <f t="shared" si="0"/>
        <v>1087.48</v>
      </c>
      <c r="G17" s="121">
        <f>E17*0.3</f>
        <v>407.80499999999995</v>
      </c>
      <c r="H17" s="117">
        <f t="shared" si="1"/>
        <v>326.24399999999997</v>
      </c>
      <c r="I17" s="117">
        <f t="shared" si="2"/>
        <v>1413.7239999999999</v>
      </c>
      <c r="J17" s="122"/>
    </row>
    <row r="18" spans="1:10" ht="20.100000000000001" customHeight="1" x14ac:dyDescent="0.5">
      <c r="A18" s="114">
        <v>1.1600000000000001</v>
      </c>
      <c r="B18" s="113" t="s">
        <v>401</v>
      </c>
      <c r="C18" s="120">
        <v>1</v>
      </c>
      <c r="D18" s="115" t="s">
        <v>402</v>
      </c>
      <c r="E18" s="116">
        <v>100</v>
      </c>
      <c r="F18" s="117">
        <f t="shared" si="0"/>
        <v>100</v>
      </c>
      <c r="G18" s="121">
        <v>0</v>
      </c>
      <c r="H18" s="117">
        <f t="shared" si="1"/>
        <v>0</v>
      </c>
      <c r="I18" s="117">
        <f t="shared" si="2"/>
        <v>100</v>
      </c>
      <c r="J18" s="122"/>
    </row>
    <row r="19" spans="1:10" ht="20.100000000000001" customHeight="1" x14ac:dyDescent="0.5">
      <c r="A19" s="114">
        <v>1.1700000000000002</v>
      </c>
      <c r="B19" s="113" t="s">
        <v>403</v>
      </c>
      <c r="C19" s="120">
        <v>7.1999999999999995E-2</v>
      </c>
      <c r="D19" s="112" t="s">
        <v>33</v>
      </c>
      <c r="E19" s="116">
        <v>45</v>
      </c>
      <c r="F19" s="117">
        <f t="shared" si="0"/>
        <v>3.2399999999999998</v>
      </c>
      <c r="G19" s="121">
        <v>35</v>
      </c>
      <c r="H19" s="117">
        <f t="shared" si="1"/>
        <v>2.52</v>
      </c>
      <c r="I19" s="117">
        <f t="shared" si="2"/>
        <v>5.76</v>
      </c>
      <c r="J19" s="122"/>
    </row>
    <row r="20" spans="1:10" ht="20.100000000000001" customHeight="1" x14ac:dyDescent="0.5">
      <c r="A20" s="119"/>
      <c r="B20" s="126" t="s">
        <v>404</v>
      </c>
      <c r="C20" s="115"/>
      <c r="D20" s="115"/>
      <c r="E20" s="116"/>
      <c r="F20" s="117"/>
      <c r="G20" s="121"/>
      <c r="H20" s="117"/>
      <c r="I20" s="127">
        <f>FLOOR(SUM(I12:I19),1)</f>
        <v>4694</v>
      </c>
      <c r="J20" s="122"/>
    </row>
  </sheetData>
  <mergeCells count="1">
    <mergeCell ref="A1:J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5"/>
  <sheetViews>
    <sheetView workbookViewId="0">
      <selection activeCell="G19" sqref="G19"/>
    </sheetView>
  </sheetViews>
  <sheetFormatPr defaultRowHeight="21.75" x14ac:dyDescent="0.5"/>
  <cols>
    <col min="1" max="1" width="6" customWidth="1"/>
    <col min="2" max="2" width="52" customWidth="1"/>
    <col min="3" max="3" width="8.85546875" customWidth="1"/>
    <col min="4" max="4" width="7.42578125" customWidth="1"/>
    <col min="5" max="5" width="14.7109375" customWidth="1"/>
    <col min="6" max="6" width="16.7109375" customWidth="1"/>
    <col min="7" max="7" width="13.5703125" customWidth="1"/>
    <col min="8" max="8" width="14.7109375" customWidth="1"/>
    <col min="9" max="9" width="15.7109375" customWidth="1"/>
    <col min="10" max="10" width="12.85546875" customWidth="1"/>
    <col min="11" max="11" width="14.42578125" customWidth="1"/>
    <col min="12" max="12" width="11.140625" customWidth="1"/>
    <col min="13" max="13" width="12.42578125" customWidth="1"/>
    <col min="14" max="14" width="13.28515625" customWidth="1"/>
    <col min="15" max="15" width="16.85546875" customWidth="1"/>
  </cols>
  <sheetData>
    <row r="1" spans="1:10" x14ac:dyDescent="0.5">
      <c r="A1" s="354" t="s">
        <v>377</v>
      </c>
      <c r="B1" s="354"/>
      <c r="C1" s="354"/>
      <c r="D1" s="354"/>
      <c r="E1" s="354"/>
      <c r="F1" s="354"/>
      <c r="G1" s="354"/>
      <c r="H1" s="354"/>
      <c r="I1" s="354"/>
      <c r="J1" s="354"/>
    </row>
    <row r="2" spans="1:10" ht="20.100000000000001" customHeight="1" x14ac:dyDescent="0.5">
      <c r="A2" s="98" t="s">
        <v>378</v>
      </c>
      <c r="C2" s="99" t="s">
        <v>406</v>
      </c>
      <c r="I2" s="98"/>
    </row>
    <row r="3" spans="1:10" ht="20.100000000000001" customHeight="1" x14ac:dyDescent="0.5">
      <c r="A3" s="98" t="s">
        <v>379</v>
      </c>
      <c r="C3" s="99" t="s">
        <v>332</v>
      </c>
      <c r="I3" s="98"/>
    </row>
    <row r="4" spans="1:10" ht="20.100000000000001" customHeight="1" x14ac:dyDescent="0.5">
      <c r="A4" s="98" t="s">
        <v>380</v>
      </c>
      <c r="C4" s="99" t="s">
        <v>381</v>
      </c>
      <c r="E4" s="98"/>
      <c r="F4" s="98"/>
      <c r="G4" s="98"/>
      <c r="H4" s="98"/>
    </row>
    <row r="5" spans="1:10" ht="20.100000000000001" customHeight="1" x14ac:dyDescent="0.5">
      <c r="A5" s="98" t="s">
        <v>382</v>
      </c>
      <c r="C5" s="99" t="s">
        <v>383</v>
      </c>
      <c r="E5" s="100"/>
      <c r="G5" s="98"/>
    </row>
    <row r="6" spans="1:10" ht="20.100000000000001" customHeight="1" x14ac:dyDescent="0.5">
      <c r="A6" s="98" t="s">
        <v>384</v>
      </c>
      <c r="C6" s="99" t="s">
        <v>385</v>
      </c>
      <c r="E6" s="100"/>
      <c r="G6" s="98"/>
    </row>
    <row r="7" spans="1:10" ht="20.100000000000001" customHeight="1" x14ac:dyDescent="0.5">
      <c r="A7" s="101" t="s">
        <v>386</v>
      </c>
      <c r="B7" s="102" t="s">
        <v>1</v>
      </c>
      <c r="C7" s="102" t="s">
        <v>24</v>
      </c>
      <c r="D7" s="102" t="s">
        <v>25</v>
      </c>
      <c r="E7" s="103" t="s">
        <v>387</v>
      </c>
      <c r="F7" s="104"/>
      <c r="G7" s="105" t="s">
        <v>388</v>
      </c>
      <c r="H7" s="104"/>
      <c r="I7" s="102" t="s">
        <v>389</v>
      </c>
      <c r="J7" s="106" t="s">
        <v>20</v>
      </c>
    </row>
    <row r="8" spans="1:10" ht="20.100000000000001" customHeight="1" x14ac:dyDescent="0.5">
      <c r="A8" s="107" t="s">
        <v>0</v>
      </c>
      <c r="B8" s="108"/>
      <c r="C8" s="108"/>
      <c r="D8" s="108"/>
      <c r="E8" s="109" t="s">
        <v>390</v>
      </c>
      <c r="F8" s="109" t="s">
        <v>27</v>
      </c>
      <c r="G8" s="109" t="s">
        <v>390</v>
      </c>
      <c r="H8" s="109" t="s">
        <v>27</v>
      </c>
      <c r="I8" s="107" t="s">
        <v>391</v>
      </c>
      <c r="J8" s="108"/>
    </row>
    <row r="9" spans="1:10" ht="20.100000000000001" customHeight="1" x14ac:dyDescent="0.5">
      <c r="A9" s="101" t="s">
        <v>386</v>
      </c>
      <c r="B9" s="102" t="s">
        <v>1</v>
      </c>
      <c r="C9" s="102" t="s">
        <v>24</v>
      </c>
      <c r="D9" s="102" t="s">
        <v>25</v>
      </c>
      <c r="E9" s="103" t="s">
        <v>387</v>
      </c>
      <c r="F9" s="104"/>
      <c r="G9" s="105" t="s">
        <v>388</v>
      </c>
      <c r="H9" s="104"/>
      <c r="I9" s="102" t="s">
        <v>389</v>
      </c>
      <c r="J9" s="106" t="s">
        <v>20</v>
      </c>
    </row>
    <row r="10" spans="1:10" ht="20.100000000000001" customHeight="1" x14ac:dyDescent="0.5">
      <c r="A10" s="107" t="s">
        <v>0</v>
      </c>
      <c r="B10" s="108"/>
      <c r="C10" s="108"/>
      <c r="D10" s="108"/>
      <c r="E10" s="109" t="s">
        <v>390</v>
      </c>
      <c r="F10" s="109" t="s">
        <v>27</v>
      </c>
      <c r="G10" s="109" t="s">
        <v>390</v>
      </c>
      <c r="H10" s="109" t="s">
        <v>27</v>
      </c>
      <c r="I10" s="107" t="s">
        <v>391</v>
      </c>
      <c r="J10" s="108"/>
    </row>
    <row r="11" spans="1:10" ht="20.100000000000001" customHeight="1" x14ac:dyDescent="0.5">
      <c r="A11" s="110">
        <v>1</v>
      </c>
      <c r="B11" s="111" t="s">
        <v>392</v>
      </c>
      <c r="C11" s="108"/>
      <c r="D11" s="108"/>
      <c r="E11" s="109"/>
      <c r="F11" s="109"/>
      <c r="G11" s="109"/>
      <c r="H11" s="109"/>
      <c r="I11" s="107"/>
      <c r="J11" s="108"/>
    </row>
    <row r="12" spans="1:10" ht="20.100000000000001" customHeight="1" x14ac:dyDescent="0.5">
      <c r="A12" s="114">
        <v>1.1000000000000001</v>
      </c>
      <c r="B12" s="113" t="s">
        <v>408</v>
      </c>
      <c r="C12" s="114">
        <v>229</v>
      </c>
      <c r="D12" s="115" t="s">
        <v>399</v>
      </c>
      <c r="E12" s="116">
        <v>35</v>
      </c>
      <c r="F12" s="117">
        <f t="shared" ref="F12:F14" si="0">C12*E12</f>
        <v>8015</v>
      </c>
      <c r="G12" s="121">
        <v>10</v>
      </c>
      <c r="H12" s="117">
        <f t="shared" ref="H12:H14" si="1">C12*G12</f>
        <v>2290</v>
      </c>
      <c r="I12" s="117">
        <f t="shared" ref="I12:I14" si="2">F12+H12</f>
        <v>10305</v>
      </c>
      <c r="J12" s="122"/>
    </row>
    <row r="13" spans="1:10" ht="20.100000000000001" customHeight="1" x14ac:dyDescent="0.5">
      <c r="A13" s="114">
        <v>1.1600000000000001</v>
      </c>
      <c r="B13" s="113" t="s">
        <v>401</v>
      </c>
      <c r="C13" s="120">
        <v>1</v>
      </c>
      <c r="D13" s="115" t="s">
        <v>402</v>
      </c>
      <c r="E13" s="116">
        <v>200</v>
      </c>
      <c r="F13" s="117">
        <f t="shared" si="0"/>
        <v>200</v>
      </c>
      <c r="G13" s="121">
        <v>0</v>
      </c>
      <c r="H13" s="117">
        <f t="shared" si="1"/>
        <v>0</v>
      </c>
      <c r="I13" s="117">
        <f t="shared" si="2"/>
        <v>200</v>
      </c>
      <c r="J13" s="122"/>
    </row>
    <row r="14" spans="1:10" ht="20.100000000000001" customHeight="1" x14ac:dyDescent="0.5">
      <c r="A14" s="114">
        <v>1.1700000000000002</v>
      </c>
      <c r="B14" s="113" t="s">
        <v>403</v>
      </c>
      <c r="C14" s="120">
        <v>6.45</v>
      </c>
      <c r="D14" s="112" t="s">
        <v>33</v>
      </c>
      <c r="E14" s="116">
        <v>45</v>
      </c>
      <c r="F14" s="117">
        <f t="shared" si="0"/>
        <v>290.25</v>
      </c>
      <c r="G14" s="121">
        <v>35</v>
      </c>
      <c r="H14" s="117">
        <f t="shared" si="1"/>
        <v>225.75</v>
      </c>
      <c r="I14" s="117">
        <f t="shared" si="2"/>
        <v>516</v>
      </c>
      <c r="J14" s="122"/>
    </row>
    <row r="15" spans="1:10" ht="20.100000000000001" customHeight="1" x14ac:dyDescent="0.5">
      <c r="A15" s="119"/>
      <c r="B15" s="126" t="s">
        <v>404</v>
      </c>
      <c r="C15" s="115"/>
      <c r="D15" s="115"/>
      <c r="E15" s="116"/>
      <c r="F15" s="117"/>
      <c r="G15" s="121"/>
      <c r="H15" s="117"/>
      <c r="I15" s="127">
        <f>FLOOR(SUM(I12:I14),1)</f>
        <v>11021</v>
      </c>
      <c r="J15" s="122"/>
    </row>
  </sheetData>
  <mergeCells count="1">
    <mergeCell ref="A1:J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0000"/>
  </sheetPr>
  <dimension ref="A1:H95"/>
  <sheetViews>
    <sheetView topLeftCell="A76" workbookViewId="0">
      <selection activeCell="J44" sqref="J44"/>
    </sheetView>
  </sheetViews>
  <sheetFormatPr defaultRowHeight="18.75" x14ac:dyDescent="0.3"/>
  <cols>
    <col min="1" max="1" width="13" style="90" customWidth="1"/>
    <col min="2" max="6" width="13" style="91" customWidth="1"/>
    <col min="7" max="7" width="12.7109375" style="80" customWidth="1"/>
    <col min="8" max="8" width="23.7109375" style="80" customWidth="1"/>
    <col min="9" max="16384" width="9.140625" style="80"/>
  </cols>
  <sheetData>
    <row r="1" spans="1:8" ht="21" x14ac:dyDescent="0.45">
      <c r="A1" s="377" t="s">
        <v>1284</v>
      </c>
      <c r="B1" s="378"/>
      <c r="C1" s="378"/>
      <c r="D1" s="378"/>
      <c r="E1" s="378"/>
      <c r="F1" s="378"/>
      <c r="G1" s="378"/>
      <c r="H1" s="378"/>
    </row>
    <row r="2" spans="1:8" ht="22.5" customHeight="1" x14ac:dyDescent="0.3">
      <c r="A2" s="77" t="s">
        <v>339</v>
      </c>
      <c r="B2" s="78" t="s">
        <v>340</v>
      </c>
      <c r="C2" s="78" t="s">
        <v>341</v>
      </c>
      <c r="D2" s="78" t="s">
        <v>342</v>
      </c>
      <c r="E2" s="78" t="s">
        <v>343</v>
      </c>
      <c r="F2" s="78" t="s">
        <v>344</v>
      </c>
      <c r="G2" s="79" t="s">
        <v>30</v>
      </c>
      <c r="H2" s="79"/>
    </row>
    <row r="3" spans="1:8" ht="22.5" customHeight="1" x14ac:dyDescent="0.3">
      <c r="A3" s="81">
        <v>0</v>
      </c>
      <c r="B3" s="82">
        <v>2.7</v>
      </c>
      <c r="C3" s="82">
        <v>9.3000000000000007</v>
      </c>
      <c r="D3" s="82">
        <v>4.4000000000000004</v>
      </c>
      <c r="E3" s="82">
        <v>10.3</v>
      </c>
      <c r="F3" s="82">
        <v>3.8</v>
      </c>
      <c r="G3" s="83">
        <f>+B3+C3+D3+E3+F3</f>
        <v>30.5</v>
      </c>
      <c r="H3" s="84" t="s">
        <v>345</v>
      </c>
    </row>
    <row r="4" spans="1:8" ht="22.5" customHeight="1" x14ac:dyDescent="0.3">
      <c r="A4" s="85">
        <v>25</v>
      </c>
      <c r="B4" s="86">
        <v>4.4000000000000004</v>
      </c>
      <c r="C4" s="86">
        <v>7.7</v>
      </c>
      <c r="D4" s="86">
        <v>4.3</v>
      </c>
      <c r="E4" s="86">
        <v>7.5</v>
      </c>
      <c r="F4" s="86">
        <v>4.0999999999999996</v>
      </c>
      <c r="G4" s="87">
        <f t="shared" ref="G4:G69" si="0">+B4+C4+D4+E4+F4</f>
        <v>28</v>
      </c>
      <c r="H4" s="88"/>
    </row>
    <row r="5" spans="1:8" ht="22.5" customHeight="1" x14ac:dyDescent="0.3">
      <c r="A5" s="85">
        <v>50</v>
      </c>
      <c r="B5" s="86">
        <v>4.0999999999999996</v>
      </c>
      <c r="C5" s="86">
        <v>7.65</v>
      </c>
      <c r="D5" s="86">
        <v>4.3</v>
      </c>
      <c r="E5" s="86">
        <v>7.5</v>
      </c>
      <c r="F5" s="86">
        <v>4.0999999999999996</v>
      </c>
      <c r="G5" s="87">
        <f t="shared" si="0"/>
        <v>27.65</v>
      </c>
      <c r="H5" s="88"/>
    </row>
    <row r="6" spans="1:8" ht="22.5" customHeight="1" x14ac:dyDescent="0.3">
      <c r="A6" s="85">
        <v>75</v>
      </c>
      <c r="B6" s="86">
        <v>5.5</v>
      </c>
      <c r="C6" s="86">
        <v>7.7</v>
      </c>
      <c r="D6" s="86">
        <v>4.3</v>
      </c>
      <c r="E6" s="86">
        <v>7.8</v>
      </c>
      <c r="F6" s="86">
        <v>5</v>
      </c>
      <c r="G6" s="87">
        <f t="shared" si="0"/>
        <v>30.3</v>
      </c>
      <c r="H6" s="88"/>
    </row>
    <row r="7" spans="1:8" ht="22.5" customHeight="1" x14ac:dyDescent="0.3">
      <c r="A7" s="85">
        <v>100</v>
      </c>
      <c r="B7" s="86">
        <v>5.7</v>
      </c>
      <c r="C7" s="86">
        <v>7.7</v>
      </c>
      <c r="D7" s="86">
        <v>4.3</v>
      </c>
      <c r="E7" s="86">
        <v>7.75</v>
      </c>
      <c r="F7" s="86">
        <v>5</v>
      </c>
      <c r="G7" s="87">
        <f t="shared" si="0"/>
        <v>30.45</v>
      </c>
      <c r="H7" s="88"/>
    </row>
    <row r="8" spans="1:8" ht="22.5" customHeight="1" x14ac:dyDescent="0.3">
      <c r="A8" s="85">
        <v>125</v>
      </c>
      <c r="B8" s="86">
        <v>7.7</v>
      </c>
      <c r="C8" s="86">
        <v>7.75</v>
      </c>
      <c r="D8" s="86">
        <v>4.9000000000000004</v>
      </c>
      <c r="E8" s="86">
        <v>7.7</v>
      </c>
      <c r="F8" s="86">
        <v>9.6999999999999993</v>
      </c>
      <c r="G8" s="87">
        <f t="shared" si="0"/>
        <v>37.75</v>
      </c>
      <c r="H8" s="88"/>
    </row>
    <row r="9" spans="1:8" ht="22.5" customHeight="1" x14ac:dyDescent="0.3">
      <c r="A9" s="85">
        <v>150</v>
      </c>
      <c r="B9" s="86">
        <v>7.1</v>
      </c>
      <c r="C9" s="86">
        <v>7.75</v>
      </c>
      <c r="D9" s="86">
        <v>4.9000000000000004</v>
      </c>
      <c r="E9" s="86">
        <v>7.75</v>
      </c>
      <c r="F9" s="86">
        <v>9.1999999999999993</v>
      </c>
      <c r="G9" s="87">
        <f t="shared" si="0"/>
        <v>36.700000000000003</v>
      </c>
      <c r="H9" s="88"/>
    </row>
    <row r="10" spans="1:8" ht="22.5" customHeight="1" x14ac:dyDescent="0.3">
      <c r="A10" s="85">
        <v>175</v>
      </c>
      <c r="B10" s="86">
        <v>7</v>
      </c>
      <c r="C10" s="86">
        <v>7.7</v>
      </c>
      <c r="D10" s="86">
        <v>4.9000000000000004</v>
      </c>
      <c r="E10" s="86">
        <v>7.8</v>
      </c>
      <c r="F10" s="86">
        <v>4.5</v>
      </c>
      <c r="G10" s="87">
        <f t="shared" si="0"/>
        <v>31.900000000000002</v>
      </c>
      <c r="H10" s="88"/>
    </row>
    <row r="11" spans="1:8" ht="22.5" customHeight="1" x14ac:dyDescent="0.3">
      <c r="A11" s="85">
        <v>200</v>
      </c>
      <c r="B11" s="86">
        <v>4.5999999999999996</v>
      </c>
      <c r="C11" s="86">
        <v>7.7</v>
      </c>
      <c r="D11" s="86">
        <v>4.9000000000000004</v>
      </c>
      <c r="E11" s="86">
        <v>7.75</v>
      </c>
      <c r="F11" s="86">
        <v>5</v>
      </c>
      <c r="G11" s="87">
        <f t="shared" si="0"/>
        <v>29.950000000000003</v>
      </c>
      <c r="H11" s="88"/>
    </row>
    <row r="12" spans="1:8" ht="22.5" customHeight="1" x14ac:dyDescent="0.3">
      <c r="A12" s="85">
        <v>225</v>
      </c>
      <c r="B12" s="86">
        <v>4.4000000000000004</v>
      </c>
      <c r="C12" s="86">
        <v>7.7</v>
      </c>
      <c r="D12" s="86">
        <v>4.9000000000000004</v>
      </c>
      <c r="E12" s="86">
        <v>7.2</v>
      </c>
      <c r="F12" s="86">
        <v>7.2</v>
      </c>
      <c r="G12" s="87">
        <f t="shared" si="0"/>
        <v>31.4</v>
      </c>
      <c r="H12" s="88"/>
    </row>
    <row r="13" spans="1:8" ht="22.5" customHeight="1" x14ac:dyDescent="0.3">
      <c r="A13" s="85">
        <v>250</v>
      </c>
      <c r="B13" s="86">
        <v>4.8</v>
      </c>
      <c r="C13" s="86">
        <v>7.4</v>
      </c>
      <c r="D13" s="86">
        <v>4.0999999999999996</v>
      </c>
      <c r="E13" s="86">
        <v>7.7</v>
      </c>
      <c r="F13" s="86">
        <v>6</v>
      </c>
      <c r="G13" s="87">
        <f t="shared" si="0"/>
        <v>29.999999999999996</v>
      </c>
      <c r="H13" s="88"/>
    </row>
    <row r="14" spans="1:8" ht="22.5" customHeight="1" x14ac:dyDescent="0.3">
      <c r="A14" s="85">
        <v>275</v>
      </c>
      <c r="B14" s="86">
        <v>6.3</v>
      </c>
      <c r="C14" s="86">
        <v>9.6999999999999993</v>
      </c>
      <c r="D14" s="86">
        <v>2.6</v>
      </c>
      <c r="E14" s="86">
        <v>8.5</v>
      </c>
      <c r="F14" s="86">
        <v>4.5</v>
      </c>
      <c r="G14" s="87">
        <f t="shared" si="0"/>
        <v>31.6</v>
      </c>
      <c r="H14" s="88"/>
    </row>
    <row r="15" spans="1:8" ht="22.5" customHeight="1" x14ac:dyDescent="0.3">
      <c r="A15" s="85">
        <v>300</v>
      </c>
      <c r="B15" s="86">
        <v>6</v>
      </c>
      <c r="C15" s="86">
        <v>10.7</v>
      </c>
      <c r="D15" s="86">
        <v>1.5</v>
      </c>
      <c r="E15" s="86">
        <v>10</v>
      </c>
      <c r="F15" s="86">
        <v>3.5</v>
      </c>
      <c r="G15" s="87">
        <f t="shared" si="0"/>
        <v>31.7</v>
      </c>
      <c r="H15" s="89" t="s">
        <v>346</v>
      </c>
    </row>
    <row r="16" spans="1:8" ht="22.5" customHeight="1" x14ac:dyDescent="0.3">
      <c r="A16" s="85">
        <v>325</v>
      </c>
      <c r="B16" s="86">
        <v>6.5</v>
      </c>
      <c r="C16" s="86">
        <v>11.1</v>
      </c>
      <c r="D16" s="86">
        <v>1.4</v>
      </c>
      <c r="E16" s="86">
        <v>10.35</v>
      </c>
      <c r="F16" s="86">
        <v>3</v>
      </c>
      <c r="G16" s="87">
        <f t="shared" si="0"/>
        <v>32.35</v>
      </c>
      <c r="H16" s="88"/>
    </row>
    <row r="17" spans="1:8" ht="22.5" customHeight="1" x14ac:dyDescent="0.3">
      <c r="A17" s="85">
        <v>350</v>
      </c>
      <c r="B17" s="86">
        <v>5.4</v>
      </c>
      <c r="C17" s="86">
        <v>10.199999999999999</v>
      </c>
      <c r="D17" s="86">
        <v>0</v>
      </c>
      <c r="E17" s="86">
        <v>11.3</v>
      </c>
      <c r="F17" s="86">
        <v>4.8</v>
      </c>
      <c r="G17" s="87">
        <f t="shared" si="0"/>
        <v>31.7</v>
      </c>
      <c r="H17" s="277" t="s">
        <v>347</v>
      </c>
    </row>
    <row r="18" spans="1:8" ht="22.5" customHeight="1" x14ac:dyDescent="0.3">
      <c r="A18" s="85">
        <v>375</v>
      </c>
      <c r="B18" s="86">
        <v>5.3</v>
      </c>
      <c r="C18" s="86">
        <v>10.14</v>
      </c>
      <c r="D18" s="86">
        <v>1.4</v>
      </c>
      <c r="E18" s="86">
        <v>11.2</v>
      </c>
      <c r="F18" s="86">
        <v>4.5</v>
      </c>
      <c r="G18" s="87">
        <f t="shared" si="0"/>
        <v>32.54</v>
      </c>
      <c r="H18" s="277" t="s">
        <v>347</v>
      </c>
    </row>
    <row r="19" spans="1:8" ht="22.5" customHeight="1" x14ac:dyDescent="0.3">
      <c r="A19" s="85">
        <v>400</v>
      </c>
      <c r="B19" s="86">
        <v>6.1</v>
      </c>
      <c r="C19" s="86">
        <v>8.4499999999999993</v>
      </c>
      <c r="D19" s="86">
        <v>1.8</v>
      </c>
      <c r="E19" s="86">
        <v>10.6</v>
      </c>
      <c r="F19" s="86">
        <v>4</v>
      </c>
      <c r="G19" s="87">
        <f t="shared" si="0"/>
        <v>30.949999999999996</v>
      </c>
      <c r="H19" s="277"/>
    </row>
    <row r="20" spans="1:8" ht="22.5" customHeight="1" x14ac:dyDescent="0.3">
      <c r="A20" s="85">
        <v>425</v>
      </c>
      <c r="B20" s="86">
        <v>8</v>
      </c>
      <c r="C20" s="86">
        <v>7.75</v>
      </c>
      <c r="D20" s="86">
        <v>3.2</v>
      </c>
      <c r="E20" s="86">
        <v>12.2</v>
      </c>
      <c r="F20" s="86">
        <v>2</v>
      </c>
      <c r="G20" s="87">
        <f t="shared" si="0"/>
        <v>33.15</v>
      </c>
      <c r="H20" s="88"/>
    </row>
    <row r="21" spans="1:8" ht="22.5" customHeight="1" x14ac:dyDescent="0.3">
      <c r="A21" s="85">
        <v>450</v>
      </c>
      <c r="B21" s="86">
        <v>11</v>
      </c>
      <c r="C21" s="86">
        <v>7.78</v>
      </c>
      <c r="D21" s="86">
        <v>4.5</v>
      </c>
      <c r="E21" s="86">
        <v>8</v>
      </c>
      <c r="F21" s="86">
        <v>1.2</v>
      </c>
      <c r="G21" s="87">
        <f t="shared" si="0"/>
        <v>32.480000000000004</v>
      </c>
      <c r="H21" s="88" t="s">
        <v>349</v>
      </c>
    </row>
    <row r="22" spans="1:8" ht="22.5" customHeight="1" x14ac:dyDescent="0.3">
      <c r="A22" s="85">
        <v>475</v>
      </c>
      <c r="B22" s="86">
        <v>8.6999999999999993</v>
      </c>
      <c r="C22" s="86">
        <v>8</v>
      </c>
      <c r="D22" s="86">
        <v>4.4000000000000004</v>
      </c>
      <c r="E22" s="86">
        <v>7.75</v>
      </c>
      <c r="F22" s="86">
        <v>3.4</v>
      </c>
      <c r="G22" s="87">
        <f t="shared" si="0"/>
        <v>32.25</v>
      </c>
      <c r="H22" s="88" t="s">
        <v>350</v>
      </c>
    </row>
    <row r="23" spans="1:8" ht="22.5" customHeight="1" x14ac:dyDescent="0.3">
      <c r="A23" s="85">
        <v>500</v>
      </c>
      <c r="B23" s="86">
        <v>5.6</v>
      </c>
      <c r="C23" s="86">
        <v>13.15</v>
      </c>
      <c r="D23" s="86">
        <v>3.1</v>
      </c>
      <c r="E23" s="86">
        <v>7.5</v>
      </c>
      <c r="F23" s="86">
        <v>4.5</v>
      </c>
      <c r="G23" s="87">
        <f t="shared" si="0"/>
        <v>33.85</v>
      </c>
      <c r="H23" s="278" t="s">
        <v>351</v>
      </c>
    </row>
    <row r="24" spans="1:8" ht="22.5" customHeight="1" x14ac:dyDescent="0.3">
      <c r="A24" s="85">
        <v>525</v>
      </c>
      <c r="B24" s="86">
        <v>4.9000000000000004</v>
      </c>
      <c r="C24" s="86">
        <v>14.5</v>
      </c>
      <c r="D24" s="86">
        <v>1.9</v>
      </c>
      <c r="E24" s="86">
        <v>10.1</v>
      </c>
      <c r="F24" s="86">
        <v>2.2000000000000002</v>
      </c>
      <c r="G24" s="87">
        <f t="shared" si="0"/>
        <v>33.6</v>
      </c>
      <c r="H24" s="278" t="s">
        <v>352</v>
      </c>
    </row>
    <row r="25" spans="1:8" ht="22.5" customHeight="1" x14ac:dyDescent="0.3">
      <c r="A25" s="85">
        <v>550</v>
      </c>
      <c r="B25" s="86">
        <v>9</v>
      </c>
      <c r="C25" s="86">
        <v>11.2</v>
      </c>
      <c r="D25" s="86">
        <v>1.3</v>
      </c>
      <c r="E25" s="86">
        <v>10.1</v>
      </c>
      <c r="F25" s="86">
        <v>2.2000000000000002</v>
      </c>
      <c r="G25" s="87">
        <f t="shared" si="0"/>
        <v>33.800000000000004</v>
      </c>
      <c r="H25" s="278" t="s">
        <v>353</v>
      </c>
    </row>
    <row r="26" spans="1:8" ht="22.5" customHeight="1" x14ac:dyDescent="0.3">
      <c r="A26" s="85">
        <v>575</v>
      </c>
      <c r="B26" s="86">
        <v>6.8</v>
      </c>
      <c r="C26" s="86">
        <v>10.6</v>
      </c>
      <c r="D26" s="86">
        <v>0</v>
      </c>
      <c r="E26" s="86">
        <v>11.45</v>
      </c>
      <c r="F26" s="86">
        <v>2.8</v>
      </c>
      <c r="G26" s="87">
        <f t="shared" si="0"/>
        <v>31.65</v>
      </c>
      <c r="H26" s="278" t="s">
        <v>354</v>
      </c>
    </row>
    <row r="27" spans="1:8" ht="22.5" customHeight="1" x14ac:dyDescent="0.3">
      <c r="A27" s="85">
        <v>600</v>
      </c>
      <c r="B27" s="86">
        <v>8</v>
      </c>
      <c r="C27" s="86">
        <v>10.15</v>
      </c>
      <c r="D27" s="86">
        <v>1.2</v>
      </c>
      <c r="E27" s="86">
        <v>11.25</v>
      </c>
      <c r="F27" s="86">
        <v>5</v>
      </c>
      <c r="G27" s="87">
        <f t="shared" si="0"/>
        <v>35.599999999999994</v>
      </c>
      <c r="H27" s="278" t="s">
        <v>354</v>
      </c>
    </row>
    <row r="28" spans="1:8" ht="22.5" customHeight="1" x14ac:dyDescent="0.3">
      <c r="A28" s="85">
        <v>625</v>
      </c>
      <c r="B28" s="86">
        <v>8.1</v>
      </c>
      <c r="C28" s="86">
        <v>10.199999999999999</v>
      </c>
      <c r="D28" s="86">
        <v>1.9</v>
      </c>
      <c r="E28" s="86">
        <v>10.6</v>
      </c>
      <c r="F28" s="86">
        <v>5</v>
      </c>
      <c r="G28" s="87">
        <f t="shared" si="0"/>
        <v>35.799999999999997</v>
      </c>
      <c r="H28" s="278" t="s">
        <v>354</v>
      </c>
    </row>
    <row r="29" spans="1:8" ht="22.5" customHeight="1" x14ac:dyDescent="0.3">
      <c r="A29" s="85">
        <v>650</v>
      </c>
      <c r="B29" s="86">
        <v>8.5</v>
      </c>
      <c r="C29" s="86">
        <v>10.3</v>
      </c>
      <c r="D29" s="86">
        <v>3.1</v>
      </c>
      <c r="E29" s="86">
        <v>9.1999999999999993</v>
      </c>
      <c r="F29" s="86">
        <v>5</v>
      </c>
      <c r="G29" s="87">
        <f t="shared" si="0"/>
        <v>36.1</v>
      </c>
      <c r="H29" s="278" t="s">
        <v>355</v>
      </c>
    </row>
    <row r="30" spans="1:8" ht="22.5" customHeight="1" x14ac:dyDescent="0.3">
      <c r="A30" s="85">
        <v>675</v>
      </c>
      <c r="B30" s="86">
        <v>8.6</v>
      </c>
      <c r="C30" s="86">
        <v>10.65</v>
      </c>
      <c r="D30" s="86">
        <v>4.4000000000000004</v>
      </c>
      <c r="E30" s="86">
        <v>8.0500000000000007</v>
      </c>
      <c r="F30" s="86">
        <v>5</v>
      </c>
      <c r="G30" s="87">
        <f t="shared" si="0"/>
        <v>36.700000000000003</v>
      </c>
      <c r="H30" s="278" t="s">
        <v>356</v>
      </c>
    </row>
    <row r="31" spans="1:8" ht="22.5" customHeight="1" x14ac:dyDescent="0.3">
      <c r="A31" s="85">
        <v>700</v>
      </c>
      <c r="B31" s="86">
        <v>11.7</v>
      </c>
      <c r="C31" s="86">
        <v>7.75</v>
      </c>
      <c r="D31" s="86">
        <v>4.7</v>
      </c>
      <c r="E31" s="86">
        <v>7.8</v>
      </c>
      <c r="F31" s="86">
        <v>5</v>
      </c>
      <c r="G31" s="87">
        <f t="shared" si="0"/>
        <v>36.950000000000003</v>
      </c>
      <c r="H31" s="278" t="s">
        <v>357</v>
      </c>
    </row>
    <row r="32" spans="1:8" ht="22.5" customHeight="1" x14ac:dyDescent="0.3">
      <c r="A32" s="85">
        <v>725</v>
      </c>
      <c r="B32" s="86">
        <v>12.1</v>
      </c>
      <c r="C32" s="86">
        <v>7.7</v>
      </c>
      <c r="D32" s="86">
        <v>4.8</v>
      </c>
      <c r="E32" s="86">
        <v>7.75</v>
      </c>
      <c r="F32" s="86">
        <v>5</v>
      </c>
      <c r="G32" s="87">
        <f t="shared" si="0"/>
        <v>37.35</v>
      </c>
      <c r="H32" s="278"/>
    </row>
    <row r="33" spans="1:8" ht="22.5" customHeight="1" x14ac:dyDescent="0.3">
      <c r="A33" s="85">
        <v>750</v>
      </c>
      <c r="B33" s="86">
        <v>10.3</v>
      </c>
      <c r="C33" s="86">
        <v>7.6</v>
      </c>
      <c r="D33" s="86">
        <v>4.7</v>
      </c>
      <c r="E33" s="86">
        <v>7.8</v>
      </c>
      <c r="F33" s="86">
        <v>5</v>
      </c>
      <c r="G33" s="87">
        <f t="shared" si="0"/>
        <v>35.4</v>
      </c>
      <c r="H33" s="278" t="s">
        <v>358</v>
      </c>
    </row>
    <row r="34" spans="1:8" ht="22.5" customHeight="1" x14ac:dyDescent="0.3">
      <c r="A34" s="85">
        <v>775</v>
      </c>
      <c r="B34" s="86">
        <v>6</v>
      </c>
      <c r="C34" s="86">
        <v>7.6</v>
      </c>
      <c r="D34" s="86">
        <v>4.8</v>
      </c>
      <c r="E34" s="86">
        <v>7.75</v>
      </c>
      <c r="F34" s="86">
        <v>5</v>
      </c>
      <c r="G34" s="87">
        <f t="shared" si="0"/>
        <v>31.15</v>
      </c>
      <c r="H34" s="88"/>
    </row>
    <row r="35" spans="1:8" ht="22.5" customHeight="1" x14ac:dyDescent="0.3">
      <c r="A35" s="85">
        <v>800</v>
      </c>
      <c r="B35" s="86">
        <v>7.4</v>
      </c>
      <c r="C35" s="86">
        <v>7.65</v>
      </c>
      <c r="D35" s="86">
        <v>4.7</v>
      </c>
      <c r="E35" s="86">
        <v>7.7</v>
      </c>
      <c r="F35" s="86">
        <v>5</v>
      </c>
      <c r="G35" s="87">
        <f t="shared" si="0"/>
        <v>32.450000000000003</v>
      </c>
      <c r="H35" s="88"/>
    </row>
    <row r="36" spans="1:8" ht="22.5" customHeight="1" x14ac:dyDescent="0.3">
      <c r="A36" s="85">
        <v>825</v>
      </c>
      <c r="B36" s="86">
        <v>9.9499999999999993</v>
      </c>
      <c r="C36" s="86">
        <v>7.7</v>
      </c>
      <c r="D36" s="86">
        <v>4.7</v>
      </c>
      <c r="E36" s="86">
        <v>7.7</v>
      </c>
      <c r="F36" s="86">
        <v>5</v>
      </c>
      <c r="G36" s="87">
        <f t="shared" si="0"/>
        <v>35.049999999999997</v>
      </c>
      <c r="H36" s="88"/>
    </row>
    <row r="37" spans="1:8" ht="22.5" customHeight="1" x14ac:dyDescent="0.3">
      <c r="A37" s="85">
        <v>850</v>
      </c>
      <c r="B37" s="86">
        <v>9.1999999999999993</v>
      </c>
      <c r="C37" s="86">
        <v>7.75</v>
      </c>
      <c r="D37" s="86">
        <v>4.7</v>
      </c>
      <c r="E37" s="86">
        <v>7.7</v>
      </c>
      <c r="F37" s="86">
        <v>5</v>
      </c>
      <c r="G37" s="87">
        <f t="shared" si="0"/>
        <v>34.349999999999994</v>
      </c>
      <c r="H37" s="88"/>
    </row>
    <row r="38" spans="1:8" ht="22.5" customHeight="1" x14ac:dyDescent="0.3">
      <c r="A38" s="85">
        <v>875</v>
      </c>
      <c r="B38" s="86">
        <v>9.3000000000000007</v>
      </c>
      <c r="C38" s="86">
        <v>7.65</v>
      </c>
      <c r="D38" s="86">
        <v>4.7</v>
      </c>
      <c r="E38" s="86">
        <v>7.7</v>
      </c>
      <c r="F38" s="86">
        <v>5</v>
      </c>
      <c r="G38" s="87">
        <f t="shared" si="0"/>
        <v>34.35</v>
      </c>
      <c r="H38" s="88"/>
    </row>
    <row r="39" spans="1:8" ht="22.5" customHeight="1" x14ac:dyDescent="0.3">
      <c r="A39" s="85">
        <v>900</v>
      </c>
      <c r="B39" s="86">
        <v>9</v>
      </c>
      <c r="C39" s="86">
        <v>7.5</v>
      </c>
      <c r="D39" s="86">
        <v>4.7</v>
      </c>
      <c r="E39" s="86">
        <v>7.7</v>
      </c>
      <c r="F39" s="86">
        <v>3.5</v>
      </c>
      <c r="G39" s="87">
        <f t="shared" si="0"/>
        <v>32.4</v>
      </c>
      <c r="H39" s="88"/>
    </row>
    <row r="40" spans="1:8" ht="22.5" customHeight="1" x14ac:dyDescent="0.3">
      <c r="A40" s="85">
        <v>925</v>
      </c>
      <c r="B40" s="86">
        <v>9.8000000000000007</v>
      </c>
      <c r="C40" s="86">
        <v>7.8</v>
      </c>
      <c r="D40" s="86">
        <v>4.7</v>
      </c>
      <c r="E40" s="86">
        <v>7.6</v>
      </c>
      <c r="F40" s="86">
        <v>2</v>
      </c>
      <c r="G40" s="87">
        <f t="shared" si="0"/>
        <v>31.9</v>
      </c>
      <c r="H40" s="88"/>
    </row>
    <row r="41" spans="1:8" ht="22.5" customHeight="1" x14ac:dyDescent="0.3">
      <c r="A41" s="85">
        <v>950</v>
      </c>
      <c r="B41" s="86">
        <v>6.2</v>
      </c>
      <c r="C41" s="86">
        <v>7.7</v>
      </c>
      <c r="D41" s="86">
        <v>4.7</v>
      </c>
      <c r="E41" s="86">
        <v>7.7</v>
      </c>
      <c r="F41" s="86">
        <v>3</v>
      </c>
      <c r="G41" s="87">
        <f t="shared" si="0"/>
        <v>29.3</v>
      </c>
      <c r="H41" s="88"/>
    </row>
    <row r="42" spans="1:8" ht="22.5" customHeight="1" x14ac:dyDescent="0.3">
      <c r="A42" s="85">
        <v>975</v>
      </c>
      <c r="B42" s="86">
        <v>7.3</v>
      </c>
      <c r="C42" s="86">
        <v>7.75</v>
      </c>
      <c r="D42" s="86">
        <v>4.7</v>
      </c>
      <c r="E42" s="86">
        <v>7.3</v>
      </c>
      <c r="F42" s="86">
        <v>2</v>
      </c>
      <c r="G42" s="87">
        <f t="shared" si="0"/>
        <v>29.05</v>
      </c>
      <c r="H42" s="88"/>
    </row>
    <row r="43" spans="1:8" ht="22.5" customHeight="1" x14ac:dyDescent="0.3">
      <c r="A43" s="85">
        <v>1000</v>
      </c>
      <c r="B43" s="86">
        <v>5.6</v>
      </c>
      <c r="C43" s="86">
        <v>7.6</v>
      </c>
      <c r="D43" s="86">
        <v>4.7</v>
      </c>
      <c r="E43" s="86">
        <v>7.7</v>
      </c>
      <c r="F43" s="86">
        <v>4.5</v>
      </c>
      <c r="G43" s="87">
        <f t="shared" si="0"/>
        <v>30.099999999999998</v>
      </c>
      <c r="H43" s="88"/>
    </row>
    <row r="44" spans="1:8" ht="22.5" customHeight="1" x14ac:dyDescent="0.3">
      <c r="A44" s="85">
        <v>1025</v>
      </c>
      <c r="B44" s="86">
        <v>4.55</v>
      </c>
      <c r="C44" s="86">
        <v>7.5</v>
      </c>
      <c r="D44" s="86">
        <v>4.7</v>
      </c>
      <c r="E44" s="86">
        <v>7.8</v>
      </c>
      <c r="F44" s="86">
        <v>4.7</v>
      </c>
      <c r="G44" s="87">
        <f t="shared" si="0"/>
        <v>29.25</v>
      </c>
      <c r="H44" s="88"/>
    </row>
    <row r="45" spans="1:8" ht="22.5" customHeight="1" x14ac:dyDescent="0.3">
      <c r="A45" s="85">
        <v>1050</v>
      </c>
      <c r="B45" s="86">
        <v>8.3000000000000007</v>
      </c>
      <c r="C45" s="86">
        <v>7.7</v>
      </c>
      <c r="D45" s="86">
        <v>4.7</v>
      </c>
      <c r="E45" s="86">
        <v>7.7</v>
      </c>
      <c r="F45" s="86">
        <v>4</v>
      </c>
      <c r="G45" s="87">
        <f t="shared" si="0"/>
        <v>32.4</v>
      </c>
      <c r="H45" s="88"/>
    </row>
    <row r="46" spans="1:8" s="273" customFormat="1" ht="22.5" customHeight="1" x14ac:dyDescent="0.3">
      <c r="A46" s="269">
        <v>1075</v>
      </c>
      <c r="B46" s="270">
        <v>2.6</v>
      </c>
      <c r="C46" s="270">
        <v>7.75</v>
      </c>
      <c r="D46" s="270">
        <v>4.7</v>
      </c>
      <c r="E46" s="270">
        <v>7.7</v>
      </c>
      <c r="F46" s="270">
        <v>4</v>
      </c>
      <c r="G46" s="271">
        <f t="shared" si="0"/>
        <v>26.75</v>
      </c>
      <c r="H46" s="272"/>
    </row>
    <row r="47" spans="1:8" s="273" customFormat="1" ht="22.5" customHeight="1" x14ac:dyDescent="0.3">
      <c r="A47" s="269">
        <v>1100</v>
      </c>
      <c r="B47" s="270">
        <v>2.9</v>
      </c>
      <c r="C47" s="270">
        <v>7.75</v>
      </c>
      <c r="D47" s="270">
        <v>4.8</v>
      </c>
      <c r="E47" s="270">
        <v>7.7</v>
      </c>
      <c r="F47" s="270">
        <v>4</v>
      </c>
      <c r="G47" s="271">
        <f t="shared" si="0"/>
        <v>27.15</v>
      </c>
      <c r="H47" s="272" t="s">
        <v>359</v>
      </c>
    </row>
    <row r="48" spans="1:8" ht="22.5" customHeight="1" x14ac:dyDescent="0.3">
      <c r="A48" s="85">
        <v>1125</v>
      </c>
      <c r="B48" s="86">
        <v>4</v>
      </c>
      <c r="C48" s="86">
        <v>7.95</v>
      </c>
      <c r="D48" s="86">
        <v>4.4000000000000004</v>
      </c>
      <c r="E48" s="86">
        <v>7.4</v>
      </c>
      <c r="F48" s="86">
        <v>2</v>
      </c>
      <c r="G48" s="87">
        <f t="shared" si="0"/>
        <v>25.75</v>
      </c>
      <c r="H48" s="88"/>
    </row>
    <row r="49" spans="1:8" ht="22.5" customHeight="1" x14ac:dyDescent="0.3">
      <c r="A49" s="85">
        <v>1150</v>
      </c>
      <c r="B49" s="86">
        <v>5.3</v>
      </c>
      <c r="C49" s="86">
        <v>7.5</v>
      </c>
      <c r="D49" s="86">
        <v>4.5999999999999996</v>
      </c>
      <c r="E49" s="86">
        <v>7.5</v>
      </c>
      <c r="F49" s="86">
        <v>2</v>
      </c>
      <c r="G49" s="87">
        <f t="shared" si="0"/>
        <v>26.9</v>
      </c>
      <c r="H49" s="88"/>
    </row>
    <row r="50" spans="1:8" ht="22.5" customHeight="1" x14ac:dyDescent="0.3">
      <c r="A50" s="85">
        <v>1175</v>
      </c>
      <c r="B50" s="86">
        <v>4.7</v>
      </c>
      <c r="C50" s="86">
        <v>7.7</v>
      </c>
      <c r="D50" s="86">
        <v>4.7</v>
      </c>
      <c r="E50" s="86">
        <v>7.6</v>
      </c>
      <c r="F50" s="86">
        <v>2</v>
      </c>
      <c r="G50" s="87">
        <f t="shared" si="0"/>
        <v>26.700000000000003</v>
      </c>
      <c r="H50" s="88"/>
    </row>
    <row r="51" spans="1:8" s="273" customFormat="1" ht="22.5" customHeight="1" x14ac:dyDescent="0.3">
      <c r="A51" s="274">
        <v>1200</v>
      </c>
      <c r="B51" s="275">
        <v>3.4</v>
      </c>
      <c r="C51" s="275">
        <v>7.6</v>
      </c>
      <c r="D51" s="275">
        <v>4.9000000000000004</v>
      </c>
      <c r="E51" s="275">
        <v>7.7</v>
      </c>
      <c r="F51" s="275">
        <v>2</v>
      </c>
      <c r="G51" s="276">
        <f t="shared" si="0"/>
        <v>25.6</v>
      </c>
      <c r="H51" s="272"/>
    </row>
    <row r="52" spans="1:8" ht="22.5" customHeight="1" x14ac:dyDescent="0.3">
      <c r="A52" s="218"/>
      <c r="B52" s="219"/>
      <c r="C52" s="219"/>
      <c r="D52" s="219"/>
      <c r="E52" s="219"/>
      <c r="F52" s="219"/>
      <c r="G52" s="220"/>
      <c r="H52" s="88"/>
    </row>
    <row r="53" spans="1:8" ht="22.5" customHeight="1" x14ac:dyDescent="0.3">
      <c r="A53" s="218"/>
      <c r="B53" s="219"/>
      <c r="C53" s="219"/>
      <c r="D53" s="219"/>
      <c r="E53" s="219"/>
      <c r="F53" s="219"/>
      <c r="G53" s="220"/>
      <c r="H53" s="88"/>
    </row>
    <row r="54" spans="1:8" s="273" customFormat="1" ht="22.5" customHeight="1" x14ac:dyDescent="0.3">
      <c r="A54" s="269">
        <v>1225</v>
      </c>
      <c r="B54" s="270">
        <v>3.75</v>
      </c>
      <c r="C54" s="270">
        <v>7.7</v>
      </c>
      <c r="D54" s="270">
        <v>4.7</v>
      </c>
      <c r="E54" s="270">
        <v>7.75</v>
      </c>
      <c r="F54" s="270">
        <v>5</v>
      </c>
      <c r="G54" s="271">
        <f t="shared" si="0"/>
        <v>28.9</v>
      </c>
      <c r="H54" s="272"/>
    </row>
    <row r="55" spans="1:8" s="273" customFormat="1" ht="22.5" customHeight="1" x14ac:dyDescent="0.3">
      <c r="A55" s="269">
        <v>1250</v>
      </c>
      <c r="B55" s="270">
        <v>3.2</v>
      </c>
      <c r="C55" s="270">
        <v>7.8</v>
      </c>
      <c r="D55" s="270">
        <v>4.4000000000000004</v>
      </c>
      <c r="E55" s="270">
        <v>7.7</v>
      </c>
      <c r="F55" s="270">
        <v>4.5</v>
      </c>
      <c r="G55" s="271">
        <f t="shared" si="0"/>
        <v>27.6</v>
      </c>
      <c r="H55" s="272"/>
    </row>
    <row r="56" spans="1:8" s="273" customFormat="1" ht="22.5" customHeight="1" x14ac:dyDescent="0.3">
      <c r="A56" s="269">
        <v>1275</v>
      </c>
      <c r="B56" s="270">
        <v>2.4</v>
      </c>
      <c r="C56" s="270">
        <v>9.0500000000000007</v>
      </c>
      <c r="D56" s="270">
        <v>3.3</v>
      </c>
      <c r="E56" s="270">
        <v>7.7</v>
      </c>
      <c r="F56" s="270">
        <v>3</v>
      </c>
      <c r="G56" s="271">
        <f t="shared" si="0"/>
        <v>25.45</v>
      </c>
      <c r="H56" s="272"/>
    </row>
    <row r="57" spans="1:8" s="273" customFormat="1" ht="22.5" customHeight="1" x14ac:dyDescent="0.3">
      <c r="A57" s="269">
        <v>1300</v>
      </c>
      <c r="B57" s="270">
        <v>2.2999999999999998</v>
      </c>
      <c r="C57" s="270">
        <v>10.130000000000001</v>
      </c>
      <c r="D57" s="270">
        <v>2.2999999999999998</v>
      </c>
      <c r="E57" s="270">
        <v>10.1</v>
      </c>
      <c r="F57" s="270">
        <v>2.5</v>
      </c>
      <c r="G57" s="271">
        <f t="shared" si="0"/>
        <v>27.33</v>
      </c>
      <c r="H57" s="272"/>
    </row>
    <row r="58" spans="1:8" s="273" customFormat="1" ht="22.5" customHeight="1" x14ac:dyDescent="0.3">
      <c r="A58" s="269">
        <v>1325</v>
      </c>
      <c r="B58" s="270">
        <v>2</v>
      </c>
      <c r="C58" s="270">
        <v>10.8</v>
      </c>
      <c r="D58" s="270">
        <v>2.5</v>
      </c>
      <c r="E58" s="270">
        <v>10.3</v>
      </c>
      <c r="F58" s="270">
        <v>2</v>
      </c>
      <c r="G58" s="271">
        <f t="shared" si="0"/>
        <v>27.6</v>
      </c>
      <c r="H58" s="272"/>
    </row>
    <row r="59" spans="1:8" s="273" customFormat="1" ht="22.5" customHeight="1" x14ac:dyDescent="0.3">
      <c r="A59" s="269">
        <v>1350</v>
      </c>
      <c r="B59" s="270">
        <v>2.2000000000000002</v>
      </c>
      <c r="C59" s="270">
        <v>11.3</v>
      </c>
      <c r="D59" s="270">
        <v>0</v>
      </c>
      <c r="E59" s="270">
        <v>9.5</v>
      </c>
      <c r="F59" s="270">
        <v>2</v>
      </c>
      <c r="G59" s="271">
        <f t="shared" si="0"/>
        <v>25</v>
      </c>
      <c r="H59" s="272" t="s">
        <v>360</v>
      </c>
    </row>
    <row r="60" spans="1:8" s="273" customFormat="1" ht="22.5" customHeight="1" x14ac:dyDescent="0.3">
      <c r="A60" s="269">
        <v>1375</v>
      </c>
      <c r="B60" s="270">
        <v>0.8</v>
      </c>
      <c r="C60" s="270">
        <v>9.5</v>
      </c>
      <c r="D60" s="270">
        <v>1.2</v>
      </c>
      <c r="E60" s="270">
        <v>10.9</v>
      </c>
      <c r="F60" s="270">
        <v>4.7</v>
      </c>
      <c r="G60" s="271">
        <f t="shared" si="0"/>
        <v>27.099999999999998</v>
      </c>
      <c r="H60" s="272"/>
    </row>
    <row r="61" spans="1:8" s="273" customFormat="1" ht="22.5" customHeight="1" x14ac:dyDescent="0.3">
      <c r="A61" s="269">
        <v>1400</v>
      </c>
      <c r="B61" s="270">
        <v>3.2</v>
      </c>
      <c r="C61" s="270">
        <v>9.6</v>
      </c>
      <c r="D61" s="270">
        <v>1.2</v>
      </c>
      <c r="E61" s="270">
        <v>10.6</v>
      </c>
      <c r="F61" s="270">
        <v>4</v>
      </c>
      <c r="G61" s="271">
        <f t="shared" si="0"/>
        <v>28.6</v>
      </c>
      <c r="H61" s="272"/>
    </row>
    <row r="62" spans="1:8" s="273" customFormat="1" ht="22.5" customHeight="1" x14ac:dyDescent="0.3">
      <c r="A62" s="269">
        <v>1425</v>
      </c>
      <c r="B62" s="270">
        <v>3.6</v>
      </c>
      <c r="C62" s="270">
        <v>8</v>
      </c>
      <c r="D62" s="270">
        <v>2.4</v>
      </c>
      <c r="E62" s="270">
        <v>9.6999999999999993</v>
      </c>
      <c r="F62" s="270">
        <v>3.7</v>
      </c>
      <c r="G62" s="271">
        <f t="shared" si="0"/>
        <v>27.4</v>
      </c>
      <c r="H62" s="272" t="s">
        <v>361</v>
      </c>
    </row>
    <row r="63" spans="1:8" s="273" customFormat="1" ht="22.5" customHeight="1" x14ac:dyDescent="0.3">
      <c r="A63" s="269">
        <v>1450</v>
      </c>
      <c r="B63" s="270">
        <v>4.6500000000000004</v>
      </c>
      <c r="C63" s="270">
        <v>7.8</v>
      </c>
      <c r="D63" s="270">
        <v>3.5</v>
      </c>
      <c r="E63" s="270">
        <v>8.6</v>
      </c>
      <c r="F63" s="270">
        <v>4</v>
      </c>
      <c r="G63" s="271">
        <f t="shared" si="0"/>
        <v>28.549999999999997</v>
      </c>
      <c r="H63" s="272"/>
    </row>
    <row r="64" spans="1:8" ht="22.5" customHeight="1" x14ac:dyDescent="0.3">
      <c r="A64" s="85">
        <v>1475</v>
      </c>
      <c r="B64" s="86">
        <v>2.5</v>
      </c>
      <c r="C64" s="86">
        <v>7.65</v>
      </c>
      <c r="D64" s="86">
        <v>4.7</v>
      </c>
      <c r="E64" s="86">
        <v>7.5</v>
      </c>
      <c r="F64" s="86">
        <v>3.5</v>
      </c>
      <c r="G64" s="87">
        <f t="shared" si="0"/>
        <v>25.85</v>
      </c>
      <c r="H64" s="88"/>
    </row>
    <row r="65" spans="1:8" ht="22.5" customHeight="1" x14ac:dyDescent="0.3">
      <c r="A65" s="85">
        <v>1500</v>
      </c>
      <c r="B65" s="86">
        <v>1.5</v>
      </c>
      <c r="C65" s="86">
        <v>7.8</v>
      </c>
      <c r="D65" s="86">
        <v>4.5999999999999996</v>
      </c>
      <c r="E65" s="86">
        <v>7.7</v>
      </c>
      <c r="F65" s="86">
        <v>3.3</v>
      </c>
      <c r="G65" s="87">
        <f t="shared" si="0"/>
        <v>24.900000000000002</v>
      </c>
      <c r="H65" s="88" t="s">
        <v>362</v>
      </c>
    </row>
    <row r="66" spans="1:8" ht="22.5" customHeight="1" x14ac:dyDescent="0.3">
      <c r="A66" s="85">
        <v>1525</v>
      </c>
      <c r="B66" s="86">
        <v>2.4</v>
      </c>
      <c r="C66" s="86">
        <v>7.85</v>
      </c>
      <c r="D66" s="86">
        <v>4.5999999999999996</v>
      </c>
      <c r="E66" s="86">
        <v>7.6</v>
      </c>
      <c r="F66" s="86">
        <v>3.5</v>
      </c>
      <c r="G66" s="87">
        <f t="shared" si="0"/>
        <v>25.95</v>
      </c>
      <c r="H66" s="88"/>
    </row>
    <row r="67" spans="1:8" ht="22.5" customHeight="1" x14ac:dyDescent="0.3">
      <c r="A67" s="85">
        <v>1550</v>
      </c>
      <c r="B67" s="86">
        <v>2.8</v>
      </c>
      <c r="C67" s="86">
        <v>7.7</v>
      </c>
      <c r="D67" s="86">
        <v>4.9000000000000004</v>
      </c>
      <c r="E67" s="86">
        <v>7.7</v>
      </c>
      <c r="F67" s="86">
        <v>4</v>
      </c>
      <c r="G67" s="87">
        <f t="shared" si="0"/>
        <v>27.1</v>
      </c>
      <c r="H67" s="88"/>
    </row>
    <row r="68" spans="1:8" ht="22.5" customHeight="1" x14ac:dyDescent="0.3">
      <c r="A68" s="85">
        <v>1575</v>
      </c>
      <c r="B68" s="86">
        <v>2.7</v>
      </c>
      <c r="C68" s="86">
        <v>7.7</v>
      </c>
      <c r="D68" s="86">
        <v>4.7</v>
      </c>
      <c r="E68" s="86">
        <v>7.5</v>
      </c>
      <c r="F68" s="86">
        <v>3.8</v>
      </c>
      <c r="G68" s="87">
        <f t="shared" si="0"/>
        <v>26.400000000000002</v>
      </c>
      <c r="H68" s="88"/>
    </row>
    <row r="69" spans="1:8" ht="22.5" customHeight="1" x14ac:dyDescent="0.3">
      <c r="A69" s="85">
        <v>1600</v>
      </c>
      <c r="B69" s="86">
        <v>3.7</v>
      </c>
      <c r="C69" s="86">
        <v>7.75</v>
      </c>
      <c r="D69" s="86">
        <v>4.7</v>
      </c>
      <c r="E69" s="86">
        <v>7.7</v>
      </c>
      <c r="F69" s="86">
        <v>4.3</v>
      </c>
      <c r="G69" s="87">
        <f t="shared" si="0"/>
        <v>28.15</v>
      </c>
      <c r="H69" s="88"/>
    </row>
    <row r="70" spans="1:8" ht="22.5" customHeight="1" x14ac:dyDescent="0.3">
      <c r="A70" s="85">
        <v>1625</v>
      </c>
      <c r="B70" s="86">
        <v>3.5</v>
      </c>
      <c r="C70" s="86">
        <v>7.75</v>
      </c>
      <c r="D70" s="86">
        <v>4.7</v>
      </c>
      <c r="E70" s="86">
        <v>7.7</v>
      </c>
      <c r="F70" s="86">
        <v>3.5</v>
      </c>
      <c r="G70" s="87">
        <f t="shared" ref="G70:G95" si="1">+B70+C70+D70+E70+F70</f>
        <v>27.15</v>
      </c>
      <c r="H70" s="88"/>
    </row>
    <row r="71" spans="1:8" ht="22.5" customHeight="1" x14ac:dyDescent="0.3">
      <c r="A71" s="85">
        <v>1650</v>
      </c>
      <c r="B71" s="86">
        <v>3.4</v>
      </c>
      <c r="C71" s="86">
        <v>7.75</v>
      </c>
      <c r="D71" s="86">
        <v>4.7</v>
      </c>
      <c r="E71" s="86">
        <v>7.7</v>
      </c>
      <c r="F71" s="86">
        <v>4.5</v>
      </c>
      <c r="G71" s="87">
        <f t="shared" si="1"/>
        <v>28.05</v>
      </c>
      <c r="H71" s="88"/>
    </row>
    <row r="72" spans="1:8" ht="22.5" customHeight="1" x14ac:dyDescent="0.3">
      <c r="A72" s="85">
        <v>1675</v>
      </c>
      <c r="B72" s="86">
        <v>4</v>
      </c>
      <c r="C72" s="86">
        <v>7.7</v>
      </c>
      <c r="D72" s="86">
        <v>4.7</v>
      </c>
      <c r="E72" s="86">
        <v>7</v>
      </c>
      <c r="F72" s="86">
        <v>4</v>
      </c>
      <c r="G72" s="87">
        <f t="shared" si="1"/>
        <v>27.4</v>
      </c>
      <c r="H72" s="88" t="s">
        <v>363</v>
      </c>
    </row>
    <row r="73" spans="1:8" ht="22.5" customHeight="1" x14ac:dyDescent="0.3">
      <c r="A73" s="85">
        <v>1700</v>
      </c>
      <c r="B73" s="86">
        <v>3.2</v>
      </c>
      <c r="C73" s="86">
        <v>7.5</v>
      </c>
      <c r="D73" s="86">
        <v>4.7</v>
      </c>
      <c r="E73" s="86">
        <v>7.7</v>
      </c>
      <c r="F73" s="86">
        <v>4</v>
      </c>
      <c r="G73" s="87">
        <f t="shared" si="1"/>
        <v>27.099999999999998</v>
      </c>
      <c r="H73" s="88" t="s">
        <v>364</v>
      </c>
    </row>
    <row r="74" spans="1:8" ht="22.5" customHeight="1" x14ac:dyDescent="0.3">
      <c r="A74" s="85">
        <v>1725</v>
      </c>
      <c r="B74" s="86">
        <v>4.4000000000000004</v>
      </c>
      <c r="C74" s="86">
        <v>7.7</v>
      </c>
      <c r="D74" s="86">
        <v>4.5999999999999996</v>
      </c>
      <c r="E74" s="86">
        <v>7.7</v>
      </c>
      <c r="F74" s="86">
        <v>4</v>
      </c>
      <c r="G74" s="87">
        <f t="shared" si="1"/>
        <v>28.400000000000002</v>
      </c>
      <c r="H74" s="88"/>
    </row>
    <row r="75" spans="1:8" ht="22.5" customHeight="1" x14ac:dyDescent="0.3">
      <c r="A75" s="85">
        <v>1750</v>
      </c>
      <c r="B75" s="86">
        <v>3.3</v>
      </c>
      <c r="C75" s="86">
        <v>7.75</v>
      </c>
      <c r="D75" s="86">
        <v>4.5999999999999996</v>
      </c>
      <c r="E75" s="86">
        <v>7.7</v>
      </c>
      <c r="F75" s="86">
        <v>4</v>
      </c>
      <c r="G75" s="87">
        <f t="shared" si="1"/>
        <v>27.35</v>
      </c>
      <c r="H75" s="88"/>
    </row>
    <row r="76" spans="1:8" ht="22.5" customHeight="1" x14ac:dyDescent="0.3">
      <c r="A76" s="85">
        <v>1775</v>
      </c>
      <c r="B76" s="86">
        <v>3.8</v>
      </c>
      <c r="C76" s="86">
        <v>7.7</v>
      </c>
      <c r="D76" s="86">
        <v>4.8</v>
      </c>
      <c r="E76" s="86">
        <v>7.5</v>
      </c>
      <c r="F76" s="86">
        <v>4.5</v>
      </c>
      <c r="G76" s="87">
        <f t="shared" si="1"/>
        <v>28.3</v>
      </c>
      <c r="H76" s="88"/>
    </row>
    <row r="77" spans="1:8" ht="22.5" customHeight="1" x14ac:dyDescent="0.3">
      <c r="A77" s="85">
        <v>1800</v>
      </c>
      <c r="B77" s="86">
        <v>3.3</v>
      </c>
      <c r="C77" s="86">
        <v>7.75</v>
      </c>
      <c r="D77" s="86">
        <v>4.7</v>
      </c>
      <c r="E77" s="86">
        <v>7.7</v>
      </c>
      <c r="F77" s="86">
        <v>4</v>
      </c>
      <c r="G77" s="87">
        <f t="shared" si="1"/>
        <v>27.45</v>
      </c>
      <c r="H77" s="88"/>
    </row>
    <row r="78" spans="1:8" ht="22.5" customHeight="1" x14ac:dyDescent="0.3">
      <c r="A78" s="85">
        <v>1825</v>
      </c>
      <c r="B78" s="86">
        <v>3.7</v>
      </c>
      <c r="C78" s="86">
        <v>7.7</v>
      </c>
      <c r="D78" s="86">
        <v>4.7</v>
      </c>
      <c r="E78" s="86">
        <v>7.4</v>
      </c>
      <c r="F78" s="86">
        <v>3.4</v>
      </c>
      <c r="G78" s="87">
        <f t="shared" si="1"/>
        <v>26.9</v>
      </c>
      <c r="H78" s="88" t="s">
        <v>365</v>
      </c>
    </row>
    <row r="79" spans="1:8" ht="22.5" customHeight="1" x14ac:dyDescent="0.3">
      <c r="A79" s="85">
        <v>1850</v>
      </c>
      <c r="B79" s="86">
        <v>3.4</v>
      </c>
      <c r="C79" s="86">
        <v>7.6</v>
      </c>
      <c r="D79" s="86">
        <v>4.5999999999999996</v>
      </c>
      <c r="E79" s="86">
        <v>7.4</v>
      </c>
      <c r="F79" s="86">
        <v>3.1</v>
      </c>
      <c r="G79" s="87">
        <f t="shared" si="1"/>
        <v>26.1</v>
      </c>
      <c r="H79" s="88" t="s">
        <v>366</v>
      </c>
    </row>
    <row r="80" spans="1:8" ht="22.5" customHeight="1" x14ac:dyDescent="0.3">
      <c r="A80" s="85">
        <v>1875</v>
      </c>
      <c r="B80" s="86">
        <v>4.8</v>
      </c>
      <c r="C80" s="86">
        <v>7.6</v>
      </c>
      <c r="D80" s="86">
        <v>4.5999999999999996</v>
      </c>
      <c r="E80" s="86">
        <v>7.7</v>
      </c>
      <c r="F80" s="86">
        <v>2.5</v>
      </c>
      <c r="G80" s="87">
        <f t="shared" si="1"/>
        <v>27.2</v>
      </c>
      <c r="H80" s="88" t="s">
        <v>367</v>
      </c>
    </row>
    <row r="81" spans="1:8" ht="22.5" customHeight="1" x14ac:dyDescent="0.3">
      <c r="A81" s="85">
        <v>1900</v>
      </c>
      <c r="B81" s="86">
        <v>3.2</v>
      </c>
      <c r="C81" s="86">
        <v>7.7</v>
      </c>
      <c r="D81" s="86">
        <v>4.7</v>
      </c>
      <c r="E81" s="86">
        <v>7.7</v>
      </c>
      <c r="F81" s="86">
        <v>3.4</v>
      </c>
      <c r="G81" s="87">
        <f t="shared" si="1"/>
        <v>26.7</v>
      </c>
      <c r="H81" s="88" t="s">
        <v>367</v>
      </c>
    </row>
    <row r="82" spans="1:8" ht="22.5" customHeight="1" x14ac:dyDescent="0.3">
      <c r="A82" s="85">
        <v>1925</v>
      </c>
      <c r="B82" s="86">
        <v>3.4</v>
      </c>
      <c r="C82" s="86">
        <v>7.7</v>
      </c>
      <c r="D82" s="86">
        <v>4.5999999999999996</v>
      </c>
      <c r="E82" s="86">
        <v>7.7</v>
      </c>
      <c r="F82" s="86">
        <v>1.5</v>
      </c>
      <c r="G82" s="87">
        <f t="shared" si="1"/>
        <v>24.9</v>
      </c>
      <c r="H82" s="88" t="s">
        <v>368</v>
      </c>
    </row>
    <row r="83" spans="1:8" ht="22.5" customHeight="1" x14ac:dyDescent="0.3">
      <c r="A83" s="85">
        <v>1950</v>
      </c>
      <c r="B83" s="86">
        <v>3.9</v>
      </c>
      <c r="C83" s="86">
        <v>9.1</v>
      </c>
      <c r="D83" s="86">
        <v>3.3</v>
      </c>
      <c r="E83" s="86">
        <v>9.3000000000000007</v>
      </c>
      <c r="F83" s="86">
        <v>2</v>
      </c>
      <c r="G83" s="87">
        <f t="shared" si="1"/>
        <v>27.6</v>
      </c>
      <c r="H83" s="88"/>
    </row>
    <row r="84" spans="1:8" ht="22.5" customHeight="1" x14ac:dyDescent="0.3">
      <c r="A84" s="85">
        <v>1975</v>
      </c>
      <c r="B84" s="86">
        <v>6.6</v>
      </c>
      <c r="C84" s="86">
        <v>10</v>
      </c>
      <c r="D84" s="86">
        <v>2.6</v>
      </c>
      <c r="E84" s="86">
        <v>9.5</v>
      </c>
      <c r="F84" s="86">
        <v>1.75</v>
      </c>
      <c r="G84" s="87">
        <f t="shared" si="1"/>
        <v>30.450000000000003</v>
      </c>
      <c r="H84" s="88"/>
    </row>
    <row r="85" spans="1:8" ht="22.5" customHeight="1" x14ac:dyDescent="0.3">
      <c r="A85" s="85">
        <v>2000</v>
      </c>
      <c r="B85" s="86">
        <v>5.9</v>
      </c>
      <c r="C85" s="86">
        <v>11.1</v>
      </c>
      <c r="D85" s="86">
        <v>1.4</v>
      </c>
      <c r="E85" s="86">
        <v>10.4</v>
      </c>
      <c r="F85" s="86">
        <v>1</v>
      </c>
      <c r="G85" s="87">
        <f t="shared" si="1"/>
        <v>29.799999999999997</v>
      </c>
      <c r="H85" s="88" t="s">
        <v>369</v>
      </c>
    </row>
    <row r="86" spans="1:8" ht="22.5" customHeight="1" x14ac:dyDescent="0.3">
      <c r="A86" s="85">
        <v>2025</v>
      </c>
      <c r="B86" s="86">
        <v>7.2</v>
      </c>
      <c r="C86" s="86">
        <v>11</v>
      </c>
      <c r="D86" s="86">
        <v>0</v>
      </c>
      <c r="E86" s="86">
        <v>10.6</v>
      </c>
      <c r="F86" s="86">
        <v>1</v>
      </c>
      <c r="G86" s="87">
        <f t="shared" si="1"/>
        <v>29.799999999999997</v>
      </c>
      <c r="H86" s="88"/>
    </row>
    <row r="87" spans="1:8" ht="22.5" customHeight="1" x14ac:dyDescent="0.3">
      <c r="A87" s="85">
        <v>2050</v>
      </c>
      <c r="B87" s="86">
        <v>3.5</v>
      </c>
      <c r="C87" s="86">
        <v>11.2</v>
      </c>
      <c r="D87" s="86">
        <v>1.4</v>
      </c>
      <c r="E87" s="86">
        <v>10.5</v>
      </c>
      <c r="F87" s="86">
        <v>3.5</v>
      </c>
      <c r="G87" s="87">
        <f t="shared" si="1"/>
        <v>30.099999999999998</v>
      </c>
      <c r="H87" s="88"/>
    </row>
    <row r="88" spans="1:8" ht="22.5" customHeight="1" x14ac:dyDescent="0.3">
      <c r="A88" s="85">
        <v>2075</v>
      </c>
      <c r="B88" s="86">
        <v>3.6</v>
      </c>
      <c r="C88" s="86">
        <v>11</v>
      </c>
      <c r="D88" s="86">
        <v>1.4</v>
      </c>
      <c r="E88" s="86">
        <v>9</v>
      </c>
      <c r="F88" s="86">
        <v>4</v>
      </c>
      <c r="G88" s="87">
        <f t="shared" si="1"/>
        <v>29</v>
      </c>
      <c r="H88" s="88"/>
    </row>
    <row r="89" spans="1:8" ht="22.5" customHeight="1" x14ac:dyDescent="0.3">
      <c r="A89" s="85">
        <v>2100</v>
      </c>
      <c r="B89" s="86">
        <v>4.2</v>
      </c>
      <c r="C89" s="86">
        <v>10.199999999999999</v>
      </c>
      <c r="D89" s="86">
        <v>2.6</v>
      </c>
      <c r="E89" s="86">
        <v>8.6</v>
      </c>
      <c r="F89" s="86">
        <v>3.8</v>
      </c>
      <c r="G89" s="87">
        <f t="shared" si="1"/>
        <v>29.400000000000002</v>
      </c>
      <c r="H89" s="88"/>
    </row>
    <row r="90" spans="1:8" ht="22.5" customHeight="1" x14ac:dyDescent="0.3">
      <c r="A90" s="85">
        <v>2125</v>
      </c>
      <c r="B90" s="86">
        <v>4.4000000000000004</v>
      </c>
      <c r="C90" s="86">
        <v>9.9</v>
      </c>
      <c r="D90" s="86">
        <v>2.7</v>
      </c>
      <c r="E90" s="86">
        <v>7.6</v>
      </c>
      <c r="F90" s="86">
        <v>3.5</v>
      </c>
      <c r="G90" s="87">
        <f t="shared" si="1"/>
        <v>28.1</v>
      </c>
      <c r="H90" s="88"/>
    </row>
    <row r="91" spans="1:8" ht="22.5" customHeight="1" x14ac:dyDescent="0.3">
      <c r="A91" s="85">
        <v>2150</v>
      </c>
      <c r="B91" s="86">
        <v>4</v>
      </c>
      <c r="C91" s="86">
        <v>9.35</v>
      </c>
      <c r="D91" s="86">
        <v>4.8</v>
      </c>
      <c r="E91" s="86">
        <v>7.6</v>
      </c>
      <c r="F91" s="86">
        <v>4</v>
      </c>
      <c r="G91" s="87">
        <f t="shared" si="1"/>
        <v>29.75</v>
      </c>
      <c r="H91" s="88"/>
    </row>
    <row r="92" spans="1:8" ht="22.5" customHeight="1" x14ac:dyDescent="0.3">
      <c r="A92" s="85">
        <v>2175</v>
      </c>
      <c r="B92" s="86">
        <v>5</v>
      </c>
      <c r="C92" s="86">
        <v>7.75</v>
      </c>
      <c r="D92" s="86">
        <v>4.5999999999999996</v>
      </c>
      <c r="E92" s="86">
        <v>7.6</v>
      </c>
      <c r="F92" s="86">
        <v>4.2</v>
      </c>
      <c r="G92" s="87">
        <f t="shared" si="1"/>
        <v>29.150000000000002</v>
      </c>
      <c r="H92" s="88"/>
    </row>
    <row r="93" spans="1:8" ht="22.5" customHeight="1" x14ac:dyDescent="0.3">
      <c r="A93" s="85">
        <v>2200</v>
      </c>
      <c r="B93" s="86">
        <v>4.9000000000000004</v>
      </c>
      <c r="C93" s="86">
        <v>7.7</v>
      </c>
      <c r="D93" s="86">
        <v>4.7</v>
      </c>
      <c r="E93" s="86">
        <v>7.6</v>
      </c>
      <c r="F93" s="86">
        <v>4.2</v>
      </c>
      <c r="G93" s="87">
        <f t="shared" si="1"/>
        <v>29.099999999999998</v>
      </c>
      <c r="H93" s="88"/>
    </row>
    <row r="94" spans="1:8" ht="22.5" customHeight="1" x14ac:dyDescent="0.3">
      <c r="A94" s="85">
        <v>2225</v>
      </c>
      <c r="B94" s="86">
        <v>5</v>
      </c>
      <c r="C94" s="86">
        <v>7.7</v>
      </c>
      <c r="D94" s="86">
        <v>4.7</v>
      </c>
      <c r="E94" s="86">
        <v>7.4</v>
      </c>
      <c r="F94" s="86">
        <v>4</v>
      </c>
      <c r="G94" s="87">
        <f t="shared" si="1"/>
        <v>28.799999999999997</v>
      </c>
      <c r="H94" s="88"/>
    </row>
    <row r="95" spans="1:8" ht="22.5" customHeight="1" x14ac:dyDescent="0.3">
      <c r="A95" s="94">
        <v>2247</v>
      </c>
      <c r="B95" s="95">
        <v>5</v>
      </c>
      <c r="C95" s="95">
        <v>7.6</v>
      </c>
      <c r="D95" s="95">
        <v>4.7</v>
      </c>
      <c r="E95" s="95">
        <v>7.4</v>
      </c>
      <c r="F95" s="95">
        <v>4.3</v>
      </c>
      <c r="G95" s="96">
        <f t="shared" si="1"/>
        <v>29.000000000000004</v>
      </c>
      <c r="H95" s="97" t="s">
        <v>370</v>
      </c>
    </row>
  </sheetData>
  <mergeCells count="1">
    <mergeCell ref="A1:H1"/>
  </mergeCells>
  <pageMargins left="0" right="0" top="0" bottom="0" header="0.31496062992125984" footer="0.31496062992125984"/>
  <pageSetup orientation="portrait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</sheetPr>
  <dimension ref="A1:M101"/>
  <sheetViews>
    <sheetView view="pageBreakPreview" topLeftCell="A49" zoomScaleNormal="100" zoomScaleSheetLayoutView="100" workbookViewId="0">
      <selection activeCell="J58" sqref="J58"/>
    </sheetView>
  </sheetViews>
  <sheetFormatPr defaultRowHeight="18.75" x14ac:dyDescent="0.3"/>
  <cols>
    <col min="1" max="1" width="13" style="90" customWidth="1"/>
    <col min="2" max="2" width="11.5703125" style="91" customWidth="1"/>
    <col min="3" max="3" width="13" style="91" customWidth="1"/>
    <col min="4" max="4" width="13" style="283" customWidth="1"/>
    <col min="5" max="5" width="9.7109375" style="288" customWidth="1"/>
    <col min="6" max="6" width="11.28515625" style="283" customWidth="1"/>
    <col min="7" max="8" width="13" style="288" customWidth="1"/>
    <col min="9" max="9" width="15" style="80" customWidth="1"/>
    <col min="10" max="10" width="21" style="80" customWidth="1"/>
    <col min="11" max="16384" width="9.140625" style="80"/>
  </cols>
  <sheetData>
    <row r="1" spans="1:10" ht="21" x14ac:dyDescent="0.45">
      <c r="A1" s="377" t="s">
        <v>1293</v>
      </c>
      <c r="B1" s="378"/>
      <c r="C1" s="378"/>
      <c r="D1" s="378"/>
      <c r="E1" s="378"/>
      <c r="F1" s="378"/>
      <c r="G1" s="378"/>
      <c r="H1" s="378"/>
      <c r="I1" s="378"/>
    </row>
    <row r="2" spans="1:10" ht="22.5" customHeight="1" x14ac:dyDescent="0.3">
      <c r="A2" s="77" t="s">
        <v>339</v>
      </c>
      <c r="B2" s="78" t="s">
        <v>340</v>
      </c>
      <c r="C2" s="294" t="s">
        <v>341</v>
      </c>
      <c r="D2" s="279" t="s">
        <v>342</v>
      </c>
      <c r="E2" s="303" t="s">
        <v>1290</v>
      </c>
      <c r="F2" s="279" t="s">
        <v>1288</v>
      </c>
      <c r="G2" s="285" t="s">
        <v>1289</v>
      </c>
      <c r="H2" s="285" t="s">
        <v>1294</v>
      </c>
      <c r="I2" s="79"/>
    </row>
    <row r="3" spans="1:10" ht="22.5" customHeight="1" x14ac:dyDescent="0.3">
      <c r="A3" s="77"/>
      <c r="B3" s="78" t="s">
        <v>1285</v>
      </c>
      <c r="C3" s="294" t="s">
        <v>1320</v>
      </c>
      <c r="D3" s="279"/>
      <c r="E3" s="285" t="s">
        <v>1319</v>
      </c>
      <c r="F3" s="279"/>
      <c r="G3" s="285" t="s">
        <v>1318</v>
      </c>
      <c r="H3" s="286"/>
      <c r="I3" s="284"/>
    </row>
    <row r="4" spans="1:10" ht="22.5" customHeight="1" x14ac:dyDescent="0.3">
      <c r="A4" s="77">
        <v>0</v>
      </c>
      <c r="B4" s="78">
        <v>4</v>
      </c>
      <c r="C4" s="78">
        <v>8</v>
      </c>
      <c r="D4" s="321">
        <v>4.4000000000000004</v>
      </c>
      <c r="E4" s="285">
        <v>2.8</v>
      </c>
      <c r="F4" s="279">
        <f t="shared" ref="F4:F63" si="0">B4-E4</f>
        <v>1.2000000000000002</v>
      </c>
      <c r="G4" s="285">
        <v>1</v>
      </c>
      <c r="H4" s="286">
        <f>C4+E4</f>
        <v>10.8</v>
      </c>
      <c r="I4" s="84" t="s">
        <v>345</v>
      </c>
    </row>
    <row r="5" spans="1:10" ht="22.5" customHeight="1" x14ac:dyDescent="0.3">
      <c r="A5" s="77">
        <v>25</v>
      </c>
      <c r="B5" s="78">
        <v>4.4000000000000004</v>
      </c>
      <c r="C5" s="78">
        <v>7.7</v>
      </c>
      <c r="D5" s="321">
        <v>4.3</v>
      </c>
      <c r="E5" s="285">
        <v>2.8</v>
      </c>
      <c r="F5" s="279">
        <f t="shared" si="0"/>
        <v>1.6000000000000005</v>
      </c>
      <c r="G5" s="285">
        <v>1</v>
      </c>
      <c r="H5" s="286">
        <f t="shared" ref="H5:H63" si="1">C5+E5</f>
        <v>10.5</v>
      </c>
      <c r="I5" s="88"/>
    </row>
    <row r="6" spans="1:10" ht="22.5" customHeight="1" x14ac:dyDescent="0.3">
      <c r="A6" s="77">
        <v>50</v>
      </c>
      <c r="B6" s="78">
        <v>4.0999999999999996</v>
      </c>
      <c r="C6" s="78">
        <v>7.65</v>
      </c>
      <c r="D6" s="321">
        <v>4.3</v>
      </c>
      <c r="E6" s="285">
        <v>2.8</v>
      </c>
      <c r="F6" s="279">
        <f t="shared" si="0"/>
        <v>1.2999999999999998</v>
      </c>
      <c r="G6" s="285">
        <v>1</v>
      </c>
      <c r="H6" s="286">
        <f t="shared" si="1"/>
        <v>10.45</v>
      </c>
      <c r="I6" s="88"/>
    </row>
    <row r="7" spans="1:10" ht="22.5" customHeight="1" x14ac:dyDescent="0.3">
      <c r="A7" s="77">
        <v>75</v>
      </c>
      <c r="B7" s="78">
        <v>5.5</v>
      </c>
      <c r="C7" s="78">
        <v>7.7</v>
      </c>
      <c r="D7" s="321">
        <v>4.3</v>
      </c>
      <c r="E7" s="285">
        <v>2.8</v>
      </c>
      <c r="F7" s="279">
        <f t="shared" si="0"/>
        <v>2.7</v>
      </c>
      <c r="G7" s="285">
        <v>2</v>
      </c>
      <c r="H7" s="286">
        <f t="shared" si="1"/>
        <v>10.5</v>
      </c>
      <c r="I7" s="88"/>
    </row>
    <row r="8" spans="1:10" ht="22.5" customHeight="1" x14ac:dyDescent="0.3">
      <c r="A8" s="77">
        <v>100</v>
      </c>
      <c r="B8" s="78">
        <v>5.7</v>
      </c>
      <c r="C8" s="78">
        <v>7.7</v>
      </c>
      <c r="D8" s="321">
        <v>4.3</v>
      </c>
      <c r="E8" s="285">
        <v>2.8</v>
      </c>
      <c r="F8" s="279">
        <f t="shared" si="0"/>
        <v>2.9000000000000004</v>
      </c>
      <c r="G8" s="285">
        <v>2</v>
      </c>
      <c r="H8" s="286">
        <f t="shared" si="1"/>
        <v>10.5</v>
      </c>
      <c r="I8" s="88"/>
    </row>
    <row r="9" spans="1:10" ht="22.5" customHeight="1" x14ac:dyDescent="0.3">
      <c r="A9" s="77">
        <v>125</v>
      </c>
      <c r="B9" s="78">
        <v>7.7</v>
      </c>
      <c r="C9" s="78">
        <v>7.75</v>
      </c>
      <c r="D9" s="321">
        <v>4.9000000000000004</v>
      </c>
      <c r="E9" s="285">
        <v>2.8</v>
      </c>
      <c r="F9" s="279">
        <f t="shared" si="0"/>
        <v>4.9000000000000004</v>
      </c>
      <c r="G9" s="285">
        <v>2</v>
      </c>
      <c r="H9" s="286">
        <f t="shared" si="1"/>
        <v>10.55</v>
      </c>
      <c r="I9" s="88"/>
      <c r="J9" s="80" t="s">
        <v>745</v>
      </c>
    </row>
    <row r="10" spans="1:10" ht="22.5" customHeight="1" x14ac:dyDescent="0.3">
      <c r="A10" s="77">
        <v>150</v>
      </c>
      <c r="B10" s="78">
        <v>7.1</v>
      </c>
      <c r="C10" s="78">
        <v>7.75</v>
      </c>
      <c r="D10" s="321">
        <v>4.9000000000000004</v>
      </c>
      <c r="E10" s="285">
        <v>2.8</v>
      </c>
      <c r="F10" s="279">
        <f t="shared" si="0"/>
        <v>4.3</v>
      </c>
      <c r="G10" s="285">
        <v>2</v>
      </c>
      <c r="H10" s="286">
        <f t="shared" si="1"/>
        <v>10.55</v>
      </c>
      <c r="I10" s="88"/>
    </row>
    <row r="11" spans="1:10" ht="22.5" customHeight="1" x14ac:dyDescent="0.3">
      <c r="A11" s="77">
        <v>175</v>
      </c>
      <c r="B11" s="78">
        <v>7</v>
      </c>
      <c r="C11" s="78">
        <v>7.7</v>
      </c>
      <c r="D11" s="321">
        <v>4.9000000000000004</v>
      </c>
      <c r="E11" s="285">
        <v>2.8</v>
      </c>
      <c r="F11" s="279">
        <f t="shared" si="0"/>
        <v>4.2</v>
      </c>
      <c r="G11" s="285">
        <v>2</v>
      </c>
      <c r="H11" s="286">
        <f t="shared" si="1"/>
        <v>10.5</v>
      </c>
      <c r="I11" s="88"/>
    </row>
    <row r="12" spans="1:10" ht="22.5" customHeight="1" x14ac:dyDescent="0.3">
      <c r="A12" s="77">
        <v>200</v>
      </c>
      <c r="B12" s="78">
        <v>4.5999999999999996</v>
      </c>
      <c r="C12" s="78">
        <v>7.7</v>
      </c>
      <c r="D12" s="321">
        <v>4.9000000000000004</v>
      </c>
      <c r="E12" s="285">
        <v>2.8</v>
      </c>
      <c r="F12" s="279">
        <f t="shared" si="0"/>
        <v>1.7999999999999998</v>
      </c>
      <c r="G12" s="285">
        <v>2</v>
      </c>
      <c r="H12" s="286">
        <f t="shared" si="1"/>
        <v>10.5</v>
      </c>
      <c r="I12" s="88"/>
    </row>
    <row r="13" spans="1:10" ht="22.5" customHeight="1" x14ac:dyDescent="0.3">
      <c r="A13" s="77">
        <v>225</v>
      </c>
      <c r="B13" s="78">
        <v>4.4000000000000004</v>
      </c>
      <c r="C13" s="78">
        <v>7.7</v>
      </c>
      <c r="D13" s="321">
        <v>4.9000000000000004</v>
      </c>
      <c r="E13" s="285">
        <v>2.8</v>
      </c>
      <c r="F13" s="279">
        <f t="shared" si="0"/>
        <v>1.6000000000000005</v>
      </c>
      <c r="G13" s="285">
        <v>2</v>
      </c>
      <c r="H13" s="286">
        <f t="shared" si="1"/>
        <v>10.5</v>
      </c>
      <c r="I13" s="88"/>
    </row>
    <row r="14" spans="1:10" ht="22.5" customHeight="1" x14ac:dyDescent="0.3">
      <c r="A14" s="77">
        <v>250</v>
      </c>
      <c r="B14" s="78">
        <v>4.8</v>
      </c>
      <c r="C14" s="78">
        <v>7.4</v>
      </c>
      <c r="D14" s="321">
        <v>4.0999999999999996</v>
      </c>
      <c r="E14" s="285">
        <v>2.8</v>
      </c>
      <c r="F14" s="279">
        <f t="shared" si="0"/>
        <v>2</v>
      </c>
      <c r="G14" s="285">
        <v>2</v>
      </c>
      <c r="H14" s="286">
        <f t="shared" si="1"/>
        <v>10.199999999999999</v>
      </c>
      <c r="I14" s="88"/>
    </row>
    <row r="15" spans="1:10" ht="22.5" customHeight="1" x14ac:dyDescent="0.3">
      <c r="A15" s="77">
        <v>275</v>
      </c>
      <c r="B15" s="78">
        <v>6.3</v>
      </c>
      <c r="C15" s="78">
        <v>9.6999999999999993</v>
      </c>
      <c r="D15" s="321">
        <v>2.6</v>
      </c>
      <c r="E15" s="285">
        <v>2.8</v>
      </c>
      <c r="F15" s="279">
        <f t="shared" si="0"/>
        <v>3.5</v>
      </c>
      <c r="G15" s="285">
        <v>2</v>
      </c>
      <c r="H15" s="286">
        <f t="shared" si="1"/>
        <v>12.5</v>
      </c>
      <c r="I15" s="88"/>
    </row>
    <row r="16" spans="1:10" ht="22.5" customHeight="1" x14ac:dyDescent="0.3">
      <c r="A16" s="77">
        <v>300</v>
      </c>
      <c r="B16" s="78">
        <v>6</v>
      </c>
      <c r="C16" s="78">
        <v>10.7</v>
      </c>
      <c r="D16" s="321">
        <v>1.5</v>
      </c>
      <c r="E16" s="285">
        <v>2.8</v>
      </c>
      <c r="F16" s="279">
        <f t="shared" si="0"/>
        <v>3.2</v>
      </c>
      <c r="G16" s="285">
        <v>2</v>
      </c>
      <c r="H16" s="286">
        <f t="shared" si="1"/>
        <v>13.5</v>
      </c>
      <c r="I16" s="89" t="s">
        <v>346</v>
      </c>
    </row>
    <row r="17" spans="1:9" ht="22.5" customHeight="1" x14ac:dyDescent="0.3">
      <c r="A17" s="77">
        <v>325</v>
      </c>
      <c r="B17" s="78">
        <v>6.5</v>
      </c>
      <c r="C17" s="78">
        <v>11.1</v>
      </c>
      <c r="D17" s="321">
        <v>1.4</v>
      </c>
      <c r="E17" s="285">
        <v>2.8</v>
      </c>
      <c r="F17" s="279">
        <f t="shared" si="0"/>
        <v>3.7</v>
      </c>
      <c r="G17" s="285">
        <v>2</v>
      </c>
      <c r="H17" s="286">
        <f t="shared" si="1"/>
        <v>13.899999999999999</v>
      </c>
      <c r="I17" s="88"/>
    </row>
    <row r="18" spans="1:9" ht="22.5" customHeight="1" x14ac:dyDescent="0.3">
      <c r="A18" s="77">
        <v>350</v>
      </c>
      <c r="B18" s="78">
        <v>5.4</v>
      </c>
      <c r="C18" s="78">
        <v>10.199999999999999</v>
      </c>
      <c r="D18" s="321">
        <v>0</v>
      </c>
      <c r="E18" s="285">
        <v>2.8</v>
      </c>
      <c r="F18" s="279">
        <f t="shared" si="0"/>
        <v>2.6000000000000005</v>
      </c>
      <c r="G18" s="285">
        <v>2</v>
      </c>
      <c r="H18" s="286">
        <f t="shared" si="1"/>
        <v>13</v>
      </c>
      <c r="I18" s="277" t="s">
        <v>1297</v>
      </c>
    </row>
    <row r="19" spans="1:9" ht="22.5" customHeight="1" x14ac:dyDescent="0.3">
      <c r="A19" s="77">
        <v>375</v>
      </c>
      <c r="B19" s="78">
        <v>5.3</v>
      </c>
      <c r="C19" s="78">
        <v>10.14</v>
      </c>
      <c r="D19" s="321">
        <v>1.4</v>
      </c>
      <c r="E19" s="285">
        <v>2.8</v>
      </c>
      <c r="F19" s="279">
        <f t="shared" si="0"/>
        <v>2.5</v>
      </c>
      <c r="G19" s="285">
        <v>2</v>
      </c>
      <c r="H19" s="286">
        <f t="shared" si="1"/>
        <v>12.940000000000001</v>
      </c>
      <c r="I19" s="277" t="s">
        <v>1297</v>
      </c>
    </row>
    <row r="20" spans="1:9" ht="22.5" customHeight="1" x14ac:dyDescent="0.3">
      <c r="A20" s="77">
        <v>400</v>
      </c>
      <c r="B20" s="78">
        <v>6.1</v>
      </c>
      <c r="C20" s="78">
        <v>8.4499999999999993</v>
      </c>
      <c r="D20" s="321">
        <v>1.8</v>
      </c>
      <c r="E20" s="285">
        <v>2.8</v>
      </c>
      <c r="F20" s="279">
        <f t="shared" si="0"/>
        <v>3.3</v>
      </c>
      <c r="G20" s="285">
        <v>2</v>
      </c>
      <c r="H20" s="286">
        <f t="shared" si="1"/>
        <v>11.25</v>
      </c>
      <c r="I20" s="277"/>
    </row>
    <row r="21" spans="1:9" ht="22.5" customHeight="1" x14ac:dyDescent="0.3">
      <c r="A21" s="77">
        <v>425</v>
      </c>
      <c r="B21" s="78">
        <v>8</v>
      </c>
      <c r="C21" s="78">
        <v>7.75</v>
      </c>
      <c r="D21" s="321">
        <v>3.2</v>
      </c>
      <c r="E21" s="285">
        <v>2.8</v>
      </c>
      <c r="F21" s="279">
        <f t="shared" si="0"/>
        <v>5.2</v>
      </c>
      <c r="G21" s="285">
        <v>2</v>
      </c>
      <c r="H21" s="286">
        <f t="shared" si="1"/>
        <v>10.55</v>
      </c>
      <c r="I21" s="88"/>
    </row>
    <row r="22" spans="1:9" ht="22.5" customHeight="1" x14ac:dyDescent="0.3">
      <c r="A22" s="77">
        <v>450</v>
      </c>
      <c r="B22" s="78">
        <v>11</v>
      </c>
      <c r="C22" s="78">
        <v>7.78</v>
      </c>
      <c r="D22" s="321">
        <v>4.5</v>
      </c>
      <c r="E22" s="285">
        <v>2.8</v>
      </c>
      <c r="F22" s="279">
        <f t="shared" si="0"/>
        <v>8.1999999999999993</v>
      </c>
      <c r="G22" s="285">
        <v>2</v>
      </c>
      <c r="H22" s="286">
        <f t="shared" si="1"/>
        <v>10.58</v>
      </c>
      <c r="I22" s="302" t="s">
        <v>349</v>
      </c>
    </row>
    <row r="23" spans="1:9" s="335" customFormat="1" ht="22.5" customHeight="1" x14ac:dyDescent="0.3">
      <c r="A23" s="329">
        <v>475</v>
      </c>
      <c r="B23" s="330">
        <v>8.6999999999999993</v>
      </c>
      <c r="C23" s="330">
        <v>8</v>
      </c>
      <c r="D23" s="331">
        <v>4.4000000000000004</v>
      </c>
      <c r="E23" s="332">
        <v>2.8</v>
      </c>
      <c r="F23" s="330">
        <f t="shared" si="0"/>
        <v>5.8999999999999995</v>
      </c>
      <c r="G23" s="332">
        <v>2</v>
      </c>
      <c r="H23" s="333">
        <f t="shared" si="1"/>
        <v>10.8</v>
      </c>
      <c r="I23" s="334" t="s">
        <v>350</v>
      </c>
    </row>
    <row r="24" spans="1:9" s="335" customFormat="1" ht="22.5" customHeight="1" x14ac:dyDescent="0.3">
      <c r="A24" s="329">
        <v>500</v>
      </c>
      <c r="B24" s="330">
        <v>5.6</v>
      </c>
      <c r="C24" s="330">
        <v>13.15</v>
      </c>
      <c r="D24" s="331">
        <v>3.1</v>
      </c>
      <c r="E24" s="332">
        <v>0</v>
      </c>
      <c r="F24" s="330">
        <f t="shared" si="0"/>
        <v>5.6</v>
      </c>
      <c r="G24" s="332">
        <v>2</v>
      </c>
      <c r="H24" s="333">
        <f t="shared" si="1"/>
        <v>13.15</v>
      </c>
      <c r="I24" s="336"/>
    </row>
    <row r="25" spans="1:9" s="335" customFormat="1" ht="22.5" customHeight="1" x14ac:dyDescent="0.3">
      <c r="A25" s="329">
        <v>525</v>
      </c>
      <c r="B25" s="330">
        <v>4.9000000000000004</v>
      </c>
      <c r="C25" s="330">
        <v>14.5</v>
      </c>
      <c r="D25" s="331">
        <v>1.9</v>
      </c>
      <c r="E25" s="332">
        <v>0</v>
      </c>
      <c r="F25" s="330">
        <f t="shared" si="0"/>
        <v>4.9000000000000004</v>
      </c>
      <c r="G25" s="332">
        <v>2</v>
      </c>
      <c r="H25" s="333">
        <f t="shared" si="1"/>
        <v>14.5</v>
      </c>
      <c r="I25" s="336" t="s">
        <v>1298</v>
      </c>
    </row>
    <row r="26" spans="1:9" s="335" customFormat="1" ht="22.5" customHeight="1" x14ac:dyDescent="0.3">
      <c r="A26" s="329">
        <v>550</v>
      </c>
      <c r="B26" s="330">
        <v>9</v>
      </c>
      <c r="C26" s="330">
        <v>11.2</v>
      </c>
      <c r="D26" s="331">
        <v>1.3</v>
      </c>
      <c r="E26" s="332">
        <v>0</v>
      </c>
      <c r="F26" s="330">
        <f t="shared" si="0"/>
        <v>9</v>
      </c>
      <c r="G26" s="332">
        <v>2</v>
      </c>
      <c r="H26" s="333">
        <f t="shared" si="1"/>
        <v>11.2</v>
      </c>
      <c r="I26" s="336" t="s">
        <v>353</v>
      </c>
    </row>
    <row r="27" spans="1:9" s="335" customFormat="1" ht="22.5" customHeight="1" x14ac:dyDescent="0.3">
      <c r="A27" s="329">
        <v>575</v>
      </c>
      <c r="B27" s="330">
        <v>6.8</v>
      </c>
      <c r="C27" s="330">
        <v>10.6</v>
      </c>
      <c r="D27" s="331">
        <v>0</v>
      </c>
      <c r="E27" s="332">
        <v>2.5</v>
      </c>
      <c r="F27" s="330">
        <f t="shared" si="0"/>
        <v>4.3</v>
      </c>
      <c r="G27" s="332">
        <v>2</v>
      </c>
      <c r="H27" s="333">
        <f t="shared" si="1"/>
        <v>13.1</v>
      </c>
      <c r="I27" s="336" t="s">
        <v>354</v>
      </c>
    </row>
    <row r="28" spans="1:9" ht="22.5" customHeight="1" x14ac:dyDescent="0.3">
      <c r="A28" s="77">
        <v>600</v>
      </c>
      <c r="B28" s="78">
        <v>8</v>
      </c>
      <c r="C28" s="78">
        <v>10.15</v>
      </c>
      <c r="D28" s="321">
        <v>1.2</v>
      </c>
      <c r="E28" s="285">
        <v>2.5</v>
      </c>
      <c r="F28" s="279">
        <f t="shared" si="0"/>
        <v>5.5</v>
      </c>
      <c r="G28" s="285">
        <v>2</v>
      </c>
      <c r="H28" s="286">
        <f t="shared" si="1"/>
        <v>12.65</v>
      </c>
      <c r="I28" s="322" t="s">
        <v>354</v>
      </c>
    </row>
    <row r="29" spans="1:9" ht="22.5" customHeight="1" x14ac:dyDescent="0.3">
      <c r="A29" s="77">
        <v>625</v>
      </c>
      <c r="B29" s="78">
        <v>8.1</v>
      </c>
      <c r="C29" s="78">
        <v>10.199999999999999</v>
      </c>
      <c r="D29" s="321">
        <v>1.9</v>
      </c>
      <c r="E29" s="285">
        <v>2.5</v>
      </c>
      <c r="F29" s="279">
        <f t="shared" si="0"/>
        <v>5.6</v>
      </c>
      <c r="G29" s="285">
        <v>2</v>
      </c>
      <c r="H29" s="286">
        <f t="shared" si="1"/>
        <v>12.7</v>
      </c>
      <c r="I29" s="322" t="s">
        <v>354</v>
      </c>
    </row>
    <row r="30" spans="1:9" ht="22.5" customHeight="1" x14ac:dyDescent="0.3">
      <c r="A30" s="77">
        <v>650</v>
      </c>
      <c r="B30" s="78">
        <v>8.5</v>
      </c>
      <c r="C30" s="78">
        <v>10.3</v>
      </c>
      <c r="D30" s="321">
        <v>3.1</v>
      </c>
      <c r="E30" s="285">
        <v>2.5</v>
      </c>
      <c r="F30" s="279">
        <f t="shared" si="0"/>
        <v>6</v>
      </c>
      <c r="G30" s="285">
        <v>2</v>
      </c>
      <c r="H30" s="286">
        <f t="shared" si="1"/>
        <v>12.8</v>
      </c>
      <c r="I30" s="322" t="s">
        <v>1299</v>
      </c>
    </row>
    <row r="31" spans="1:9" ht="22.5" customHeight="1" x14ac:dyDescent="0.3">
      <c r="A31" s="77">
        <v>675</v>
      </c>
      <c r="B31" s="78">
        <v>8.6</v>
      </c>
      <c r="C31" s="78">
        <v>10.65</v>
      </c>
      <c r="D31" s="321">
        <v>4.4000000000000004</v>
      </c>
      <c r="E31" s="285">
        <v>2.5</v>
      </c>
      <c r="F31" s="279">
        <f t="shared" si="0"/>
        <v>6.1</v>
      </c>
      <c r="G31" s="285">
        <v>2</v>
      </c>
      <c r="H31" s="286">
        <f t="shared" si="1"/>
        <v>13.15</v>
      </c>
      <c r="I31" s="322" t="s">
        <v>1300</v>
      </c>
    </row>
    <row r="32" spans="1:9" s="328" customFormat="1" ht="22.5" customHeight="1" x14ac:dyDescent="0.3">
      <c r="A32" s="323">
        <v>684</v>
      </c>
      <c r="B32" s="324">
        <v>8.6</v>
      </c>
      <c r="C32" s="324">
        <v>10.65</v>
      </c>
      <c r="D32" s="325">
        <v>4.4000000000000004</v>
      </c>
      <c r="E32" s="326">
        <v>2.5</v>
      </c>
      <c r="F32" s="324">
        <f t="shared" ref="F32" si="2">B32-E32</f>
        <v>6.1</v>
      </c>
      <c r="G32" s="326">
        <v>2</v>
      </c>
      <c r="H32" s="327">
        <f t="shared" ref="H32" si="3">C32+E32</f>
        <v>13.15</v>
      </c>
      <c r="I32" s="337" t="s">
        <v>1300</v>
      </c>
    </row>
    <row r="33" spans="1:13" s="328" customFormat="1" ht="22.5" customHeight="1" x14ac:dyDescent="0.3">
      <c r="A33" s="338">
        <v>700</v>
      </c>
      <c r="B33" s="339">
        <v>11.7</v>
      </c>
      <c r="C33" s="339">
        <v>7.75</v>
      </c>
      <c r="D33" s="339">
        <v>4.7</v>
      </c>
      <c r="E33" s="339">
        <v>0</v>
      </c>
      <c r="F33" s="339">
        <f t="shared" si="0"/>
        <v>11.7</v>
      </c>
      <c r="G33" s="339">
        <v>2</v>
      </c>
      <c r="H33" s="340">
        <f t="shared" si="1"/>
        <v>7.75</v>
      </c>
      <c r="I33" s="341" t="s">
        <v>1321</v>
      </c>
    </row>
    <row r="34" spans="1:13" s="328" customFormat="1" ht="22.5" customHeight="1" x14ac:dyDescent="0.3">
      <c r="A34" s="338">
        <v>725</v>
      </c>
      <c r="B34" s="339">
        <v>12.1</v>
      </c>
      <c r="C34" s="339">
        <v>7.7</v>
      </c>
      <c r="D34" s="339">
        <v>4.8</v>
      </c>
      <c r="E34" s="339">
        <v>0</v>
      </c>
      <c r="F34" s="339">
        <f t="shared" si="0"/>
        <v>12.1</v>
      </c>
      <c r="G34" s="339">
        <v>2</v>
      </c>
      <c r="H34" s="340">
        <f t="shared" si="1"/>
        <v>7.7</v>
      </c>
      <c r="I34" s="337"/>
    </row>
    <row r="35" spans="1:13" s="328" customFormat="1" ht="22.5" customHeight="1" x14ac:dyDescent="0.3">
      <c r="A35" s="338">
        <v>750</v>
      </c>
      <c r="B35" s="339">
        <v>10.3</v>
      </c>
      <c r="C35" s="339">
        <v>7.6</v>
      </c>
      <c r="D35" s="339">
        <v>4.7</v>
      </c>
      <c r="E35" s="339">
        <v>0</v>
      </c>
      <c r="F35" s="339">
        <f t="shared" si="0"/>
        <v>10.3</v>
      </c>
      <c r="G35" s="339">
        <v>2</v>
      </c>
      <c r="H35" s="340">
        <f t="shared" si="1"/>
        <v>7.6</v>
      </c>
      <c r="I35" s="337" t="s">
        <v>1301</v>
      </c>
    </row>
    <row r="36" spans="1:13" s="328" customFormat="1" ht="22.5" customHeight="1" x14ac:dyDescent="0.3">
      <c r="A36" s="338">
        <v>775</v>
      </c>
      <c r="B36" s="339">
        <v>6</v>
      </c>
      <c r="C36" s="339">
        <v>7.6</v>
      </c>
      <c r="D36" s="339">
        <v>4.8</v>
      </c>
      <c r="E36" s="339">
        <v>0</v>
      </c>
      <c r="F36" s="339">
        <f t="shared" si="0"/>
        <v>6</v>
      </c>
      <c r="G36" s="339">
        <v>2</v>
      </c>
      <c r="H36" s="340">
        <f t="shared" si="1"/>
        <v>7.6</v>
      </c>
      <c r="I36" s="342"/>
      <c r="M36" s="328" t="s">
        <v>745</v>
      </c>
    </row>
    <row r="37" spans="1:13" s="328" customFormat="1" ht="22.5" customHeight="1" x14ac:dyDescent="0.3">
      <c r="A37" s="338">
        <v>800</v>
      </c>
      <c r="B37" s="339">
        <v>7.4</v>
      </c>
      <c r="C37" s="339">
        <v>7.65</v>
      </c>
      <c r="D37" s="339">
        <v>4.7</v>
      </c>
      <c r="E37" s="339">
        <v>0</v>
      </c>
      <c r="F37" s="339">
        <f t="shared" si="0"/>
        <v>7.4</v>
      </c>
      <c r="G37" s="339">
        <v>2</v>
      </c>
      <c r="H37" s="340">
        <f t="shared" si="1"/>
        <v>7.65</v>
      </c>
      <c r="I37" s="342"/>
    </row>
    <row r="38" spans="1:13" s="328" customFormat="1" ht="22.5" customHeight="1" x14ac:dyDescent="0.3">
      <c r="A38" s="338">
        <v>825</v>
      </c>
      <c r="B38" s="339">
        <v>9.9499999999999993</v>
      </c>
      <c r="C38" s="339">
        <v>7.7</v>
      </c>
      <c r="D38" s="339">
        <v>4.7</v>
      </c>
      <c r="E38" s="339">
        <v>0</v>
      </c>
      <c r="F38" s="339">
        <f t="shared" si="0"/>
        <v>9.9499999999999993</v>
      </c>
      <c r="G38" s="339">
        <v>2</v>
      </c>
      <c r="H38" s="340">
        <f t="shared" si="1"/>
        <v>7.7</v>
      </c>
      <c r="I38" s="342"/>
    </row>
    <row r="39" spans="1:13" s="328" customFormat="1" ht="22.5" customHeight="1" x14ac:dyDescent="0.3">
      <c r="A39" s="338">
        <v>850</v>
      </c>
      <c r="B39" s="339">
        <v>9.1999999999999993</v>
      </c>
      <c r="C39" s="339">
        <v>7.75</v>
      </c>
      <c r="D39" s="339">
        <v>4.7</v>
      </c>
      <c r="E39" s="339">
        <v>0</v>
      </c>
      <c r="F39" s="339">
        <f t="shared" si="0"/>
        <v>9.1999999999999993</v>
      </c>
      <c r="G39" s="339">
        <v>2</v>
      </c>
      <c r="H39" s="340">
        <f t="shared" si="1"/>
        <v>7.75</v>
      </c>
      <c r="I39" s="342"/>
    </row>
    <row r="40" spans="1:13" s="328" customFormat="1" ht="22.5" customHeight="1" x14ac:dyDescent="0.3">
      <c r="A40" s="338">
        <v>875</v>
      </c>
      <c r="B40" s="339">
        <v>9.3000000000000007</v>
      </c>
      <c r="C40" s="339">
        <v>7.65</v>
      </c>
      <c r="D40" s="339">
        <v>4.7</v>
      </c>
      <c r="E40" s="339">
        <v>0</v>
      </c>
      <c r="F40" s="339">
        <f t="shared" si="0"/>
        <v>9.3000000000000007</v>
      </c>
      <c r="G40" s="339">
        <v>2</v>
      </c>
      <c r="H40" s="340">
        <f t="shared" si="1"/>
        <v>7.65</v>
      </c>
      <c r="I40" s="342"/>
    </row>
    <row r="41" spans="1:13" s="328" customFormat="1" ht="22.5" customHeight="1" x14ac:dyDescent="0.3">
      <c r="A41" s="338">
        <v>900</v>
      </c>
      <c r="B41" s="339">
        <v>9</v>
      </c>
      <c r="C41" s="339">
        <v>7.5</v>
      </c>
      <c r="D41" s="339">
        <v>4.7</v>
      </c>
      <c r="E41" s="339">
        <v>0</v>
      </c>
      <c r="F41" s="339">
        <f t="shared" si="0"/>
        <v>9</v>
      </c>
      <c r="G41" s="339">
        <v>2</v>
      </c>
      <c r="H41" s="340">
        <f t="shared" si="1"/>
        <v>7.5</v>
      </c>
      <c r="I41" s="342"/>
    </row>
    <row r="42" spans="1:13" s="328" customFormat="1" ht="22.5" customHeight="1" x14ac:dyDescent="0.3">
      <c r="A42" s="338">
        <v>925</v>
      </c>
      <c r="B42" s="339">
        <v>9.8000000000000007</v>
      </c>
      <c r="C42" s="339">
        <v>7.8</v>
      </c>
      <c r="D42" s="339">
        <v>4.7</v>
      </c>
      <c r="E42" s="339">
        <v>0</v>
      </c>
      <c r="F42" s="339">
        <f t="shared" si="0"/>
        <v>9.8000000000000007</v>
      </c>
      <c r="G42" s="339">
        <v>2</v>
      </c>
      <c r="H42" s="340">
        <f t="shared" si="1"/>
        <v>7.8</v>
      </c>
      <c r="I42" s="342"/>
    </row>
    <row r="43" spans="1:13" s="328" customFormat="1" ht="22.5" customHeight="1" x14ac:dyDescent="0.3">
      <c r="A43" s="338">
        <v>950</v>
      </c>
      <c r="B43" s="339">
        <v>6.2</v>
      </c>
      <c r="C43" s="339">
        <v>7.7</v>
      </c>
      <c r="D43" s="339">
        <v>4.7</v>
      </c>
      <c r="E43" s="339">
        <v>0</v>
      </c>
      <c r="F43" s="339">
        <f t="shared" si="0"/>
        <v>6.2</v>
      </c>
      <c r="G43" s="339">
        <v>2</v>
      </c>
      <c r="H43" s="340">
        <f t="shared" si="1"/>
        <v>7.7</v>
      </c>
      <c r="I43" s="343" t="s">
        <v>1322</v>
      </c>
    </row>
    <row r="44" spans="1:13" ht="22.5" customHeight="1" x14ac:dyDescent="0.3">
      <c r="A44" s="77">
        <v>975</v>
      </c>
      <c r="B44" s="78">
        <v>7.3</v>
      </c>
      <c r="C44" s="78">
        <v>7.75</v>
      </c>
      <c r="D44" s="321">
        <v>4.7</v>
      </c>
      <c r="E44" s="285">
        <v>3</v>
      </c>
      <c r="F44" s="279">
        <f t="shared" si="0"/>
        <v>4.3</v>
      </c>
      <c r="G44" s="285">
        <v>2</v>
      </c>
      <c r="H44" s="286">
        <f t="shared" si="1"/>
        <v>10.75</v>
      </c>
      <c r="I44" s="88"/>
    </row>
    <row r="45" spans="1:13" ht="22.5" customHeight="1" x14ac:dyDescent="0.3">
      <c r="A45" s="77">
        <v>1000</v>
      </c>
      <c r="B45" s="78">
        <v>5.6</v>
      </c>
      <c r="C45" s="78">
        <v>7.6</v>
      </c>
      <c r="D45" s="321">
        <v>4.7</v>
      </c>
      <c r="E45" s="285">
        <v>3</v>
      </c>
      <c r="F45" s="279">
        <f t="shared" si="0"/>
        <v>2.5999999999999996</v>
      </c>
      <c r="G45" s="285">
        <v>2</v>
      </c>
      <c r="H45" s="286">
        <f t="shared" si="1"/>
        <v>10.6</v>
      </c>
      <c r="I45" s="88"/>
    </row>
    <row r="46" spans="1:13" ht="22.5" customHeight="1" x14ac:dyDescent="0.3">
      <c r="A46" s="77">
        <v>1025</v>
      </c>
      <c r="B46" s="78">
        <v>4.55</v>
      </c>
      <c r="C46" s="78">
        <v>7.5</v>
      </c>
      <c r="D46" s="321">
        <v>4.7</v>
      </c>
      <c r="E46" s="285">
        <v>3</v>
      </c>
      <c r="F46" s="279">
        <f t="shared" si="0"/>
        <v>1.5499999999999998</v>
      </c>
      <c r="G46" s="285">
        <v>2</v>
      </c>
      <c r="H46" s="286">
        <f t="shared" si="1"/>
        <v>10.5</v>
      </c>
      <c r="I46" s="88"/>
    </row>
    <row r="47" spans="1:13" ht="22.5" customHeight="1" x14ac:dyDescent="0.3">
      <c r="A47" s="77">
        <v>1050</v>
      </c>
      <c r="B47" s="78">
        <v>8.3000000000000007</v>
      </c>
      <c r="C47" s="78">
        <v>7.7</v>
      </c>
      <c r="D47" s="321">
        <v>4.7</v>
      </c>
      <c r="E47" s="285">
        <v>3</v>
      </c>
      <c r="F47" s="279">
        <f t="shared" si="0"/>
        <v>5.3000000000000007</v>
      </c>
      <c r="G47" s="285">
        <v>2</v>
      </c>
      <c r="H47" s="286">
        <f t="shared" si="1"/>
        <v>10.7</v>
      </c>
      <c r="I47" s="88"/>
    </row>
    <row r="48" spans="1:13" s="273" customFormat="1" ht="22.5" customHeight="1" x14ac:dyDescent="0.3">
      <c r="A48" s="293">
        <v>1075</v>
      </c>
      <c r="B48" s="294">
        <v>3.5</v>
      </c>
      <c r="C48" s="294">
        <v>7.75</v>
      </c>
      <c r="D48" s="321">
        <v>4.7</v>
      </c>
      <c r="E48" s="285">
        <v>3</v>
      </c>
      <c r="F48" s="279">
        <f t="shared" si="0"/>
        <v>0.5</v>
      </c>
      <c r="G48" s="285">
        <f>F48</f>
        <v>0.5</v>
      </c>
      <c r="H48" s="286">
        <f t="shared" si="1"/>
        <v>10.75</v>
      </c>
      <c r="I48" s="272" t="s">
        <v>1303</v>
      </c>
    </row>
    <row r="49" spans="1:9" s="273" customFormat="1" ht="22.5" customHeight="1" x14ac:dyDescent="0.3">
      <c r="A49" s="293">
        <v>1100</v>
      </c>
      <c r="B49" s="294">
        <v>3.5</v>
      </c>
      <c r="C49" s="294">
        <v>7.75</v>
      </c>
      <c r="D49" s="321">
        <v>4.8</v>
      </c>
      <c r="E49" s="285">
        <v>3</v>
      </c>
      <c r="F49" s="279">
        <f t="shared" si="0"/>
        <v>0.5</v>
      </c>
      <c r="G49" s="285">
        <f>F49</f>
        <v>0.5</v>
      </c>
      <c r="H49" s="286">
        <f t="shared" si="1"/>
        <v>10.75</v>
      </c>
      <c r="I49" s="304" t="s">
        <v>1302</v>
      </c>
    </row>
    <row r="50" spans="1:9" ht="22.5" customHeight="1" x14ac:dyDescent="0.3">
      <c r="A50" s="77">
        <v>1125</v>
      </c>
      <c r="B50" s="78">
        <v>4</v>
      </c>
      <c r="C50" s="78">
        <v>7.95</v>
      </c>
      <c r="D50" s="321">
        <v>4.4000000000000004</v>
      </c>
      <c r="E50" s="285">
        <v>3</v>
      </c>
      <c r="F50" s="279">
        <f t="shared" si="0"/>
        <v>1</v>
      </c>
      <c r="G50" s="285">
        <v>1.5</v>
      </c>
      <c r="H50" s="286">
        <f t="shared" si="1"/>
        <v>10.95</v>
      </c>
      <c r="I50" s="88"/>
    </row>
    <row r="51" spans="1:9" ht="22.5" customHeight="1" x14ac:dyDescent="0.3">
      <c r="A51" s="77">
        <v>1150</v>
      </c>
      <c r="B51" s="78">
        <v>5.3</v>
      </c>
      <c r="C51" s="78">
        <v>7.5</v>
      </c>
      <c r="D51" s="321">
        <v>4.5999999999999996</v>
      </c>
      <c r="E51" s="285">
        <v>3</v>
      </c>
      <c r="F51" s="279">
        <f t="shared" si="0"/>
        <v>2.2999999999999998</v>
      </c>
      <c r="G51" s="285">
        <v>2</v>
      </c>
      <c r="H51" s="286">
        <f t="shared" si="1"/>
        <v>10.5</v>
      </c>
      <c r="I51" s="88"/>
    </row>
    <row r="52" spans="1:9" ht="22.5" customHeight="1" x14ac:dyDescent="0.3">
      <c r="A52" s="77">
        <v>1175</v>
      </c>
      <c r="B52" s="78">
        <v>4.7</v>
      </c>
      <c r="C52" s="78">
        <v>7.7</v>
      </c>
      <c r="D52" s="321">
        <v>4.7</v>
      </c>
      <c r="E52" s="285">
        <v>3</v>
      </c>
      <c r="F52" s="279">
        <f t="shared" si="0"/>
        <v>1.7000000000000002</v>
      </c>
      <c r="G52" s="285">
        <v>2</v>
      </c>
      <c r="H52" s="286">
        <f t="shared" si="1"/>
        <v>10.7</v>
      </c>
      <c r="I52" s="88"/>
    </row>
    <row r="53" spans="1:9" s="273" customFormat="1" ht="22.5" customHeight="1" x14ac:dyDescent="0.3">
      <c r="A53" s="295">
        <v>1200</v>
      </c>
      <c r="B53" s="296">
        <v>3.4</v>
      </c>
      <c r="C53" s="296">
        <v>7.6</v>
      </c>
      <c r="D53" s="321">
        <v>4.9000000000000004</v>
      </c>
      <c r="E53" s="285">
        <v>3</v>
      </c>
      <c r="F53" s="279">
        <f t="shared" si="0"/>
        <v>0.39999999999999991</v>
      </c>
      <c r="G53" s="285">
        <f>F53</f>
        <v>0.39999999999999991</v>
      </c>
      <c r="H53" s="286">
        <f t="shared" si="1"/>
        <v>10.6</v>
      </c>
      <c r="I53" s="304" t="s">
        <v>1295</v>
      </c>
    </row>
    <row r="54" spans="1:9" s="345" customFormat="1" ht="22.5" customHeight="1" x14ac:dyDescent="0.3">
      <c r="A54" s="338">
        <v>1225</v>
      </c>
      <c r="B54" s="339">
        <v>3.75</v>
      </c>
      <c r="C54" s="339">
        <v>7.7</v>
      </c>
      <c r="D54" s="339">
        <v>4.7</v>
      </c>
      <c r="E54" s="339">
        <v>0</v>
      </c>
      <c r="F54" s="339">
        <f t="shared" si="0"/>
        <v>3.75</v>
      </c>
      <c r="G54" s="339">
        <f t="shared" ref="G54:G64" si="4">F54</f>
        <v>3.75</v>
      </c>
      <c r="H54" s="340">
        <f t="shared" si="1"/>
        <v>7.7</v>
      </c>
      <c r="I54" s="344" t="s">
        <v>1296</v>
      </c>
    </row>
    <row r="55" spans="1:9" s="345" customFormat="1" ht="22.5" customHeight="1" x14ac:dyDescent="0.3">
      <c r="A55" s="338">
        <v>1250</v>
      </c>
      <c r="B55" s="339">
        <v>3.2</v>
      </c>
      <c r="C55" s="339">
        <v>7.8</v>
      </c>
      <c r="D55" s="339">
        <v>4.4000000000000004</v>
      </c>
      <c r="E55" s="339">
        <v>0</v>
      </c>
      <c r="F55" s="339">
        <f t="shared" si="0"/>
        <v>3.2</v>
      </c>
      <c r="G55" s="339">
        <f t="shared" si="4"/>
        <v>3.2</v>
      </c>
      <c r="H55" s="340">
        <f t="shared" si="1"/>
        <v>7.8</v>
      </c>
      <c r="I55" s="344" t="s">
        <v>1296</v>
      </c>
    </row>
    <row r="56" spans="1:9" s="345" customFormat="1" ht="22.5" customHeight="1" x14ac:dyDescent="0.3">
      <c r="A56" s="338">
        <v>1275</v>
      </c>
      <c r="B56" s="339">
        <v>2.4</v>
      </c>
      <c r="C56" s="339">
        <v>9.0500000000000007</v>
      </c>
      <c r="D56" s="339">
        <v>3.3</v>
      </c>
      <c r="E56" s="339">
        <v>0</v>
      </c>
      <c r="F56" s="339">
        <f t="shared" si="0"/>
        <v>2.4</v>
      </c>
      <c r="G56" s="339">
        <f t="shared" si="4"/>
        <v>2.4</v>
      </c>
      <c r="H56" s="340">
        <f t="shared" si="1"/>
        <v>9.0500000000000007</v>
      </c>
      <c r="I56" s="344" t="s">
        <v>1296</v>
      </c>
    </row>
    <row r="57" spans="1:9" s="345" customFormat="1" ht="22.5" customHeight="1" x14ac:dyDescent="0.3">
      <c r="A57" s="338">
        <v>1300</v>
      </c>
      <c r="B57" s="339">
        <v>2.2999999999999998</v>
      </c>
      <c r="C57" s="339">
        <v>10.130000000000001</v>
      </c>
      <c r="D57" s="339">
        <v>2.2999999999999998</v>
      </c>
      <c r="E57" s="339">
        <v>0</v>
      </c>
      <c r="F57" s="339">
        <f t="shared" si="0"/>
        <v>2.2999999999999998</v>
      </c>
      <c r="G57" s="339">
        <f t="shared" si="4"/>
        <v>2.2999999999999998</v>
      </c>
      <c r="H57" s="340">
        <f t="shared" si="1"/>
        <v>10.130000000000001</v>
      </c>
      <c r="I57" s="344" t="s">
        <v>1296</v>
      </c>
    </row>
    <row r="58" spans="1:9" s="345" customFormat="1" ht="22.5" customHeight="1" x14ac:dyDescent="0.3">
      <c r="A58" s="338">
        <v>1325</v>
      </c>
      <c r="B58" s="339">
        <v>2.2999999999999998</v>
      </c>
      <c r="C58" s="339">
        <v>10.8</v>
      </c>
      <c r="D58" s="339">
        <v>2.5</v>
      </c>
      <c r="E58" s="339">
        <v>0</v>
      </c>
      <c r="F58" s="339">
        <f t="shared" si="0"/>
        <v>2.2999999999999998</v>
      </c>
      <c r="G58" s="339">
        <f t="shared" si="4"/>
        <v>2.2999999999999998</v>
      </c>
      <c r="H58" s="340">
        <f t="shared" si="1"/>
        <v>10.8</v>
      </c>
      <c r="I58" s="346" t="s">
        <v>1323</v>
      </c>
    </row>
    <row r="59" spans="1:9" s="345" customFormat="1" ht="22.5" customHeight="1" x14ac:dyDescent="0.3">
      <c r="A59" s="338">
        <v>1350</v>
      </c>
      <c r="B59" s="339">
        <v>2.2000000000000002</v>
      </c>
      <c r="C59" s="339">
        <v>11.3</v>
      </c>
      <c r="D59" s="339">
        <v>0</v>
      </c>
      <c r="E59" s="339">
        <v>0</v>
      </c>
      <c r="F59" s="339">
        <f t="shared" si="0"/>
        <v>2.2000000000000002</v>
      </c>
      <c r="G59" s="339">
        <f t="shared" si="4"/>
        <v>2.2000000000000002</v>
      </c>
      <c r="H59" s="340">
        <f t="shared" si="1"/>
        <v>11.3</v>
      </c>
      <c r="I59" s="346" t="s">
        <v>1324</v>
      </c>
    </row>
    <row r="60" spans="1:9" s="345" customFormat="1" ht="22.5" customHeight="1" x14ac:dyDescent="0.3">
      <c r="A60" s="338">
        <v>1375</v>
      </c>
      <c r="B60" s="339">
        <v>2</v>
      </c>
      <c r="C60" s="339">
        <v>9.5</v>
      </c>
      <c r="D60" s="339">
        <v>1.2</v>
      </c>
      <c r="E60" s="339">
        <v>0</v>
      </c>
      <c r="F60" s="339">
        <f t="shared" si="0"/>
        <v>2</v>
      </c>
      <c r="G60" s="339">
        <f t="shared" si="4"/>
        <v>2</v>
      </c>
      <c r="H60" s="340">
        <f t="shared" si="1"/>
        <v>9.5</v>
      </c>
      <c r="I60" s="344" t="s">
        <v>1296</v>
      </c>
    </row>
    <row r="61" spans="1:9" s="345" customFormat="1" ht="22.5" customHeight="1" x14ac:dyDescent="0.3">
      <c r="A61" s="338">
        <v>1400</v>
      </c>
      <c r="B61" s="339">
        <v>3.2</v>
      </c>
      <c r="C61" s="339">
        <v>9.6</v>
      </c>
      <c r="D61" s="339">
        <v>1.2</v>
      </c>
      <c r="E61" s="339">
        <v>0</v>
      </c>
      <c r="F61" s="339">
        <f t="shared" si="0"/>
        <v>3.2</v>
      </c>
      <c r="G61" s="339">
        <f t="shared" si="4"/>
        <v>3.2</v>
      </c>
      <c r="H61" s="340">
        <f t="shared" si="1"/>
        <v>9.6</v>
      </c>
      <c r="I61" s="344" t="s">
        <v>1296</v>
      </c>
    </row>
    <row r="62" spans="1:9" s="345" customFormat="1" ht="22.5" customHeight="1" x14ac:dyDescent="0.3">
      <c r="A62" s="338">
        <v>1425</v>
      </c>
      <c r="B62" s="339">
        <v>3.6</v>
      </c>
      <c r="C62" s="339">
        <v>8</v>
      </c>
      <c r="D62" s="339">
        <v>3</v>
      </c>
      <c r="E62" s="339">
        <v>0</v>
      </c>
      <c r="F62" s="339">
        <f t="shared" si="0"/>
        <v>3.6</v>
      </c>
      <c r="G62" s="339">
        <f t="shared" si="4"/>
        <v>3.6</v>
      </c>
      <c r="H62" s="340">
        <f t="shared" si="1"/>
        <v>8</v>
      </c>
      <c r="I62" s="344" t="s">
        <v>1296</v>
      </c>
    </row>
    <row r="63" spans="1:9" s="345" customFormat="1" ht="22.5" customHeight="1" x14ac:dyDescent="0.3">
      <c r="A63" s="347">
        <v>1450</v>
      </c>
      <c r="B63" s="340">
        <v>4.6500000000000004</v>
      </c>
      <c r="C63" s="340">
        <v>7.8</v>
      </c>
      <c r="D63" s="340">
        <v>3.5</v>
      </c>
      <c r="E63" s="339">
        <v>0</v>
      </c>
      <c r="F63" s="340">
        <f t="shared" si="0"/>
        <v>4.6500000000000004</v>
      </c>
      <c r="G63" s="340">
        <f t="shared" si="4"/>
        <v>4.6500000000000004</v>
      </c>
      <c r="H63" s="340">
        <f t="shared" si="1"/>
        <v>7.8</v>
      </c>
      <c r="I63" s="348" t="s">
        <v>1296</v>
      </c>
    </row>
    <row r="64" spans="1:9" s="345" customFormat="1" ht="22.5" customHeight="1" x14ac:dyDescent="0.3">
      <c r="A64" s="347">
        <v>1465</v>
      </c>
      <c r="B64" s="340">
        <v>3</v>
      </c>
      <c r="C64" s="340">
        <v>7.8</v>
      </c>
      <c r="D64" s="340">
        <v>3.5</v>
      </c>
      <c r="E64" s="339">
        <v>0</v>
      </c>
      <c r="F64" s="340">
        <f t="shared" ref="F64" si="5">B64-E64</f>
        <v>3</v>
      </c>
      <c r="G64" s="340">
        <f t="shared" si="4"/>
        <v>3</v>
      </c>
      <c r="H64" s="340">
        <f t="shared" ref="H64" si="6">C64+E64</f>
        <v>7.8</v>
      </c>
      <c r="I64" s="349" t="s">
        <v>1292</v>
      </c>
    </row>
    <row r="65" spans="1:9" ht="22.5" customHeight="1" x14ac:dyDescent="0.3">
      <c r="A65" s="77"/>
      <c r="B65" s="279"/>
      <c r="C65" s="279"/>
      <c r="D65" s="279"/>
      <c r="E65" s="285"/>
      <c r="F65" s="279"/>
      <c r="G65" s="285"/>
      <c r="H65" s="285"/>
      <c r="I65" s="79"/>
    </row>
    <row r="66" spans="1:9" ht="22.5" customHeight="1" x14ac:dyDescent="0.3">
      <c r="A66" s="77"/>
      <c r="B66" s="279"/>
      <c r="C66" s="279"/>
      <c r="D66" s="279"/>
      <c r="E66" s="285"/>
      <c r="F66" s="279"/>
      <c r="G66" s="285"/>
      <c r="H66" s="285"/>
      <c r="I66" s="79"/>
    </row>
    <row r="67" spans="1:9" ht="22.5" customHeight="1" x14ac:dyDescent="0.3">
      <c r="A67" s="77"/>
      <c r="B67" s="279"/>
      <c r="C67" s="279"/>
      <c r="D67" s="279"/>
      <c r="E67" s="285"/>
      <c r="F67" s="279"/>
      <c r="G67" s="285"/>
      <c r="H67" s="285"/>
      <c r="I67" s="79"/>
    </row>
    <row r="68" spans="1:9" ht="22.5" customHeight="1" x14ac:dyDescent="0.3">
      <c r="A68" s="77"/>
      <c r="B68" s="279"/>
      <c r="C68" s="279"/>
      <c r="D68" s="279"/>
      <c r="E68" s="285"/>
      <c r="F68" s="279"/>
      <c r="G68" s="285"/>
      <c r="H68" s="285"/>
      <c r="I68" s="79"/>
    </row>
    <row r="69" spans="1:9" ht="22.5" customHeight="1" x14ac:dyDescent="0.3">
      <c r="A69" s="77"/>
      <c r="B69" s="279"/>
      <c r="C69" s="279"/>
      <c r="D69" s="279"/>
      <c r="E69" s="285"/>
      <c r="F69" s="279"/>
      <c r="G69" s="285"/>
      <c r="H69" s="285"/>
      <c r="I69" s="79"/>
    </row>
    <row r="70" spans="1:9" s="273" customFormat="1" ht="22.5" customHeight="1" x14ac:dyDescent="0.3">
      <c r="A70" s="297" t="s">
        <v>1292</v>
      </c>
      <c r="B70" s="294"/>
      <c r="C70" s="294"/>
      <c r="D70" s="297" t="s">
        <v>1292</v>
      </c>
      <c r="E70" s="285"/>
      <c r="F70" s="279"/>
      <c r="G70" s="297" t="s">
        <v>1292</v>
      </c>
      <c r="H70" s="285"/>
      <c r="I70" s="310"/>
    </row>
    <row r="71" spans="1:9" ht="22.5" customHeight="1" x14ac:dyDescent="0.3">
      <c r="A71" s="305">
        <v>1500</v>
      </c>
      <c r="B71" s="306">
        <v>1.5</v>
      </c>
      <c r="C71" s="306">
        <v>7.8</v>
      </c>
      <c r="D71" s="307">
        <v>4.5999999999999996</v>
      </c>
      <c r="E71" s="308"/>
      <c r="F71" s="307"/>
      <c r="G71" s="308"/>
      <c r="H71" s="301"/>
      <c r="I71" s="309" t="s">
        <v>362</v>
      </c>
    </row>
    <row r="72" spans="1:9" ht="22.5" customHeight="1" x14ac:dyDescent="0.3">
      <c r="A72" s="77">
        <v>1525</v>
      </c>
      <c r="B72" s="78">
        <v>2.4</v>
      </c>
      <c r="C72" s="78">
        <v>7.85</v>
      </c>
      <c r="D72" s="279">
        <v>4.5999999999999996</v>
      </c>
      <c r="E72" s="285"/>
      <c r="F72" s="279"/>
      <c r="G72" s="285"/>
      <c r="H72" s="301"/>
      <c r="I72" s="88"/>
    </row>
    <row r="73" spans="1:9" ht="22.5" customHeight="1" x14ac:dyDescent="0.3">
      <c r="A73" s="77">
        <v>1550</v>
      </c>
      <c r="B73" s="78">
        <v>2.8</v>
      </c>
      <c r="C73" s="78">
        <v>7.7</v>
      </c>
      <c r="D73" s="279">
        <v>4.9000000000000004</v>
      </c>
      <c r="E73" s="285"/>
      <c r="F73" s="279"/>
      <c r="G73" s="285"/>
      <c r="H73" s="301"/>
      <c r="I73" s="88"/>
    </row>
    <row r="74" spans="1:9" ht="22.5" customHeight="1" x14ac:dyDescent="0.3">
      <c r="A74" s="77">
        <v>1575</v>
      </c>
      <c r="B74" s="78">
        <v>2.7</v>
      </c>
      <c r="C74" s="78">
        <v>7.7</v>
      </c>
      <c r="D74" s="279">
        <v>4.7</v>
      </c>
      <c r="E74" s="285"/>
      <c r="F74" s="279"/>
      <c r="G74" s="285"/>
      <c r="H74" s="301"/>
      <c r="I74" s="88"/>
    </row>
    <row r="75" spans="1:9" ht="22.5" customHeight="1" x14ac:dyDescent="0.3">
      <c r="A75" s="77">
        <v>1600</v>
      </c>
      <c r="B75" s="78">
        <v>3.7</v>
      </c>
      <c r="C75" s="78">
        <v>7.75</v>
      </c>
      <c r="D75" s="279">
        <v>4.7</v>
      </c>
      <c r="E75" s="285"/>
      <c r="F75" s="279"/>
      <c r="G75" s="285"/>
      <c r="H75" s="301"/>
      <c r="I75" s="88"/>
    </row>
    <row r="76" spans="1:9" ht="22.5" customHeight="1" x14ac:dyDescent="0.3">
      <c r="A76" s="77">
        <v>1625</v>
      </c>
      <c r="B76" s="78">
        <v>3.5</v>
      </c>
      <c r="C76" s="78">
        <v>7.75</v>
      </c>
      <c r="D76" s="279">
        <v>4.7</v>
      </c>
      <c r="E76" s="285"/>
      <c r="F76" s="279"/>
      <c r="G76" s="285"/>
      <c r="H76" s="301"/>
      <c r="I76" s="88"/>
    </row>
    <row r="77" spans="1:9" ht="22.5" customHeight="1" x14ac:dyDescent="0.3">
      <c r="A77" s="77">
        <v>1650</v>
      </c>
      <c r="B77" s="78">
        <v>3.4</v>
      </c>
      <c r="C77" s="78">
        <v>7.75</v>
      </c>
      <c r="D77" s="279">
        <v>4.7</v>
      </c>
      <c r="E77" s="285"/>
      <c r="F77" s="279"/>
      <c r="G77" s="285"/>
      <c r="H77" s="301"/>
      <c r="I77" s="88"/>
    </row>
    <row r="78" spans="1:9" ht="22.5" customHeight="1" x14ac:dyDescent="0.3">
      <c r="A78" s="77">
        <v>1675</v>
      </c>
      <c r="B78" s="78">
        <v>4</v>
      </c>
      <c r="C78" s="78">
        <v>7.7</v>
      </c>
      <c r="D78" s="279">
        <v>4.7</v>
      </c>
      <c r="E78" s="285"/>
      <c r="F78" s="279"/>
      <c r="G78" s="285"/>
      <c r="H78" s="301"/>
      <c r="I78" s="88" t="s">
        <v>363</v>
      </c>
    </row>
    <row r="79" spans="1:9" ht="22.5" customHeight="1" x14ac:dyDescent="0.3">
      <c r="A79" s="289">
        <v>1700</v>
      </c>
      <c r="B79" s="290">
        <v>3.2</v>
      </c>
      <c r="C79" s="290">
        <v>7.5</v>
      </c>
      <c r="D79" s="291">
        <v>4.7</v>
      </c>
      <c r="E79" s="292"/>
      <c r="F79" s="291"/>
      <c r="G79" s="292"/>
      <c r="H79" s="292"/>
      <c r="I79" s="88" t="s">
        <v>364</v>
      </c>
    </row>
    <row r="80" spans="1:9" ht="22.5" customHeight="1" x14ac:dyDescent="0.3">
      <c r="A80" s="85">
        <v>1725</v>
      </c>
      <c r="B80" s="86">
        <v>4.4000000000000004</v>
      </c>
      <c r="C80" s="86">
        <v>7.7</v>
      </c>
      <c r="D80" s="280">
        <v>4.5999999999999996</v>
      </c>
      <c r="E80" s="281"/>
      <c r="F80" s="280"/>
      <c r="G80" s="281"/>
      <c r="H80" s="281"/>
      <c r="I80" s="88"/>
    </row>
    <row r="81" spans="1:9" ht="22.5" customHeight="1" x14ac:dyDescent="0.3">
      <c r="A81" s="85">
        <v>1750</v>
      </c>
      <c r="B81" s="86">
        <v>3.3</v>
      </c>
      <c r="C81" s="86">
        <v>7.75</v>
      </c>
      <c r="D81" s="280">
        <v>4.5999999999999996</v>
      </c>
      <c r="E81" s="281"/>
      <c r="F81" s="280"/>
      <c r="G81" s="281"/>
      <c r="H81" s="281"/>
      <c r="I81" s="88"/>
    </row>
    <row r="82" spans="1:9" ht="22.5" customHeight="1" x14ac:dyDescent="0.3">
      <c r="A82" s="85">
        <v>1775</v>
      </c>
      <c r="B82" s="86">
        <v>3.8</v>
      </c>
      <c r="C82" s="86">
        <v>7.7</v>
      </c>
      <c r="D82" s="280">
        <v>4.8</v>
      </c>
      <c r="E82" s="281"/>
      <c r="F82" s="280"/>
      <c r="G82" s="281"/>
      <c r="H82" s="281"/>
      <c r="I82" s="88"/>
    </row>
    <row r="83" spans="1:9" ht="22.5" customHeight="1" x14ac:dyDescent="0.3">
      <c r="A83" s="85">
        <v>1800</v>
      </c>
      <c r="B83" s="86">
        <v>3.3</v>
      </c>
      <c r="C83" s="86">
        <v>7.75</v>
      </c>
      <c r="D83" s="280">
        <v>4.7</v>
      </c>
      <c r="E83" s="281"/>
      <c r="F83" s="280"/>
      <c r="G83" s="281"/>
      <c r="H83" s="281"/>
      <c r="I83" s="88"/>
    </row>
    <row r="84" spans="1:9" ht="22.5" customHeight="1" x14ac:dyDescent="0.3">
      <c r="A84" s="85">
        <v>1825</v>
      </c>
      <c r="B84" s="86">
        <v>3.7</v>
      </c>
      <c r="C84" s="86">
        <v>7.7</v>
      </c>
      <c r="D84" s="280">
        <v>4.7</v>
      </c>
      <c r="E84" s="281"/>
      <c r="F84" s="280"/>
      <c r="G84" s="281"/>
      <c r="H84" s="281"/>
      <c r="I84" s="88" t="s">
        <v>365</v>
      </c>
    </row>
    <row r="85" spans="1:9" ht="22.5" customHeight="1" x14ac:dyDescent="0.3">
      <c r="A85" s="85">
        <v>1850</v>
      </c>
      <c r="B85" s="86">
        <v>3.4</v>
      </c>
      <c r="C85" s="86">
        <v>7.6</v>
      </c>
      <c r="D85" s="280">
        <v>4.5999999999999996</v>
      </c>
      <c r="E85" s="281"/>
      <c r="F85" s="280"/>
      <c r="G85" s="281"/>
      <c r="H85" s="281"/>
      <c r="I85" s="88" t="s">
        <v>366</v>
      </c>
    </row>
    <row r="86" spans="1:9" ht="22.5" customHeight="1" x14ac:dyDescent="0.3">
      <c r="A86" s="85">
        <v>1875</v>
      </c>
      <c r="B86" s="86">
        <v>4.8</v>
      </c>
      <c r="C86" s="86">
        <v>7.6</v>
      </c>
      <c r="D86" s="280">
        <v>4.5999999999999996</v>
      </c>
      <c r="E86" s="281"/>
      <c r="F86" s="280"/>
      <c r="G86" s="281"/>
      <c r="H86" s="281"/>
      <c r="I86" s="88" t="s">
        <v>367</v>
      </c>
    </row>
    <row r="87" spans="1:9" ht="22.5" customHeight="1" x14ac:dyDescent="0.3">
      <c r="A87" s="85">
        <v>1900</v>
      </c>
      <c r="B87" s="86">
        <v>3.2</v>
      </c>
      <c r="C87" s="86">
        <v>7.7</v>
      </c>
      <c r="D87" s="280">
        <v>4.7</v>
      </c>
      <c r="E87" s="281"/>
      <c r="F87" s="280"/>
      <c r="G87" s="281"/>
      <c r="H87" s="281"/>
      <c r="I87" s="88" t="s">
        <v>367</v>
      </c>
    </row>
    <row r="88" spans="1:9" ht="22.5" customHeight="1" x14ac:dyDescent="0.3">
      <c r="A88" s="85">
        <v>1925</v>
      </c>
      <c r="B88" s="86">
        <v>3.4</v>
      </c>
      <c r="C88" s="86">
        <v>7.7</v>
      </c>
      <c r="D88" s="280">
        <v>4.5999999999999996</v>
      </c>
      <c r="E88" s="281"/>
      <c r="F88" s="280"/>
      <c r="G88" s="281"/>
      <c r="H88" s="281"/>
      <c r="I88" s="88" t="s">
        <v>368</v>
      </c>
    </row>
    <row r="89" spans="1:9" ht="22.5" customHeight="1" x14ac:dyDescent="0.3">
      <c r="A89" s="85">
        <v>1950</v>
      </c>
      <c r="B89" s="86">
        <v>3.9</v>
      </c>
      <c r="C89" s="86">
        <v>9.1</v>
      </c>
      <c r="D89" s="280">
        <v>3.3</v>
      </c>
      <c r="E89" s="281"/>
      <c r="F89" s="280"/>
      <c r="G89" s="281"/>
      <c r="H89" s="281"/>
      <c r="I89" s="88"/>
    </row>
    <row r="90" spans="1:9" ht="22.5" customHeight="1" x14ac:dyDescent="0.3">
      <c r="A90" s="85">
        <v>1975</v>
      </c>
      <c r="B90" s="86">
        <v>6.6</v>
      </c>
      <c r="C90" s="86">
        <v>10</v>
      </c>
      <c r="D90" s="280">
        <v>2.6</v>
      </c>
      <c r="E90" s="281"/>
      <c r="F90" s="280"/>
      <c r="G90" s="281"/>
      <c r="H90" s="281"/>
      <c r="I90" s="88"/>
    </row>
    <row r="91" spans="1:9" ht="22.5" customHeight="1" x14ac:dyDescent="0.3">
      <c r="A91" s="85">
        <v>2000</v>
      </c>
      <c r="B91" s="86">
        <v>5.9</v>
      </c>
      <c r="C91" s="86">
        <v>11.1</v>
      </c>
      <c r="D91" s="280">
        <v>1.4</v>
      </c>
      <c r="E91" s="281"/>
      <c r="F91" s="280"/>
      <c r="G91" s="281"/>
      <c r="H91" s="281"/>
      <c r="I91" s="88" t="s">
        <v>369</v>
      </c>
    </row>
    <row r="92" spans="1:9" ht="22.5" customHeight="1" x14ac:dyDescent="0.3">
      <c r="A92" s="85">
        <v>2025</v>
      </c>
      <c r="B92" s="86">
        <v>7.2</v>
      </c>
      <c r="C92" s="86">
        <v>11</v>
      </c>
      <c r="D92" s="280">
        <v>0</v>
      </c>
      <c r="E92" s="281"/>
      <c r="F92" s="280"/>
      <c r="G92" s="281"/>
      <c r="H92" s="281"/>
      <c r="I92" s="88"/>
    </row>
    <row r="93" spans="1:9" ht="22.5" customHeight="1" x14ac:dyDescent="0.3">
      <c r="A93" s="85">
        <v>2050</v>
      </c>
      <c r="B93" s="86">
        <v>3.5</v>
      </c>
      <c r="C93" s="86">
        <v>11.2</v>
      </c>
      <c r="D93" s="280">
        <v>1.4</v>
      </c>
      <c r="E93" s="281"/>
      <c r="F93" s="280"/>
      <c r="G93" s="281"/>
      <c r="H93" s="281"/>
      <c r="I93" s="88"/>
    </row>
    <row r="94" spans="1:9" ht="22.5" customHeight="1" x14ac:dyDescent="0.3">
      <c r="A94" s="85">
        <v>2075</v>
      </c>
      <c r="B94" s="86">
        <v>3.6</v>
      </c>
      <c r="C94" s="86">
        <v>11</v>
      </c>
      <c r="D94" s="280">
        <v>1.4</v>
      </c>
      <c r="E94" s="281"/>
      <c r="F94" s="280"/>
      <c r="G94" s="281"/>
      <c r="H94" s="281"/>
      <c r="I94" s="88"/>
    </row>
    <row r="95" spans="1:9" ht="22.5" customHeight="1" x14ac:dyDescent="0.3">
      <c r="A95" s="85">
        <v>2100</v>
      </c>
      <c r="B95" s="86">
        <v>4.2</v>
      </c>
      <c r="C95" s="86">
        <v>10.199999999999999</v>
      </c>
      <c r="D95" s="280">
        <v>2.6</v>
      </c>
      <c r="E95" s="281"/>
      <c r="F95" s="280"/>
      <c r="G95" s="281"/>
      <c r="H95" s="281"/>
      <c r="I95" s="88"/>
    </row>
    <row r="96" spans="1:9" ht="22.5" customHeight="1" x14ac:dyDescent="0.3">
      <c r="A96" s="85">
        <v>2125</v>
      </c>
      <c r="B96" s="86">
        <v>4.4000000000000004</v>
      </c>
      <c r="C96" s="86">
        <v>9.9</v>
      </c>
      <c r="D96" s="280">
        <v>2.7</v>
      </c>
      <c r="E96" s="281"/>
      <c r="F96" s="280"/>
      <c r="G96" s="281"/>
      <c r="H96" s="281"/>
      <c r="I96" s="88"/>
    </row>
    <row r="97" spans="1:9" ht="22.5" customHeight="1" x14ac:dyDescent="0.3">
      <c r="A97" s="85">
        <v>2150</v>
      </c>
      <c r="B97" s="86">
        <v>4</v>
      </c>
      <c r="C97" s="86">
        <v>9.35</v>
      </c>
      <c r="D97" s="280">
        <v>4.8</v>
      </c>
      <c r="E97" s="281"/>
      <c r="F97" s="280"/>
      <c r="G97" s="281"/>
      <c r="H97" s="281"/>
      <c r="I97" s="88"/>
    </row>
    <row r="98" spans="1:9" ht="22.5" customHeight="1" x14ac:dyDescent="0.3">
      <c r="A98" s="85">
        <v>2175</v>
      </c>
      <c r="B98" s="86">
        <v>5</v>
      </c>
      <c r="C98" s="86">
        <v>7.75</v>
      </c>
      <c r="D98" s="280">
        <v>4.5999999999999996</v>
      </c>
      <c r="E98" s="281"/>
      <c r="F98" s="280"/>
      <c r="G98" s="281"/>
      <c r="H98" s="281"/>
      <c r="I98" s="88"/>
    </row>
    <row r="99" spans="1:9" ht="22.5" customHeight="1" x14ac:dyDescent="0.3">
      <c r="A99" s="85">
        <v>2200</v>
      </c>
      <c r="B99" s="86">
        <v>4.9000000000000004</v>
      </c>
      <c r="C99" s="86">
        <v>7.7</v>
      </c>
      <c r="D99" s="280">
        <v>4.7</v>
      </c>
      <c r="E99" s="281"/>
      <c r="F99" s="280"/>
      <c r="G99" s="281"/>
      <c r="H99" s="281"/>
      <c r="I99" s="88"/>
    </row>
    <row r="100" spans="1:9" ht="22.5" customHeight="1" x14ac:dyDescent="0.3">
      <c r="A100" s="85">
        <v>2225</v>
      </c>
      <c r="B100" s="86">
        <v>5</v>
      </c>
      <c r="C100" s="86">
        <v>7.7</v>
      </c>
      <c r="D100" s="280">
        <v>4.7</v>
      </c>
      <c r="E100" s="281"/>
      <c r="F100" s="280"/>
      <c r="G100" s="281"/>
      <c r="H100" s="281"/>
      <c r="I100" s="88"/>
    </row>
    <row r="101" spans="1:9" ht="22.5" customHeight="1" x14ac:dyDescent="0.3">
      <c r="A101" s="94">
        <v>2247</v>
      </c>
      <c r="B101" s="95">
        <v>5</v>
      </c>
      <c r="C101" s="95">
        <v>7.6</v>
      </c>
      <c r="D101" s="282">
        <v>4.7</v>
      </c>
      <c r="E101" s="287"/>
      <c r="F101" s="282"/>
      <c r="G101" s="287"/>
      <c r="H101" s="287"/>
      <c r="I101" s="97" t="s">
        <v>370</v>
      </c>
    </row>
  </sheetData>
  <mergeCells count="1">
    <mergeCell ref="A1:I1"/>
  </mergeCells>
  <pageMargins left="0" right="0" top="0" bottom="0" header="0.31496062992125984" footer="0.31496062992125984"/>
  <pageSetup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0000"/>
  </sheetPr>
  <dimension ref="A1:I104"/>
  <sheetViews>
    <sheetView view="pageBreakPreview" topLeftCell="A34" zoomScale="96" zoomScaleNormal="100" zoomScaleSheetLayoutView="96" workbookViewId="0">
      <selection activeCell="D47" sqref="D47"/>
    </sheetView>
  </sheetViews>
  <sheetFormatPr defaultRowHeight="18.75" x14ac:dyDescent="0.3"/>
  <cols>
    <col min="1" max="1" width="12" style="90" customWidth="1"/>
    <col min="2" max="2" width="5.7109375" style="300" customWidth="1"/>
    <col min="3" max="4" width="13" style="91" customWidth="1"/>
    <col min="5" max="5" width="9.7109375" style="91" customWidth="1"/>
    <col min="6" max="6" width="12.7109375" style="80" customWidth="1"/>
    <col min="7" max="7" width="9.42578125" style="80" customWidth="1"/>
    <col min="8" max="8" width="12.7109375" style="80" customWidth="1"/>
    <col min="9" max="9" width="20.5703125" style="80" customWidth="1"/>
    <col min="10" max="10" width="7.85546875" style="80" customWidth="1"/>
    <col min="11" max="16384" width="9.140625" style="80"/>
  </cols>
  <sheetData>
    <row r="1" spans="1:9" ht="21" x14ac:dyDescent="0.45">
      <c r="A1" s="377" t="s">
        <v>1291</v>
      </c>
      <c r="B1" s="378"/>
      <c r="C1" s="378"/>
      <c r="D1" s="378"/>
      <c r="E1" s="378"/>
      <c r="F1" s="378"/>
      <c r="G1" s="378"/>
      <c r="H1" s="378"/>
      <c r="I1" s="378"/>
    </row>
    <row r="2" spans="1:9" ht="22.5" customHeight="1" x14ac:dyDescent="0.3">
      <c r="A2" s="77" t="s">
        <v>339</v>
      </c>
      <c r="B2" s="294" t="s">
        <v>342</v>
      </c>
      <c r="C2" s="313" t="s">
        <v>343</v>
      </c>
      <c r="D2" s="314" t="s">
        <v>344</v>
      </c>
      <c r="E2" s="285" t="s">
        <v>1306</v>
      </c>
      <c r="F2" s="279" t="s">
        <v>1308</v>
      </c>
      <c r="G2" s="285" t="s">
        <v>1310</v>
      </c>
      <c r="H2" s="285" t="s">
        <v>1311</v>
      </c>
      <c r="I2" s="79"/>
    </row>
    <row r="3" spans="1:9" ht="22.5" customHeight="1" x14ac:dyDescent="0.3">
      <c r="A3" s="77"/>
      <c r="B3" s="294" t="s">
        <v>1304</v>
      </c>
      <c r="C3" s="313" t="s">
        <v>1286</v>
      </c>
      <c r="D3" s="314" t="s">
        <v>1305</v>
      </c>
      <c r="E3" s="285" t="s">
        <v>1307</v>
      </c>
      <c r="F3" s="279" t="s">
        <v>1309</v>
      </c>
      <c r="G3" s="285" t="s">
        <v>1287</v>
      </c>
      <c r="H3" s="285" t="s">
        <v>30</v>
      </c>
      <c r="I3" s="284"/>
    </row>
    <row r="4" spans="1:9" ht="22.5" customHeight="1" x14ac:dyDescent="0.3">
      <c r="A4" s="77">
        <v>0</v>
      </c>
      <c r="B4" s="316">
        <v>4.4000000000000004</v>
      </c>
      <c r="C4" s="78">
        <v>10.3</v>
      </c>
      <c r="D4" s="78">
        <v>3.8</v>
      </c>
      <c r="E4" s="285">
        <v>2</v>
      </c>
      <c r="F4" s="279">
        <f>D4-E4</f>
        <v>1.7999999999999998</v>
      </c>
      <c r="G4" s="285">
        <v>1</v>
      </c>
      <c r="H4" s="286">
        <f>C4+E4</f>
        <v>12.3</v>
      </c>
      <c r="I4" s="84" t="s">
        <v>345</v>
      </c>
    </row>
    <row r="5" spans="1:9" ht="22.5" customHeight="1" x14ac:dyDescent="0.3">
      <c r="A5" s="77">
        <v>25</v>
      </c>
      <c r="B5" s="316">
        <v>4.3</v>
      </c>
      <c r="C5" s="78">
        <v>7.5</v>
      </c>
      <c r="D5" s="78">
        <v>4.0999999999999996</v>
      </c>
      <c r="E5" s="285">
        <v>3</v>
      </c>
      <c r="F5" s="279">
        <f t="shared" ref="F5:F62" si="0">D5-E5</f>
        <v>1.0999999999999996</v>
      </c>
      <c r="G5" s="285">
        <v>1</v>
      </c>
      <c r="H5" s="286">
        <f t="shared" ref="H5:H62" si="1">C5+E5</f>
        <v>10.5</v>
      </c>
      <c r="I5" s="88"/>
    </row>
    <row r="6" spans="1:9" ht="22.5" customHeight="1" x14ac:dyDescent="0.3">
      <c r="A6" s="77">
        <v>50</v>
      </c>
      <c r="B6" s="316">
        <v>4.3</v>
      </c>
      <c r="C6" s="78">
        <v>7.5</v>
      </c>
      <c r="D6" s="78">
        <v>4.0999999999999996</v>
      </c>
      <c r="E6" s="285">
        <v>3</v>
      </c>
      <c r="F6" s="279">
        <f t="shared" si="0"/>
        <v>1.0999999999999996</v>
      </c>
      <c r="G6" s="285">
        <v>1</v>
      </c>
      <c r="H6" s="286">
        <f t="shared" si="1"/>
        <v>10.5</v>
      </c>
      <c r="I6" s="88"/>
    </row>
    <row r="7" spans="1:9" ht="22.5" customHeight="1" x14ac:dyDescent="0.3">
      <c r="A7" s="77">
        <v>75</v>
      </c>
      <c r="B7" s="316">
        <v>4.3</v>
      </c>
      <c r="C7" s="78">
        <v>7.8</v>
      </c>
      <c r="D7" s="78">
        <v>5</v>
      </c>
      <c r="E7" s="285">
        <v>3</v>
      </c>
      <c r="F7" s="279">
        <f t="shared" si="0"/>
        <v>2</v>
      </c>
      <c r="G7" s="285">
        <v>2</v>
      </c>
      <c r="H7" s="286">
        <f t="shared" si="1"/>
        <v>10.8</v>
      </c>
      <c r="I7" s="88"/>
    </row>
    <row r="8" spans="1:9" ht="22.5" customHeight="1" x14ac:dyDescent="0.3">
      <c r="A8" s="77">
        <v>100</v>
      </c>
      <c r="B8" s="316">
        <v>4.3</v>
      </c>
      <c r="C8" s="78">
        <v>7.75</v>
      </c>
      <c r="D8" s="78">
        <v>5</v>
      </c>
      <c r="E8" s="285">
        <v>3</v>
      </c>
      <c r="F8" s="279">
        <f t="shared" si="0"/>
        <v>2</v>
      </c>
      <c r="G8" s="285">
        <v>2</v>
      </c>
      <c r="H8" s="286">
        <f t="shared" si="1"/>
        <v>10.75</v>
      </c>
      <c r="I8" s="88"/>
    </row>
    <row r="9" spans="1:9" ht="22.5" customHeight="1" x14ac:dyDescent="0.3">
      <c r="A9" s="77">
        <v>125</v>
      </c>
      <c r="B9" s="316">
        <v>4.9000000000000004</v>
      </c>
      <c r="C9" s="78">
        <v>7.7</v>
      </c>
      <c r="D9" s="78">
        <v>9.6999999999999993</v>
      </c>
      <c r="E9" s="285">
        <v>3</v>
      </c>
      <c r="F9" s="279">
        <f t="shared" si="0"/>
        <v>6.6999999999999993</v>
      </c>
      <c r="G9" s="285">
        <v>2</v>
      </c>
      <c r="H9" s="286">
        <f t="shared" si="1"/>
        <v>10.7</v>
      </c>
      <c r="I9" s="88"/>
    </row>
    <row r="10" spans="1:9" ht="22.5" customHeight="1" x14ac:dyDescent="0.3">
      <c r="A10" s="77">
        <v>150</v>
      </c>
      <c r="B10" s="316">
        <v>4.9000000000000004</v>
      </c>
      <c r="C10" s="78">
        <v>7.75</v>
      </c>
      <c r="D10" s="78">
        <v>9.1999999999999993</v>
      </c>
      <c r="E10" s="285">
        <v>3</v>
      </c>
      <c r="F10" s="279">
        <f t="shared" si="0"/>
        <v>6.1999999999999993</v>
      </c>
      <c r="G10" s="285">
        <v>2</v>
      </c>
      <c r="H10" s="286">
        <f t="shared" si="1"/>
        <v>10.75</v>
      </c>
      <c r="I10" s="88"/>
    </row>
    <row r="11" spans="1:9" ht="22.5" customHeight="1" x14ac:dyDescent="0.3">
      <c r="A11" s="77">
        <v>175</v>
      </c>
      <c r="B11" s="316">
        <v>4.9000000000000004</v>
      </c>
      <c r="C11" s="78">
        <v>7.8</v>
      </c>
      <c r="D11" s="78">
        <v>4.5</v>
      </c>
      <c r="E11" s="285">
        <v>3</v>
      </c>
      <c r="F11" s="279">
        <f t="shared" si="0"/>
        <v>1.5</v>
      </c>
      <c r="G11" s="285">
        <v>2</v>
      </c>
      <c r="H11" s="286">
        <f t="shared" si="1"/>
        <v>10.8</v>
      </c>
      <c r="I11" s="88"/>
    </row>
    <row r="12" spans="1:9" ht="22.5" customHeight="1" x14ac:dyDescent="0.3">
      <c r="A12" s="77">
        <v>200</v>
      </c>
      <c r="B12" s="316">
        <v>4.9000000000000004</v>
      </c>
      <c r="C12" s="78">
        <v>7.75</v>
      </c>
      <c r="D12" s="78">
        <v>5</v>
      </c>
      <c r="E12" s="285">
        <v>3</v>
      </c>
      <c r="F12" s="279">
        <f t="shared" si="0"/>
        <v>2</v>
      </c>
      <c r="G12" s="285">
        <v>2</v>
      </c>
      <c r="H12" s="286">
        <f t="shared" si="1"/>
        <v>10.75</v>
      </c>
      <c r="I12" s="88"/>
    </row>
    <row r="13" spans="1:9" ht="22.5" customHeight="1" x14ac:dyDescent="0.3">
      <c r="A13" s="77">
        <v>225</v>
      </c>
      <c r="B13" s="316">
        <v>4.9000000000000004</v>
      </c>
      <c r="C13" s="78">
        <v>7.5</v>
      </c>
      <c r="D13" s="78">
        <v>7.2</v>
      </c>
      <c r="E13" s="285">
        <v>3</v>
      </c>
      <c r="F13" s="279">
        <f t="shared" si="0"/>
        <v>4.2</v>
      </c>
      <c r="G13" s="285">
        <v>2</v>
      </c>
      <c r="H13" s="286">
        <f t="shared" si="1"/>
        <v>10.5</v>
      </c>
      <c r="I13" s="88"/>
    </row>
    <row r="14" spans="1:9" ht="22.5" customHeight="1" x14ac:dyDescent="0.3">
      <c r="A14" s="77">
        <v>250</v>
      </c>
      <c r="B14" s="316">
        <v>4.0999999999999996</v>
      </c>
      <c r="C14" s="78">
        <v>7.7</v>
      </c>
      <c r="D14" s="78">
        <v>6</v>
      </c>
      <c r="E14" s="285">
        <v>3</v>
      </c>
      <c r="F14" s="279">
        <f t="shared" si="0"/>
        <v>3</v>
      </c>
      <c r="G14" s="285">
        <v>2</v>
      </c>
      <c r="H14" s="286">
        <f t="shared" si="1"/>
        <v>10.7</v>
      </c>
      <c r="I14" s="88"/>
    </row>
    <row r="15" spans="1:9" ht="22.5" customHeight="1" x14ac:dyDescent="0.3">
      <c r="A15" s="77">
        <v>275</v>
      </c>
      <c r="B15" s="316">
        <v>2.6</v>
      </c>
      <c r="C15" s="78">
        <v>8.5</v>
      </c>
      <c r="D15" s="78">
        <v>4.5</v>
      </c>
      <c r="E15" s="285">
        <v>2</v>
      </c>
      <c r="F15" s="279">
        <f t="shared" si="0"/>
        <v>2.5</v>
      </c>
      <c r="G15" s="285">
        <v>2</v>
      </c>
      <c r="H15" s="286">
        <f t="shared" si="1"/>
        <v>10.5</v>
      </c>
      <c r="I15" s="88"/>
    </row>
    <row r="16" spans="1:9" ht="22.5" customHeight="1" x14ac:dyDescent="0.3">
      <c r="A16" s="77">
        <v>300</v>
      </c>
      <c r="B16" s="316">
        <v>1.5</v>
      </c>
      <c r="C16" s="78">
        <v>10</v>
      </c>
      <c r="D16" s="78">
        <v>3.5</v>
      </c>
      <c r="E16" s="285">
        <v>1.5</v>
      </c>
      <c r="F16" s="279">
        <f t="shared" si="0"/>
        <v>2</v>
      </c>
      <c r="G16" s="285">
        <v>1.5</v>
      </c>
      <c r="H16" s="286">
        <f t="shared" si="1"/>
        <v>11.5</v>
      </c>
      <c r="I16" s="89" t="s">
        <v>346</v>
      </c>
    </row>
    <row r="17" spans="1:9" ht="22.5" customHeight="1" x14ac:dyDescent="0.3">
      <c r="A17" s="77">
        <v>325</v>
      </c>
      <c r="B17" s="316">
        <v>1.4</v>
      </c>
      <c r="C17" s="78">
        <v>10.35</v>
      </c>
      <c r="D17" s="78">
        <v>3</v>
      </c>
      <c r="E17" s="285">
        <v>1.5</v>
      </c>
      <c r="F17" s="279">
        <f t="shared" si="0"/>
        <v>1.5</v>
      </c>
      <c r="G17" s="285">
        <v>1.5</v>
      </c>
      <c r="H17" s="286">
        <f t="shared" si="1"/>
        <v>11.85</v>
      </c>
      <c r="I17" s="88"/>
    </row>
    <row r="18" spans="1:9" ht="22.5" customHeight="1" x14ac:dyDescent="0.3">
      <c r="A18" s="77">
        <v>350</v>
      </c>
      <c r="B18" s="316">
        <v>1.4</v>
      </c>
      <c r="C18" s="78">
        <v>11.3</v>
      </c>
      <c r="D18" s="78">
        <v>4.8</v>
      </c>
      <c r="E18" s="285">
        <v>0</v>
      </c>
      <c r="F18" s="279">
        <f t="shared" si="0"/>
        <v>4.8</v>
      </c>
      <c r="G18" s="285">
        <v>1.5</v>
      </c>
      <c r="H18" s="286">
        <f t="shared" si="1"/>
        <v>11.3</v>
      </c>
      <c r="I18" s="277" t="s">
        <v>1312</v>
      </c>
    </row>
    <row r="19" spans="1:9" ht="22.5" customHeight="1" x14ac:dyDescent="0.3">
      <c r="A19" s="77">
        <v>375</v>
      </c>
      <c r="B19" s="316">
        <v>1.4</v>
      </c>
      <c r="C19" s="78">
        <v>11.2</v>
      </c>
      <c r="D19" s="78">
        <v>4.5</v>
      </c>
      <c r="E19" s="285">
        <v>0</v>
      </c>
      <c r="F19" s="279">
        <f t="shared" si="0"/>
        <v>4.5</v>
      </c>
      <c r="G19" s="285">
        <v>1.5</v>
      </c>
      <c r="H19" s="286">
        <f t="shared" si="1"/>
        <v>11.2</v>
      </c>
      <c r="I19" s="277" t="s">
        <v>1313</v>
      </c>
    </row>
    <row r="20" spans="1:9" ht="22.5" customHeight="1" x14ac:dyDescent="0.3">
      <c r="A20" s="77">
        <v>400</v>
      </c>
      <c r="B20" s="316">
        <v>1.8</v>
      </c>
      <c r="C20" s="78">
        <v>10.6</v>
      </c>
      <c r="D20" s="78">
        <v>4</v>
      </c>
      <c r="E20" s="285">
        <v>0</v>
      </c>
      <c r="F20" s="279">
        <f t="shared" si="0"/>
        <v>4</v>
      </c>
      <c r="G20" s="285">
        <v>1.5</v>
      </c>
      <c r="H20" s="286">
        <f t="shared" si="1"/>
        <v>10.6</v>
      </c>
      <c r="I20" s="277" t="s">
        <v>1314</v>
      </c>
    </row>
    <row r="21" spans="1:9" ht="22.5" customHeight="1" x14ac:dyDescent="0.3">
      <c r="A21" s="77">
        <v>425</v>
      </c>
      <c r="B21" s="316">
        <v>3.2</v>
      </c>
      <c r="C21" s="78">
        <v>12.2</v>
      </c>
      <c r="D21" s="78">
        <v>2</v>
      </c>
      <c r="E21" s="285">
        <v>0</v>
      </c>
      <c r="F21" s="279">
        <f t="shared" si="0"/>
        <v>2</v>
      </c>
      <c r="G21" s="285">
        <v>1.5</v>
      </c>
      <c r="H21" s="286">
        <f t="shared" si="1"/>
        <v>12.2</v>
      </c>
      <c r="I21" s="277" t="s">
        <v>1314</v>
      </c>
    </row>
    <row r="22" spans="1:9" ht="22.5" customHeight="1" x14ac:dyDescent="0.3">
      <c r="A22" s="77">
        <v>450</v>
      </c>
      <c r="B22" s="316">
        <v>4.5</v>
      </c>
      <c r="C22" s="78">
        <v>8</v>
      </c>
      <c r="D22" s="78">
        <v>1.2</v>
      </c>
      <c r="E22" s="285">
        <v>0</v>
      </c>
      <c r="F22" s="279">
        <f t="shared" si="0"/>
        <v>1.2</v>
      </c>
      <c r="G22" s="285">
        <v>2</v>
      </c>
      <c r="H22" s="315">
        <f t="shared" si="1"/>
        <v>8</v>
      </c>
      <c r="I22" s="277" t="s">
        <v>1314</v>
      </c>
    </row>
    <row r="23" spans="1:9" ht="22.5" customHeight="1" x14ac:dyDescent="0.3">
      <c r="A23" s="77">
        <v>475</v>
      </c>
      <c r="B23" s="316">
        <v>4.4000000000000004</v>
      </c>
      <c r="C23" s="78">
        <v>7.75</v>
      </c>
      <c r="D23" s="78">
        <v>3.4</v>
      </c>
      <c r="E23" s="285">
        <v>0</v>
      </c>
      <c r="F23" s="279">
        <f t="shared" si="0"/>
        <v>3.4</v>
      </c>
      <c r="G23" s="285">
        <v>2</v>
      </c>
      <c r="H23" s="315">
        <f t="shared" si="1"/>
        <v>7.75</v>
      </c>
      <c r="I23" s="277" t="s">
        <v>1314</v>
      </c>
    </row>
    <row r="24" spans="1:9" ht="22.5" customHeight="1" x14ac:dyDescent="0.3">
      <c r="A24" s="77">
        <v>500</v>
      </c>
      <c r="B24" s="316">
        <v>3.1</v>
      </c>
      <c r="C24" s="78">
        <v>7.5</v>
      </c>
      <c r="D24" s="78">
        <v>4.5</v>
      </c>
      <c r="E24" s="285">
        <v>0</v>
      </c>
      <c r="F24" s="279">
        <f t="shared" si="0"/>
        <v>4.5</v>
      </c>
      <c r="G24" s="285">
        <v>2</v>
      </c>
      <c r="H24" s="315">
        <f t="shared" si="1"/>
        <v>7.5</v>
      </c>
      <c r="I24" s="277" t="s">
        <v>1314</v>
      </c>
    </row>
    <row r="25" spans="1:9" ht="22.5" customHeight="1" x14ac:dyDescent="0.3">
      <c r="A25" s="77">
        <v>525</v>
      </c>
      <c r="B25" s="316">
        <v>1.9</v>
      </c>
      <c r="C25" s="78">
        <v>10.1</v>
      </c>
      <c r="D25" s="78">
        <v>2.2000000000000002</v>
      </c>
      <c r="E25" s="285">
        <v>0</v>
      </c>
      <c r="F25" s="279">
        <f t="shared" si="0"/>
        <v>2.2000000000000002</v>
      </c>
      <c r="G25" s="285">
        <v>2</v>
      </c>
      <c r="H25" s="315">
        <f t="shared" si="1"/>
        <v>10.1</v>
      </c>
      <c r="I25" s="277" t="s">
        <v>1317</v>
      </c>
    </row>
    <row r="26" spans="1:9" ht="22.5" customHeight="1" x14ac:dyDescent="0.3">
      <c r="A26" s="77">
        <v>550</v>
      </c>
      <c r="B26" s="316">
        <v>1.3</v>
      </c>
      <c r="C26" s="78">
        <v>10.1</v>
      </c>
      <c r="D26" s="78">
        <v>2.2000000000000002</v>
      </c>
      <c r="E26" s="285">
        <v>0</v>
      </c>
      <c r="F26" s="279">
        <f t="shared" si="0"/>
        <v>2.2000000000000002</v>
      </c>
      <c r="G26" s="285">
        <v>2</v>
      </c>
      <c r="H26" s="315">
        <f t="shared" si="1"/>
        <v>10.1</v>
      </c>
      <c r="I26" s="277" t="s">
        <v>1314</v>
      </c>
    </row>
    <row r="27" spans="1:9" ht="22.5" customHeight="1" x14ac:dyDescent="0.3">
      <c r="A27" s="77">
        <v>575</v>
      </c>
      <c r="B27" s="316">
        <v>1.3</v>
      </c>
      <c r="C27" s="78">
        <v>11.45</v>
      </c>
      <c r="D27" s="78">
        <v>2.8</v>
      </c>
      <c r="E27" s="285">
        <v>0</v>
      </c>
      <c r="F27" s="279">
        <f t="shared" si="0"/>
        <v>2.8</v>
      </c>
      <c r="G27" s="285">
        <v>2</v>
      </c>
      <c r="H27" s="315">
        <f t="shared" si="1"/>
        <v>11.45</v>
      </c>
      <c r="I27" s="277" t="s">
        <v>1314</v>
      </c>
    </row>
    <row r="28" spans="1:9" ht="22.5" customHeight="1" x14ac:dyDescent="0.3">
      <c r="A28" s="77">
        <v>600</v>
      </c>
      <c r="B28" s="316">
        <v>1.2</v>
      </c>
      <c r="C28" s="78">
        <v>11.25</v>
      </c>
      <c r="D28" s="78">
        <v>5</v>
      </c>
      <c r="E28" s="285">
        <v>0</v>
      </c>
      <c r="F28" s="279">
        <f t="shared" si="0"/>
        <v>5</v>
      </c>
      <c r="G28" s="285">
        <v>2</v>
      </c>
      <c r="H28" s="315">
        <f t="shared" si="1"/>
        <v>11.25</v>
      </c>
      <c r="I28" s="277" t="s">
        <v>1315</v>
      </c>
    </row>
    <row r="29" spans="1:9" ht="22.5" customHeight="1" x14ac:dyDescent="0.3">
      <c r="A29" s="77">
        <v>625</v>
      </c>
      <c r="B29" s="316">
        <v>1.9</v>
      </c>
      <c r="C29" s="78">
        <v>10.6</v>
      </c>
      <c r="D29" s="78">
        <v>5</v>
      </c>
      <c r="E29" s="285">
        <v>0</v>
      </c>
      <c r="F29" s="279">
        <f t="shared" si="0"/>
        <v>5</v>
      </c>
      <c r="G29" s="285">
        <v>2</v>
      </c>
      <c r="H29" s="315">
        <f t="shared" si="1"/>
        <v>10.6</v>
      </c>
      <c r="I29" s="277" t="s">
        <v>1316</v>
      </c>
    </row>
    <row r="30" spans="1:9" ht="22.5" customHeight="1" x14ac:dyDescent="0.3">
      <c r="A30" s="77">
        <v>650</v>
      </c>
      <c r="B30" s="316">
        <v>3.1</v>
      </c>
      <c r="C30" s="78">
        <v>9.1999999999999993</v>
      </c>
      <c r="D30" s="78">
        <v>5</v>
      </c>
      <c r="E30" s="285">
        <v>1</v>
      </c>
      <c r="F30" s="279">
        <f t="shared" si="0"/>
        <v>4</v>
      </c>
      <c r="G30" s="285">
        <v>2</v>
      </c>
      <c r="H30" s="286">
        <f t="shared" si="1"/>
        <v>10.199999999999999</v>
      </c>
      <c r="I30" s="277"/>
    </row>
    <row r="31" spans="1:9" ht="22.5" customHeight="1" x14ac:dyDescent="0.3">
      <c r="A31" s="77">
        <v>675</v>
      </c>
      <c r="B31" s="316">
        <v>4.4000000000000004</v>
      </c>
      <c r="C31" s="78">
        <v>8.0500000000000007</v>
      </c>
      <c r="D31" s="78">
        <v>5</v>
      </c>
      <c r="E31" s="285">
        <v>3</v>
      </c>
      <c r="F31" s="279">
        <f t="shared" si="0"/>
        <v>2</v>
      </c>
      <c r="G31" s="285">
        <v>2</v>
      </c>
      <c r="H31" s="286">
        <f t="shared" si="1"/>
        <v>11.05</v>
      </c>
      <c r="I31" s="302"/>
    </row>
    <row r="32" spans="1:9" ht="22.5" customHeight="1" x14ac:dyDescent="0.3">
      <c r="A32" s="77">
        <v>700</v>
      </c>
      <c r="B32" s="316">
        <v>4.7</v>
      </c>
      <c r="C32" s="78">
        <v>7.8</v>
      </c>
      <c r="D32" s="78">
        <v>5</v>
      </c>
      <c r="E32" s="285">
        <v>3</v>
      </c>
      <c r="F32" s="279">
        <f t="shared" si="0"/>
        <v>2</v>
      </c>
      <c r="G32" s="285">
        <v>2</v>
      </c>
      <c r="H32" s="286">
        <f t="shared" si="1"/>
        <v>10.8</v>
      </c>
      <c r="I32" s="302"/>
    </row>
    <row r="33" spans="1:9" ht="22.5" customHeight="1" x14ac:dyDescent="0.3">
      <c r="A33" s="77">
        <v>725</v>
      </c>
      <c r="B33" s="316">
        <v>4.8</v>
      </c>
      <c r="C33" s="78">
        <v>7.75</v>
      </c>
      <c r="D33" s="78">
        <v>5</v>
      </c>
      <c r="E33" s="285">
        <v>3</v>
      </c>
      <c r="F33" s="279">
        <f t="shared" si="0"/>
        <v>2</v>
      </c>
      <c r="G33" s="285">
        <v>2</v>
      </c>
      <c r="H33" s="286">
        <f t="shared" si="1"/>
        <v>10.75</v>
      </c>
      <c r="I33" s="302"/>
    </row>
    <row r="34" spans="1:9" ht="22.5" customHeight="1" x14ac:dyDescent="0.3">
      <c r="A34" s="77">
        <v>750</v>
      </c>
      <c r="B34" s="316">
        <v>4.7</v>
      </c>
      <c r="C34" s="78">
        <v>7.8</v>
      </c>
      <c r="D34" s="78">
        <v>5</v>
      </c>
      <c r="E34" s="285">
        <v>3</v>
      </c>
      <c r="F34" s="279">
        <f t="shared" si="0"/>
        <v>2</v>
      </c>
      <c r="G34" s="285">
        <v>2</v>
      </c>
      <c r="H34" s="286">
        <f t="shared" si="1"/>
        <v>10.8</v>
      </c>
      <c r="I34" s="302"/>
    </row>
    <row r="35" spans="1:9" ht="22.5" customHeight="1" x14ac:dyDescent="0.3">
      <c r="A35" s="77">
        <v>775</v>
      </c>
      <c r="B35" s="316">
        <v>4.8</v>
      </c>
      <c r="C35" s="78">
        <v>7.75</v>
      </c>
      <c r="D35" s="78">
        <v>5</v>
      </c>
      <c r="E35" s="285">
        <v>3</v>
      </c>
      <c r="F35" s="279">
        <f t="shared" si="0"/>
        <v>2</v>
      </c>
      <c r="G35" s="285">
        <v>2</v>
      </c>
      <c r="H35" s="286">
        <f t="shared" si="1"/>
        <v>10.75</v>
      </c>
      <c r="I35" s="302"/>
    </row>
    <row r="36" spans="1:9" ht="22.5" customHeight="1" x14ac:dyDescent="0.3">
      <c r="A36" s="77">
        <v>800</v>
      </c>
      <c r="B36" s="316">
        <v>4.7</v>
      </c>
      <c r="C36" s="78">
        <v>7.7</v>
      </c>
      <c r="D36" s="78">
        <v>5</v>
      </c>
      <c r="E36" s="285">
        <v>3</v>
      </c>
      <c r="F36" s="279">
        <f t="shared" si="0"/>
        <v>2</v>
      </c>
      <c r="G36" s="285">
        <v>2</v>
      </c>
      <c r="H36" s="286">
        <f t="shared" si="1"/>
        <v>10.7</v>
      </c>
      <c r="I36" s="88"/>
    </row>
    <row r="37" spans="1:9" ht="22.5" customHeight="1" x14ac:dyDescent="0.3">
      <c r="A37" s="77">
        <v>825</v>
      </c>
      <c r="B37" s="316">
        <v>4.7</v>
      </c>
      <c r="C37" s="78">
        <v>7.7</v>
      </c>
      <c r="D37" s="78">
        <v>5</v>
      </c>
      <c r="E37" s="285">
        <v>3</v>
      </c>
      <c r="F37" s="279">
        <f t="shared" si="0"/>
        <v>2</v>
      </c>
      <c r="G37" s="285">
        <v>2</v>
      </c>
      <c r="H37" s="286">
        <f t="shared" si="1"/>
        <v>10.7</v>
      </c>
      <c r="I37" s="88"/>
    </row>
    <row r="38" spans="1:9" ht="22.5" customHeight="1" x14ac:dyDescent="0.3">
      <c r="A38" s="77">
        <v>850</v>
      </c>
      <c r="B38" s="316">
        <v>4.7</v>
      </c>
      <c r="C38" s="78">
        <v>7.7</v>
      </c>
      <c r="D38" s="78">
        <v>5</v>
      </c>
      <c r="E38" s="285">
        <v>3</v>
      </c>
      <c r="F38" s="279">
        <f>D38-E38</f>
        <v>2</v>
      </c>
      <c r="G38" s="285">
        <v>2</v>
      </c>
      <c r="H38" s="286">
        <f t="shared" si="1"/>
        <v>10.7</v>
      </c>
      <c r="I38" s="88"/>
    </row>
    <row r="39" spans="1:9" ht="22.5" customHeight="1" x14ac:dyDescent="0.3">
      <c r="A39" s="77">
        <v>875</v>
      </c>
      <c r="B39" s="316">
        <v>4.7</v>
      </c>
      <c r="C39" s="78">
        <v>7.7</v>
      </c>
      <c r="D39" s="78">
        <v>5</v>
      </c>
      <c r="E39" s="285">
        <v>3</v>
      </c>
      <c r="F39" s="279">
        <f t="shared" si="0"/>
        <v>2</v>
      </c>
      <c r="G39" s="285">
        <v>2</v>
      </c>
      <c r="H39" s="286">
        <f t="shared" si="1"/>
        <v>10.7</v>
      </c>
      <c r="I39" s="88"/>
    </row>
    <row r="40" spans="1:9" ht="22.5" customHeight="1" x14ac:dyDescent="0.3">
      <c r="A40" s="77">
        <v>900</v>
      </c>
      <c r="B40" s="316">
        <v>4.7</v>
      </c>
      <c r="C40" s="78">
        <v>7.7</v>
      </c>
      <c r="D40" s="78">
        <v>3.5</v>
      </c>
      <c r="E40" s="285">
        <v>3</v>
      </c>
      <c r="F40" s="279">
        <f t="shared" si="0"/>
        <v>0.5</v>
      </c>
      <c r="G40" s="285">
        <v>2</v>
      </c>
      <c r="H40" s="286">
        <f t="shared" si="1"/>
        <v>10.7</v>
      </c>
      <c r="I40" s="88"/>
    </row>
    <row r="41" spans="1:9" ht="22.5" customHeight="1" x14ac:dyDescent="0.3">
      <c r="A41" s="77">
        <v>925</v>
      </c>
      <c r="B41" s="316">
        <v>4.7</v>
      </c>
      <c r="C41" s="78">
        <v>7.6</v>
      </c>
      <c r="D41" s="78">
        <v>2</v>
      </c>
      <c r="E41" s="285">
        <v>3</v>
      </c>
      <c r="F41" s="279">
        <f t="shared" si="0"/>
        <v>-1</v>
      </c>
      <c r="G41" s="285">
        <v>2</v>
      </c>
      <c r="H41" s="286">
        <f t="shared" si="1"/>
        <v>10.6</v>
      </c>
      <c r="I41" s="88"/>
    </row>
    <row r="42" spans="1:9" ht="22.5" customHeight="1" x14ac:dyDescent="0.3">
      <c r="A42" s="77">
        <v>950</v>
      </c>
      <c r="B42" s="316">
        <v>4.7</v>
      </c>
      <c r="C42" s="78">
        <v>7.7</v>
      </c>
      <c r="D42" s="78">
        <v>3</v>
      </c>
      <c r="E42" s="285">
        <v>3</v>
      </c>
      <c r="F42" s="279">
        <f t="shared" si="0"/>
        <v>0</v>
      </c>
      <c r="G42" s="285">
        <v>2</v>
      </c>
      <c r="H42" s="286">
        <f t="shared" si="1"/>
        <v>10.7</v>
      </c>
      <c r="I42" s="88"/>
    </row>
    <row r="43" spans="1:9" ht="22.5" customHeight="1" x14ac:dyDescent="0.3">
      <c r="A43" s="77">
        <v>975</v>
      </c>
      <c r="B43" s="316">
        <v>4.7</v>
      </c>
      <c r="C43" s="78">
        <v>7.3</v>
      </c>
      <c r="D43" s="78">
        <v>2</v>
      </c>
      <c r="E43" s="285">
        <v>3</v>
      </c>
      <c r="F43" s="279">
        <f t="shared" si="0"/>
        <v>-1</v>
      </c>
      <c r="G43" s="285">
        <v>2</v>
      </c>
      <c r="H43" s="286">
        <f t="shared" si="1"/>
        <v>10.3</v>
      </c>
      <c r="I43" s="88"/>
    </row>
    <row r="44" spans="1:9" ht="22.5" customHeight="1" x14ac:dyDescent="0.3">
      <c r="A44" s="77">
        <v>1000</v>
      </c>
      <c r="B44" s="316">
        <v>4.7</v>
      </c>
      <c r="C44" s="78">
        <v>7.7</v>
      </c>
      <c r="D44" s="78">
        <v>4.5</v>
      </c>
      <c r="E44" s="285">
        <v>3</v>
      </c>
      <c r="F44" s="279">
        <f t="shared" si="0"/>
        <v>1.5</v>
      </c>
      <c r="G44" s="285">
        <v>2</v>
      </c>
      <c r="H44" s="286">
        <f t="shared" si="1"/>
        <v>10.7</v>
      </c>
      <c r="I44" s="88"/>
    </row>
    <row r="45" spans="1:9" ht="22.5" customHeight="1" x14ac:dyDescent="0.3">
      <c r="A45" s="77">
        <v>1025</v>
      </c>
      <c r="B45" s="316">
        <v>4.7</v>
      </c>
      <c r="C45" s="78">
        <v>7.8</v>
      </c>
      <c r="D45" s="78">
        <v>4.7</v>
      </c>
      <c r="E45" s="285">
        <v>3</v>
      </c>
      <c r="F45" s="279">
        <f t="shared" si="0"/>
        <v>1.7000000000000002</v>
      </c>
      <c r="G45" s="285">
        <v>2</v>
      </c>
      <c r="H45" s="286">
        <f t="shared" si="1"/>
        <v>10.8</v>
      </c>
      <c r="I45" s="88"/>
    </row>
    <row r="46" spans="1:9" ht="22.5" customHeight="1" x14ac:dyDescent="0.3">
      <c r="A46" s="77">
        <v>1050</v>
      </c>
      <c r="B46" s="316">
        <v>4.7</v>
      </c>
      <c r="C46" s="78">
        <v>7.7</v>
      </c>
      <c r="D46" s="78">
        <v>4</v>
      </c>
      <c r="E46" s="285">
        <v>3</v>
      </c>
      <c r="F46" s="279">
        <f t="shared" si="0"/>
        <v>1</v>
      </c>
      <c r="G46" s="285">
        <v>2</v>
      </c>
      <c r="H46" s="286">
        <f t="shared" si="1"/>
        <v>10.7</v>
      </c>
      <c r="I46" s="88"/>
    </row>
    <row r="47" spans="1:9" s="273" customFormat="1" ht="22.5" customHeight="1" x14ac:dyDescent="0.3">
      <c r="A47" s="293">
        <v>1075</v>
      </c>
      <c r="B47" s="316">
        <v>4.7</v>
      </c>
      <c r="C47" s="294">
        <v>7.7</v>
      </c>
      <c r="D47" s="294">
        <v>4</v>
      </c>
      <c r="E47" s="285">
        <v>2</v>
      </c>
      <c r="F47" s="279">
        <f t="shared" si="0"/>
        <v>2</v>
      </c>
      <c r="G47" s="285">
        <v>0</v>
      </c>
      <c r="H47" s="286">
        <f t="shared" si="1"/>
        <v>9.6999999999999993</v>
      </c>
      <c r="I47" s="272"/>
    </row>
    <row r="48" spans="1:9" s="273" customFormat="1" ht="22.5" customHeight="1" x14ac:dyDescent="0.3">
      <c r="A48" s="293">
        <v>1100</v>
      </c>
      <c r="B48" s="316">
        <v>4.8</v>
      </c>
      <c r="C48" s="294">
        <v>7.7</v>
      </c>
      <c r="D48" s="294">
        <v>4</v>
      </c>
      <c r="E48" s="285">
        <v>2</v>
      </c>
      <c r="F48" s="279">
        <f t="shared" si="0"/>
        <v>2</v>
      </c>
      <c r="G48" s="285">
        <v>0</v>
      </c>
      <c r="H48" s="286">
        <f t="shared" si="1"/>
        <v>9.6999999999999993</v>
      </c>
      <c r="I48" s="272" t="s">
        <v>359</v>
      </c>
    </row>
    <row r="49" spans="1:9" ht="22.5" customHeight="1" x14ac:dyDescent="0.3">
      <c r="A49" s="77">
        <v>1125</v>
      </c>
      <c r="B49" s="316">
        <v>4.4000000000000004</v>
      </c>
      <c r="C49" s="78">
        <v>7.4</v>
      </c>
      <c r="D49" s="78">
        <v>2</v>
      </c>
      <c r="E49" s="285">
        <v>2</v>
      </c>
      <c r="F49" s="279">
        <f t="shared" si="0"/>
        <v>0</v>
      </c>
      <c r="G49" s="285">
        <v>2</v>
      </c>
      <c r="H49" s="286">
        <f t="shared" si="1"/>
        <v>9.4</v>
      </c>
      <c r="I49" s="88"/>
    </row>
    <row r="50" spans="1:9" ht="22.5" customHeight="1" x14ac:dyDescent="0.3">
      <c r="A50" s="77">
        <v>1150</v>
      </c>
      <c r="B50" s="316">
        <v>4.5999999999999996</v>
      </c>
      <c r="C50" s="78">
        <v>7.5</v>
      </c>
      <c r="D50" s="78">
        <v>2</v>
      </c>
      <c r="E50" s="285">
        <v>3</v>
      </c>
      <c r="F50" s="279">
        <f t="shared" si="0"/>
        <v>-1</v>
      </c>
      <c r="G50" s="285">
        <v>2</v>
      </c>
      <c r="H50" s="286">
        <f t="shared" si="1"/>
        <v>10.5</v>
      </c>
      <c r="I50" s="88"/>
    </row>
    <row r="51" spans="1:9" ht="22.5" customHeight="1" x14ac:dyDescent="0.3">
      <c r="A51" s="77">
        <v>1175</v>
      </c>
      <c r="B51" s="316">
        <v>4.7</v>
      </c>
      <c r="C51" s="78">
        <v>7.6</v>
      </c>
      <c r="D51" s="78">
        <v>2</v>
      </c>
      <c r="E51" s="285">
        <v>3</v>
      </c>
      <c r="F51" s="279">
        <f t="shared" si="0"/>
        <v>-1</v>
      </c>
      <c r="G51" s="285">
        <v>1.5</v>
      </c>
      <c r="H51" s="286">
        <f t="shared" si="1"/>
        <v>10.6</v>
      </c>
      <c r="I51" s="88"/>
    </row>
    <row r="52" spans="1:9" s="273" customFormat="1" ht="22.5" customHeight="1" x14ac:dyDescent="0.3">
      <c r="A52" s="295">
        <v>1200</v>
      </c>
      <c r="B52" s="317">
        <v>4.9000000000000004</v>
      </c>
      <c r="C52" s="296">
        <v>7.7</v>
      </c>
      <c r="D52" s="296">
        <v>2</v>
      </c>
      <c r="E52" s="285">
        <v>3</v>
      </c>
      <c r="F52" s="279">
        <f t="shared" si="0"/>
        <v>-1</v>
      </c>
      <c r="G52" s="285">
        <v>0</v>
      </c>
      <c r="H52" s="286">
        <f t="shared" si="1"/>
        <v>10.7</v>
      </c>
      <c r="I52" s="272"/>
    </row>
    <row r="53" spans="1:9" s="273" customFormat="1" ht="22.5" customHeight="1" x14ac:dyDescent="0.3">
      <c r="A53" s="293">
        <v>1225</v>
      </c>
      <c r="B53" s="316">
        <v>4.7</v>
      </c>
      <c r="C53" s="294">
        <v>7.75</v>
      </c>
      <c r="D53" s="294">
        <v>5</v>
      </c>
      <c r="E53" s="294"/>
      <c r="F53" s="279">
        <f t="shared" si="0"/>
        <v>5</v>
      </c>
      <c r="G53" s="298"/>
      <c r="H53" s="286">
        <f t="shared" si="1"/>
        <v>7.75</v>
      </c>
      <c r="I53" s="272"/>
    </row>
    <row r="54" spans="1:9" s="273" customFormat="1" ht="22.5" customHeight="1" x14ac:dyDescent="0.3">
      <c r="A54" s="293">
        <v>1250</v>
      </c>
      <c r="B54" s="316">
        <v>4.4000000000000004</v>
      </c>
      <c r="C54" s="294">
        <v>7.7</v>
      </c>
      <c r="D54" s="294">
        <v>4.5</v>
      </c>
      <c r="E54" s="294"/>
      <c r="F54" s="279">
        <f t="shared" si="0"/>
        <v>4.5</v>
      </c>
      <c r="G54" s="298"/>
      <c r="H54" s="286">
        <f t="shared" si="1"/>
        <v>7.7</v>
      </c>
      <c r="I54" s="272"/>
    </row>
    <row r="55" spans="1:9" s="273" customFormat="1" ht="22.5" customHeight="1" x14ac:dyDescent="0.3">
      <c r="A55" s="293">
        <v>1275</v>
      </c>
      <c r="B55" s="316">
        <v>3.3</v>
      </c>
      <c r="C55" s="294">
        <v>7.7</v>
      </c>
      <c r="D55" s="294">
        <v>3</v>
      </c>
      <c r="E55" s="294"/>
      <c r="F55" s="279">
        <f t="shared" si="0"/>
        <v>3</v>
      </c>
      <c r="G55" s="298"/>
      <c r="H55" s="286">
        <f t="shared" si="1"/>
        <v>7.7</v>
      </c>
      <c r="I55" s="272"/>
    </row>
    <row r="56" spans="1:9" s="273" customFormat="1" ht="22.5" customHeight="1" x14ac:dyDescent="0.3">
      <c r="A56" s="293">
        <v>1300</v>
      </c>
      <c r="B56" s="316">
        <v>2.2999999999999998</v>
      </c>
      <c r="C56" s="294">
        <v>10.1</v>
      </c>
      <c r="D56" s="294">
        <v>2.5</v>
      </c>
      <c r="E56" s="294"/>
      <c r="F56" s="279">
        <f t="shared" si="0"/>
        <v>2.5</v>
      </c>
      <c r="G56" s="298"/>
      <c r="H56" s="286">
        <f t="shared" si="1"/>
        <v>10.1</v>
      </c>
      <c r="I56" s="272"/>
    </row>
    <row r="57" spans="1:9" s="273" customFormat="1" ht="22.5" customHeight="1" x14ac:dyDescent="0.3">
      <c r="A57" s="293">
        <v>1325</v>
      </c>
      <c r="B57" s="316">
        <v>2.5</v>
      </c>
      <c r="C57" s="294">
        <v>10.3</v>
      </c>
      <c r="D57" s="294">
        <v>2</v>
      </c>
      <c r="E57" s="294"/>
      <c r="F57" s="279">
        <f t="shared" si="0"/>
        <v>2</v>
      </c>
      <c r="G57" s="298"/>
      <c r="H57" s="286">
        <f t="shared" si="1"/>
        <v>10.3</v>
      </c>
      <c r="I57" s="272"/>
    </row>
    <row r="58" spans="1:9" s="273" customFormat="1" ht="22.5" customHeight="1" x14ac:dyDescent="0.3">
      <c r="A58" s="293">
        <v>1350</v>
      </c>
      <c r="B58" s="316">
        <v>0</v>
      </c>
      <c r="C58" s="294">
        <v>9.5</v>
      </c>
      <c r="D58" s="294">
        <v>2</v>
      </c>
      <c r="E58" s="294"/>
      <c r="F58" s="279">
        <f t="shared" si="0"/>
        <v>2</v>
      </c>
      <c r="G58" s="298"/>
      <c r="H58" s="286">
        <f t="shared" si="1"/>
        <v>9.5</v>
      </c>
      <c r="I58" s="272"/>
    </row>
    <row r="59" spans="1:9" s="273" customFormat="1" ht="22.5" customHeight="1" x14ac:dyDescent="0.3">
      <c r="A59" s="293">
        <v>1375</v>
      </c>
      <c r="B59" s="316">
        <v>1.2</v>
      </c>
      <c r="C59" s="294">
        <v>10.9</v>
      </c>
      <c r="D59" s="294">
        <v>4.7</v>
      </c>
      <c r="E59" s="294"/>
      <c r="F59" s="279">
        <f t="shared" si="0"/>
        <v>4.7</v>
      </c>
      <c r="G59" s="298"/>
      <c r="H59" s="286">
        <f t="shared" si="1"/>
        <v>10.9</v>
      </c>
      <c r="I59" s="272"/>
    </row>
    <row r="60" spans="1:9" s="273" customFormat="1" ht="22.5" customHeight="1" x14ac:dyDescent="0.3">
      <c r="A60" s="293">
        <v>1400</v>
      </c>
      <c r="B60" s="316">
        <v>1.2</v>
      </c>
      <c r="C60" s="294">
        <v>10.6</v>
      </c>
      <c r="D60" s="294">
        <v>4</v>
      </c>
      <c r="E60" s="294"/>
      <c r="F60" s="279">
        <f t="shared" si="0"/>
        <v>4</v>
      </c>
      <c r="G60" s="298"/>
      <c r="H60" s="286">
        <f t="shared" si="1"/>
        <v>10.6</v>
      </c>
      <c r="I60" s="272"/>
    </row>
    <row r="61" spans="1:9" s="273" customFormat="1" ht="22.5" customHeight="1" x14ac:dyDescent="0.3">
      <c r="A61" s="293">
        <v>1425</v>
      </c>
      <c r="B61" s="316">
        <v>2.4</v>
      </c>
      <c r="C61" s="294">
        <v>9.6999999999999993</v>
      </c>
      <c r="D61" s="294">
        <v>3.7</v>
      </c>
      <c r="E61" s="294"/>
      <c r="F61" s="279">
        <f t="shared" si="0"/>
        <v>3.7</v>
      </c>
      <c r="G61" s="298"/>
      <c r="H61" s="285">
        <f t="shared" si="1"/>
        <v>9.6999999999999993</v>
      </c>
      <c r="I61" s="272" t="s">
        <v>361</v>
      </c>
    </row>
    <row r="62" spans="1:9" s="273" customFormat="1" ht="22.5" customHeight="1" x14ac:dyDescent="0.3">
      <c r="A62" s="293">
        <v>1450</v>
      </c>
      <c r="B62" s="316">
        <v>3.5</v>
      </c>
      <c r="C62" s="294">
        <v>8.6</v>
      </c>
      <c r="D62" s="294">
        <v>4</v>
      </c>
      <c r="E62" s="294"/>
      <c r="F62" s="279">
        <f t="shared" si="0"/>
        <v>4</v>
      </c>
      <c r="G62" s="298"/>
      <c r="H62" s="285">
        <f t="shared" si="1"/>
        <v>8.6</v>
      </c>
      <c r="I62" s="272"/>
    </row>
    <row r="63" spans="1:9" s="273" customFormat="1" ht="22.5" customHeight="1" x14ac:dyDescent="0.3">
      <c r="A63" s="297" t="s">
        <v>1292</v>
      </c>
      <c r="B63" s="316"/>
      <c r="C63" s="294"/>
      <c r="D63" s="297" t="s">
        <v>1292</v>
      </c>
      <c r="E63" s="294"/>
      <c r="F63" s="279"/>
      <c r="G63" s="298"/>
      <c r="H63" s="297" t="s">
        <v>1292</v>
      </c>
      <c r="I63" s="272"/>
    </row>
    <row r="64" spans="1:9" s="273" customFormat="1" ht="22.5" customHeight="1" x14ac:dyDescent="0.3">
      <c r="A64" s="293"/>
      <c r="B64" s="316"/>
      <c r="C64" s="294"/>
      <c r="D64" s="294"/>
      <c r="E64" s="294"/>
      <c r="F64" s="279"/>
      <c r="G64" s="298"/>
      <c r="H64" s="301"/>
      <c r="I64" s="272"/>
    </row>
    <row r="65" spans="1:9" s="273" customFormat="1" ht="22.5" customHeight="1" x14ac:dyDescent="0.3">
      <c r="A65" s="293"/>
      <c r="B65" s="316"/>
      <c r="C65" s="294"/>
      <c r="D65" s="294"/>
      <c r="E65" s="294"/>
      <c r="F65" s="279"/>
      <c r="G65" s="298"/>
      <c r="H65" s="301"/>
      <c r="I65" s="272"/>
    </row>
    <row r="66" spans="1:9" s="273" customFormat="1" ht="22.5" customHeight="1" x14ac:dyDescent="0.3">
      <c r="A66" s="293"/>
      <c r="B66" s="316"/>
      <c r="C66" s="294"/>
      <c r="D66" s="294"/>
      <c r="E66" s="294"/>
      <c r="F66" s="279"/>
      <c r="G66" s="298"/>
      <c r="H66" s="301"/>
      <c r="I66" s="272"/>
    </row>
    <row r="67" spans="1:9" s="273" customFormat="1" ht="22.5" customHeight="1" x14ac:dyDescent="0.3">
      <c r="A67" s="293"/>
      <c r="B67" s="316"/>
      <c r="C67" s="294"/>
      <c r="D67" s="294"/>
      <c r="E67" s="294"/>
      <c r="F67" s="279"/>
      <c r="G67" s="298"/>
      <c r="H67" s="301"/>
      <c r="I67" s="272"/>
    </row>
    <row r="68" spans="1:9" s="273" customFormat="1" ht="22.5" customHeight="1" x14ac:dyDescent="0.3">
      <c r="A68" s="293"/>
      <c r="B68" s="316"/>
      <c r="C68" s="294"/>
      <c r="D68" s="294"/>
      <c r="E68" s="294"/>
      <c r="F68" s="279"/>
      <c r="G68" s="298"/>
      <c r="H68" s="301"/>
      <c r="I68" s="272"/>
    </row>
    <row r="69" spans="1:9" s="273" customFormat="1" ht="22.5" customHeight="1" x14ac:dyDescent="0.3">
      <c r="A69" s="293"/>
      <c r="B69" s="316"/>
      <c r="C69" s="294"/>
      <c r="D69" s="294"/>
      <c r="E69" s="294"/>
      <c r="F69" s="279"/>
      <c r="G69" s="298"/>
      <c r="H69" s="301"/>
      <c r="I69" s="272"/>
    </row>
    <row r="70" spans="1:9" s="273" customFormat="1" ht="22.5" customHeight="1" x14ac:dyDescent="0.3">
      <c r="A70" s="293"/>
      <c r="B70" s="316"/>
      <c r="C70" s="294"/>
      <c r="D70" s="294"/>
      <c r="E70" s="294"/>
      <c r="F70" s="279"/>
      <c r="G70" s="298"/>
      <c r="H70" s="301"/>
      <c r="I70" s="272"/>
    </row>
    <row r="71" spans="1:9" s="273" customFormat="1" ht="22.5" customHeight="1" x14ac:dyDescent="0.3">
      <c r="A71" s="293"/>
      <c r="B71" s="316"/>
      <c r="C71" s="294"/>
      <c r="D71" s="294"/>
      <c r="E71" s="294"/>
      <c r="F71" s="279"/>
      <c r="G71" s="298"/>
      <c r="H71" s="301"/>
      <c r="I71" s="272"/>
    </row>
    <row r="72" spans="1:9" s="273" customFormat="1" ht="22.5" customHeight="1" x14ac:dyDescent="0.3">
      <c r="A72" s="297" t="s">
        <v>1292</v>
      </c>
      <c r="B72" s="316"/>
      <c r="C72" s="294"/>
      <c r="D72" s="294"/>
      <c r="E72" s="294"/>
      <c r="F72" s="298"/>
      <c r="G72" s="298"/>
      <c r="H72" s="311"/>
      <c r="I72" s="272"/>
    </row>
    <row r="73" spans="1:9" ht="22.5" customHeight="1" x14ac:dyDescent="0.3">
      <c r="A73" s="77">
        <v>1475</v>
      </c>
      <c r="B73" s="316">
        <v>4.7</v>
      </c>
      <c r="C73" s="78">
        <v>7.5</v>
      </c>
      <c r="D73" s="78">
        <v>3.5</v>
      </c>
      <c r="E73" s="78"/>
      <c r="F73" s="299"/>
      <c r="G73" s="299"/>
      <c r="H73" s="312"/>
      <c r="I73" s="88"/>
    </row>
    <row r="74" spans="1:9" ht="22.5" customHeight="1" x14ac:dyDescent="0.3">
      <c r="A74" s="77">
        <v>1500</v>
      </c>
      <c r="B74" s="316">
        <v>4.5999999999999996</v>
      </c>
      <c r="C74" s="78">
        <v>7.7</v>
      </c>
      <c r="D74" s="78">
        <v>3.3</v>
      </c>
      <c r="E74" s="78"/>
      <c r="F74" s="299"/>
      <c r="G74" s="299"/>
      <c r="H74" s="312"/>
      <c r="I74" s="88" t="s">
        <v>362</v>
      </c>
    </row>
    <row r="75" spans="1:9" ht="22.5" customHeight="1" x14ac:dyDescent="0.3">
      <c r="A75" s="77">
        <v>1525</v>
      </c>
      <c r="B75" s="316">
        <v>4.5999999999999996</v>
      </c>
      <c r="C75" s="78">
        <v>7.6</v>
      </c>
      <c r="D75" s="78">
        <v>3.5</v>
      </c>
      <c r="E75" s="78"/>
      <c r="F75" s="299"/>
      <c r="G75" s="299"/>
      <c r="H75" s="312"/>
      <c r="I75" s="88"/>
    </row>
    <row r="76" spans="1:9" ht="22.5" customHeight="1" x14ac:dyDescent="0.3">
      <c r="A76" s="77">
        <v>1550</v>
      </c>
      <c r="B76" s="316">
        <v>4.9000000000000004</v>
      </c>
      <c r="C76" s="78">
        <v>7.7</v>
      </c>
      <c r="D76" s="78">
        <v>4</v>
      </c>
      <c r="E76" s="78"/>
      <c r="F76" s="299"/>
      <c r="G76" s="299"/>
      <c r="H76" s="312"/>
      <c r="I76" s="88"/>
    </row>
    <row r="77" spans="1:9" ht="22.5" customHeight="1" x14ac:dyDescent="0.3">
      <c r="A77" s="77">
        <v>1575</v>
      </c>
      <c r="B77" s="316">
        <v>4.7</v>
      </c>
      <c r="C77" s="78">
        <v>7.5</v>
      </c>
      <c r="D77" s="78">
        <v>3.8</v>
      </c>
      <c r="E77" s="78"/>
      <c r="F77" s="299"/>
      <c r="G77" s="299"/>
      <c r="H77" s="312"/>
      <c r="I77" s="88"/>
    </row>
    <row r="78" spans="1:9" ht="22.5" customHeight="1" x14ac:dyDescent="0.3">
      <c r="A78" s="77">
        <v>1600</v>
      </c>
      <c r="B78" s="316">
        <v>4.7</v>
      </c>
      <c r="C78" s="78">
        <v>7.7</v>
      </c>
      <c r="D78" s="78">
        <v>4.3</v>
      </c>
      <c r="E78" s="78"/>
      <c r="F78" s="299"/>
      <c r="G78" s="299"/>
      <c r="H78" s="312"/>
      <c r="I78" s="88"/>
    </row>
    <row r="79" spans="1:9" ht="22.5" customHeight="1" x14ac:dyDescent="0.3">
      <c r="A79" s="77">
        <v>1625</v>
      </c>
      <c r="B79" s="316">
        <v>4.7</v>
      </c>
      <c r="C79" s="78">
        <v>7.7</v>
      </c>
      <c r="D79" s="78">
        <v>3.5</v>
      </c>
      <c r="E79" s="78"/>
      <c r="F79" s="299"/>
      <c r="G79" s="299"/>
      <c r="H79" s="312"/>
      <c r="I79" s="88"/>
    </row>
    <row r="80" spans="1:9" ht="22.5" customHeight="1" x14ac:dyDescent="0.3">
      <c r="A80" s="77">
        <v>1650</v>
      </c>
      <c r="B80" s="316">
        <v>4.7</v>
      </c>
      <c r="C80" s="78">
        <v>7.7</v>
      </c>
      <c r="D80" s="78">
        <v>4.5</v>
      </c>
      <c r="E80" s="78"/>
      <c r="F80" s="299"/>
      <c r="G80" s="299"/>
      <c r="H80" s="312"/>
      <c r="I80" s="88"/>
    </row>
    <row r="81" spans="1:9" ht="22.5" customHeight="1" x14ac:dyDescent="0.3">
      <c r="A81" s="77">
        <v>1675</v>
      </c>
      <c r="B81" s="316">
        <v>4.7</v>
      </c>
      <c r="C81" s="78">
        <v>7</v>
      </c>
      <c r="D81" s="78">
        <v>4</v>
      </c>
      <c r="E81" s="78"/>
      <c r="F81" s="299"/>
      <c r="G81" s="299"/>
      <c r="H81" s="312"/>
      <c r="I81" s="88" t="s">
        <v>363</v>
      </c>
    </row>
    <row r="82" spans="1:9" ht="22.5" customHeight="1" x14ac:dyDescent="0.3">
      <c r="A82" s="289">
        <v>1700</v>
      </c>
      <c r="B82" s="318">
        <v>4.7</v>
      </c>
      <c r="C82" s="290">
        <v>7.7</v>
      </c>
      <c r="D82" s="290">
        <v>4</v>
      </c>
      <c r="E82" s="290"/>
      <c r="F82" s="93"/>
      <c r="G82" s="93"/>
      <c r="H82" s="93"/>
      <c r="I82" s="88" t="s">
        <v>364</v>
      </c>
    </row>
    <row r="83" spans="1:9" ht="22.5" customHeight="1" x14ac:dyDescent="0.3">
      <c r="A83" s="85">
        <v>1725</v>
      </c>
      <c r="B83" s="319">
        <v>4.5999999999999996</v>
      </c>
      <c r="C83" s="86">
        <v>7.7</v>
      </c>
      <c r="D83" s="86">
        <v>4</v>
      </c>
      <c r="E83" s="86"/>
      <c r="F83" s="87"/>
      <c r="G83" s="87"/>
      <c r="H83" s="87"/>
      <c r="I83" s="88"/>
    </row>
    <row r="84" spans="1:9" ht="22.5" customHeight="1" x14ac:dyDescent="0.3">
      <c r="A84" s="85">
        <v>1750</v>
      </c>
      <c r="B84" s="319">
        <v>4.5999999999999996</v>
      </c>
      <c r="C84" s="86">
        <v>7.7</v>
      </c>
      <c r="D84" s="86">
        <v>4</v>
      </c>
      <c r="E84" s="86"/>
      <c r="F84" s="87"/>
      <c r="G84" s="87"/>
      <c r="H84" s="87"/>
      <c r="I84" s="88"/>
    </row>
    <row r="85" spans="1:9" ht="22.5" customHeight="1" x14ac:dyDescent="0.3">
      <c r="A85" s="85">
        <v>1775</v>
      </c>
      <c r="B85" s="319">
        <v>4.8</v>
      </c>
      <c r="C85" s="86">
        <v>7.5</v>
      </c>
      <c r="D85" s="86">
        <v>4.5</v>
      </c>
      <c r="E85" s="86"/>
      <c r="F85" s="87"/>
      <c r="G85" s="87"/>
      <c r="H85" s="87"/>
      <c r="I85" s="88"/>
    </row>
    <row r="86" spans="1:9" ht="22.5" customHeight="1" x14ac:dyDescent="0.3">
      <c r="A86" s="85">
        <v>1800</v>
      </c>
      <c r="B86" s="319">
        <v>4.7</v>
      </c>
      <c r="C86" s="86">
        <v>7.7</v>
      </c>
      <c r="D86" s="86">
        <v>4</v>
      </c>
      <c r="E86" s="86"/>
      <c r="F86" s="87"/>
      <c r="G86" s="87"/>
      <c r="H86" s="87"/>
      <c r="I86" s="88"/>
    </row>
    <row r="87" spans="1:9" ht="22.5" customHeight="1" x14ac:dyDescent="0.3">
      <c r="A87" s="85">
        <v>1825</v>
      </c>
      <c r="B87" s="319">
        <v>4.7</v>
      </c>
      <c r="C87" s="86">
        <v>7.4</v>
      </c>
      <c r="D87" s="86">
        <v>3.4</v>
      </c>
      <c r="E87" s="86"/>
      <c r="F87" s="87"/>
      <c r="G87" s="87"/>
      <c r="H87" s="87"/>
      <c r="I87" s="88" t="s">
        <v>365</v>
      </c>
    </row>
    <row r="88" spans="1:9" ht="22.5" customHeight="1" x14ac:dyDescent="0.3">
      <c r="A88" s="85">
        <v>1850</v>
      </c>
      <c r="B88" s="319">
        <v>4.5999999999999996</v>
      </c>
      <c r="C88" s="86">
        <v>7.4</v>
      </c>
      <c r="D88" s="86">
        <v>3.1</v>
      </c>
      <c r="E88" s="86"/>
      <c r="F88" s="87"/>
      <c r="G88" s="87"/>
      <c r="H88" s="87"/>
      <c r="I88" s="88" t="s">
        <v>366</v>
      </c>
    </row>
    <row r="89" spans="1:9" ht="22.5" customHeight="1" x14ac:dyDescent="0.3">
      <c r="A89" s="85">
        <v>1875</v>
      </c>
      <c r="B89" s="319">
        <v>4.5999999999999996</v>
      </c>
      <c r="C89" s="86">
        <v>7.7</v>
      </c>
      <c r="D89" s="86">
        <v>2.5</v>
      </c>
      <c r="E89" s="86"/>
      <c r="F89" s="87"/>
      <c r="G89" s="87"/>
      <c r="H89" s="87"/>
      <c r="I89" s="88" t="s">
        <v>367</v>
      </c>
    </row>
    <row r="90" spans="1:9" ht="22.5" customHeight="1" x14ac:dyDescent="0.3">
      <c r="A90" s="85">
        <v>1900</v>
      </c>
      <c r="B90" s="319">
        <v>4.7</v>
      </c>
      <c r="C90" s="86">
        <v>7.7</v>
      </c>
      <c r="D90" s="86">
        <v>3.4</v>
      </c>
      <c r="E90" s="86"/>
      <c r="F90" s="87"/>
      <c r="G90" s="87"/>
      <c r="H90" s="87"/>
      <c r="I90" s="88" t="s">
        <v>367</v>
      </c>
    </row>
    <row r="91" spans="1:9" ht="22.5" customHeight="1" x14ac:dyDescent="0.3">
      <c r="A91" s="85">
        <v>1925</v>
      </c>
      <c r="B91" s="319">
        <v>4.5999999999999996</v>
      </c>
      <c r="C91" s="86">
        <v>7.7</v>
      </c>
      <c r="D91" s="86">
        <v>1.5</v>
      </c>
      <c r="E91" s="86"/>
      <c r="F91" s="87"/>
      <c r="G91" s="87"/>
      <c r="H91" s="87"/>
      <c r="I91" s="88" t="s">
        <v>368</v>
      </c>
    </row>
    <row r="92" spans="1:9" ht="22.5" customHeight="1" x14ac:dyDescent="0.3">
      <c r="A92" s="85">
        <v>1950</v>
      </c>
      <c r="B92" s="319">
        <v>3.3</v>
      </c>
      <c r="C92" s="86">
        <v>9.3000000000000007</v>
      </c>
      <c r="D92" s="86">
        <v>2</v>
      </c>
      <c r="E92" s="86"/>
      <c r="F92" s="87"/>
      <c r="G92" s="87"/>
      <c r="H92" s="87"/>
      <c r="I92" s="88"/>
    </row>
    <row r="93" spans="1:9" ht="22.5" customHeight="1" x14ac:dyDescent="0.3">
      <c r="A93" s="85">
        <v>1975</v>
      </c>
      <c r="B93" s="319">
        <v>2.6</v>
      </c>
      <c r="C93" s="86">
        <v>9.5</v>
      </c>
      <c r="D93" s="86">
        <v>1.75</v>
      </c>
      <c r="E93" s="86"/>
      <c r="F93" s="87"/>
      <c r="G93" s="87"/>
      <c r="H93" s="87"/>
      <c r="I93" s="88"/>
    </row>
    <row r="94" spans="1:9" ht="22.5" customHeight="1" x14ac:dyDescent="0.3">
      <c r="A94" s="85">
        <v>2000</v>
      </c>
      <c r="B94" s="319">
        <v>1.4</v>
      </c>
      <c r="C94" s="86">
        <v>10.4</v>
      </c>
      <c r="D94" s="86">
        <v>1</v>
      </c>
      <c r="E94" s="86"/>
      <c r="F94" s="87"/>
      <c r="G94" s="87"/>
      <c r="H94" s="87"/>
      <c r="I94" s="88" t="s">
        <v>369</v>
      </c>
    </row>
    <row r="95" spans="1:9" ht="22.5" customHeight="1" x14ac:dyDescent="0.3">
      <c r="A95" s="85">
        <v>2025</v>
      </c>
      <c r="B95" s="319">
        <v>0</v>
      </c>
      <c r="C95" s="86">
        <v>10.6</v>
      </c>
      <c r="D95" s="86">
        <v>1</v>
      </c>
      <c r="E95" s="86"/>
      <c r="F95" s="87"/>
      <c r="G95" s="87"/>
      <c r="H95" s="87"/>
      <c r="I95" s="88"/>
    </row>
    <row r="96" spans="1:9" ht="22.5" customHeight="1" x14ac:dyDescent="0.3">
      <c r="A96" s="85">
        <v>2050</v>
      </c>
      <c r="B96" s="319">
        <v>1.4</v>
      </c>
      <c r="C96" s="86">
        <v>10.5</v>
      </c>
      <c r="D96" s="86">
        <v>3.5</v>
      </c>
      <c r="E96" s="86"/>
      <c r="F96" s="87"/>
      <c r="G96" s="87"/>
      <c r="H96" s="87"/>
      <c r="I96" s="88"/>
    </row>
    <row r="97" spans="1:9" ht="22.5" customHeight="1" x14ac:dyDescent="0.3">
      <c r="A97" s="85">
        <v>2075</v>
      </c>
      <c r="B97" s="319">
        <v>1.4</v>
      </c>
      <c r="C97" s="86">
        <v>9</v>
      </c>
      <c r="D97" s="86">
        <v>4</v>
      </c>
      <c r="E97" s="86"/>
      <c r="F97" s="87"/>
      <c r="G97" s="87"/>
      <c r="H97" s="87"/>
      <c r="I97" s="88"/>
    </row>
    <row r="98" spans="1:9" ht="22.5" customHeight="1" x14ac:dyDescent="0.3">
      <c r="A98" s="85">
        <v>2100</v>
      </c>
      <c r="B98" s="319">
        <v>2.6</v>
      </c>
      <c r="C98" s="86">
        <v>8.6</v>
      </c>
      <c r="D98" s="86">
        <v>3.8</v>
      </c>
      <c r="E98" s="86"/>
      <c r="F98" s="87"/>
      <c r="G98" s="87"/>
      <c r="H98" s="87"/>
      <c r="I98" s="88"/>
    </row>
    <row r="99" spans="1:9" ht="22.5" customHeight="1" x14ac:dyDescent="0.3">
      <c r="A99" s="85">
        <v>2125</v>
      </c>
      <c r="B99" s="319">
        <v>2.7</v>
      </c>
      <c r="C99" s="86">
        <v>7.6</v>
      </c>
      <c r="D99" s="86">
        <v>3.5</v>
      </c>
      <c r="E99" s="86"/>
      <c r="F99" s="87"/>
      <c r="G99" s="87"/>
      <c r="H99" s="87"/>
      <c r="I99" s="88"/>
    </row>
    <row r="100" spans="1:9" ht="22.5" customHeight="1" x14ac:dyDescent="0.3">
      <c r="A100" s="85">
        <v>2150</v>
      </c>
      <c r="B100" s="319">
        <v>4.8</v>
      </c>
      <c r="C100" s="86">
        <v>7.6</v>
      </c>
      <c r="D100" s="86">
        <v>4</v>
      </c>
      <c r="E100" s="86"/>
      <c r="F100" s="87"/>
      <c r="G100" s="87"/>
      <c r="H100" s="87"/>
      <c r="I100" s="88"/>
    </row>
    <row r="101" spans="1:9" ht="22.5" customHeight="1" x14ac:dyDescent="0.3">
      <c r="A101" s="85">
        <v>2175</v>
      </c>
      <c r="B101" s="319">
        <v>4.5999999999999996</v>
      </c>
      <c r="C101" s="86">
        <v>7.6</v>
      </c>
      <c r="D101" s="86">
        <v>4.2</v>
      </c>
      <c r="E101" s="86"/>
      <c r="F101" s="87"/>
      <c r="G101" s="87"/>
      <c r="H101" s="87"/>
      <c r="I101" s="88"/>
    </row>
    <row r="102" spans="1:9" ht="22.5" customHeight="1" x14ac:dyDescent="0.3">
      <c r="A102" s="85">
        <v>2200</v>
      </c>
      <c r="B102" s="319">
        <v>4.7</v>
      </c>
      <c r="C102" s="86">
        <v>7.6</v>
      </c>
      <c r="D102" s="86">
        <v>4.2</v>
      </c>
      <c r="E102" s="86"/>
      <c r="F102" s="87"/>
      <c r="G102" s="87"/>
      <c r="H102" s="87"/>
      <c r="I102" s="88"/>
    </row>
    <row r="103" spans="1:9" ht="22.5" customHeight="1" x14ac:dyDescent="0.3">
      <c r="A103" s="85">
        <v>2225</v>
      </c>
      <c r="B103" s="319">
        <v>4.7</v>
      </c>
      <c r="C103" s="86">
        <v>7.4</v>
      </c>
      <c r="D103" s="86">
        <v>4</v>
      </c>
      <c r="E103" s="86"/>
      <c r="F103" s="87"/>
      <c r="G103" s="87"/>
      <c r="H103" s="87"/>
      <c r="I103" s="88"/>
    </row>
    <row r="104" spans="1:9" ht="22.5" customHeight="1" x14ac:dyDescent="0.3">
      <c r="A104" s="94">
        <v>2247</v>
      </c>
      <c r="B104" s="320">
        <v>4.7</v>
      </c>
      <c r="C104" s="95">
        <v>7.4</v>
      </c>
      <c r="D104" s="95">
        <v>4.3</v>
      </c>
      <c r="E104" s="95"/>
      <c r="F104" s="96"/>
      <c r="G104" s="96"/>
      <c r="H104" s="96"/>
      <c r="I104" s="97" t="s">
        <v>370</v>
      </c>
    </row>
  </sheetData>
  <mergeCells count="1">
    <mergeCell ref="A1:I1"/>
  </mergeCells>
  <pageMargins left="0" right="0" top="0" bottom="0" header="0.31496062992125984" footer="0.31496062992125984"/>
  <pageSetup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O34"/>
  <sheetViews>
    <sheetView workbookViewId="0">
      <selection activeCell="E2" sqref="E2"/>
    </sheetView>
  </sheetViews>
  <sheetFormatPr defaultColWidth="9.140625" defaultRowHeight="18.75" x14ac:dyDescent="0.5"/>
  <cols>
    <col min="1" max="1" width="7" style="129" customWidth="1"/>
    <col min="2" max="2" width="9.140625" style="128"/>
    <col min="3" max="3" width="14.85546875" style="128" customWidth="1"/>
    <col min="4" max="4" width="9.140625" style="129"/>
    <col min="5" max="5" width="9.140625" style="132"/>
    <col min="6" max="7" width="9.140625" style="128"/>
    <col min="8" max="8" width="9.7109375" style="128" customWidth="1"/>
    <col min="9" max="9" width="10.140625" style="128" customWidth="1"/>
    <col min="10" max="10" width="10.42578125" style="132" customWidth="1"/>
    <col min="11" max="11" width="9.140625" style="128"/>
    <col min="12" max="12" width="13.140625" style="128" customWidth="1"/>
    <col min="13" max="14" width="9.140625" style="128"/>
    <col min="15" max="15" width="7.42578125" style="128" customWidth="1"/>
    <col min="16" max="16384" width="9.140625" style="128"/>
  </cols>
  <sheetData>
    <row r="1" spans="1:15" x14ac:dyDescent="0.5">
      <c r="A1" s="355" t="s">
        <v>413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</row>
    <row r="2" spans="1:15" x14ac:dyDescent="0.5">
      <c r="B2" s="128" t="s">
        <v>414</v>
      </c>
      <c r="E2" s="130" t="str">
        <f>'[4]ปร.4.-5'!D4</f>
        <v>ก่อสร้างถนน ค.ส.ล. สายหนองขี้เหล็ก บ้านหล่าย หมู่ที่ 4 ต.ออย อ.ปง จ.พะเยา</v>
      </c>
      <c r="F2" s="130"/>
      <c r="G2" s="130"/>
      <c r="H2" s="130"/>
      <c r="I2" s="130"/>
      <c r="J2" s="130"/>
      <c r="K2" s="130"/>
      <c r="L2" s="130"/>
      <c r="M2" s="131"/>
      <c r="N2" s="131"/>
      <c r="O2" s="131"/>
    </row>
    <row r="3" spans="1:15" x14ac:dyDescent="0.5">
      <c r="E3" s="356" t="str">
        <f>'[4]ปร.4.-5'!D5</f>
        <v xml:space="preserve">ขนาดผิวจราจรกว้าง 4.00 ม. ยาวรวม 198.00 ม. หนา 0.15 ม. หรือมีพื้นที่ไม่น้อยกว่า 792.00 ตร.ม. </v>
      </c>
      <c r="F3" s="356"/>
      <c r="G3" s="356"/>
      <c r="H3" s="356"/>
      <c r="I3" s="356"/>
      <c r="J3" s="356"/>
      <c r="K3" s="356"/>
      <c r="L3" s="356"/>
    </row>
    <row r="4" spans="1:15" x14ac:dyDescent="0.5">
      <c r="E4" s="356" t="str">
        <f>'[4]ปร.4.-5'!D6</f>
        <v>รายละเอียดตามประมาณการและแบบแปลน อบจ.พะเยา</v>
      </c>
      <c r="F4" s="356"/>
      <c r="G4" s="356"/>
      <c r="H4" s="356"/>
      <c r="I4" s="356"/>
      <c r="J4" s="356"/>
      <c r="K4" s="356"/>
      <c r="L4" s="356"/>
    </row>
    <row r="5" spans="1:15" ht="23.25" customHeight="1" x14ac:dyDescent="0.5">
      <c r="B5" s="128" t="s">
        <v>415</v>
      </c>
      <c r="E5" s="132" t="str">
        <f>+'[4]ปร.4.-5'!D3</f>
        <v>องค์การบริหารส่วนจังหวัดพะเยา</v>
      </c>
    </row>
    <row r="6" spans="1:15" x14ac:dyDescent="0.5">
      <c r="B6" s="128" t="s">
        <v>416</v>
      </c>
      <c r="D6" s="129" t="s">
        <v>417</v>
      </c>
      <c r="E6" s="132" t="s">
        <v>418</v>
      </c>
      <c r="G6" s="128" t="s">
        <v>83</v>
      </c>
      <c r="J6" s="132" t="s">
        <v>419</v>
      </c>
      <c r="L6" s="133">
        <v>35.67</v>
      </c>
      <c r="M6" s="129" t="s">
        <v>420</v>
      </c>
    </row>
    <row r="7" spans="1:15" x14ac:dyDescent="0.5">
      <c r="B7" s="128" t="s">
        <v>71</v>
      </c>
      <c r="D7" s="129">
        <v>0</v>
      </c>
      <c r="E7" s="133" t="s">
        <v>69</v>
      </c>
      <c r="H7" s="128" t="s">
        <v>154</v>
      </c>
      <c r="J7" s="133">
        <v>6</v>
      </c>
      <c r="K7" s="129" t="s">
        <v>69</v>
      </c>
    </row>
    <row r="8" spans="1:15" x14ac:dyDescent="0.5">
      <c r="B8" s="128" t="s">
        <v>421</v>
      </c>
      <c r="D8" s="129">
        <v>0</v>
      </c>
      <c r="E8" s="133" t="s">
        <v>69</v>
      </c>
      <c r="H8" s="128" t="s">
        <v>422</v>
      </c>
      <c r="J8" s="133">
        <v>7</v>
      </c>
      <c r="K8" s="129" t="s">
        <v>69</v>
      </c>
    </row>
    <row r="9" spans="1:15" ht="19.5" thickBot="1" x14ac:dyDescent="0.55000000000000004">
      <c r="B9" s="128" t="s">
        <v>423</v>
      </c>
      <c r="D9" s="134" t="str">
        <f>+'[4]ปร.4.-5'!D9</f>
        <v>23 เดือน มิถุนายน 2566</v>
      </c>
    </row>
    <row r="10" spans="1:15" x14ac:dyDescent="0.5">
      <c r="A10" s="357" t="s">
        <v>424</v>
      </c>
      <c r="B10" s="359" t="s">
        <v>425</v>
      </c>
      <c r="C10" s="359"/>
      <c r="D10" s="361" t="s">
        <v>25</v>
      </c>
      <c r="E10" s="135" t="s">
        <v>426</v>
      </c>
      <c r="F10" s="136" t="s">
        <v>427</v>
      </c>
      <c r="G10" s="137" t="s">
        <v>428</v>
      </c>
      <c r="H10" s="136" t="s">
        <v>429</v>
      </c>
      <c r="I10" s="137" t="s">
        <v>430</v>
      </c>
      <c r="J10" s="138" t="s">
        <v>431</v>
      </c>
      <c r="K10" s="359" t="s">
        <v>432</v>
      </c>
      <c r="L10" s="359"/>
      <c r="M10" s="363" t="s">
        <v>20</v>
      </c>
      <c r="N10" s="359"/>
      <c r="O10" s="364"/>
    </row>
    <row r="11" spans="1:15" x14ac:dyDescent="0.5">
      <c r="A11" s="358"/>
      <c r="B11" s="360"/>
      <c r="C11" s="360"/>
      <c r="D11" s="362"/>
      <c r="E11" s="139" t="s">
        <v>31</v>
      </c>
      <c r="F11" s="140" t="s">
        <v>433</v>
      </c>
      <c r="G11" s="141" t="s">
        <v>31</v>
      </c>
      <c r="H11" s="140" t="s">
        <v>31</v>
      </c>
      <c r="I11" s="141" t="s">
        <v>31</v>
      </c>
      <c r="J11" s="142" t="s">
        <v>31</v>
      </c>
      <c r="K11" s="360"/>
      <c r="L11" s="360"/>
      <c r="M11" s="365" t="s">
        <v>434</v>
      </c>
      <c r="N11" s="360"/>
      <c r="O11" s="366"/>
    </row>
    <row r="12" spans="1:15" x14ac:dyDescent="0.5">
      <c r="A12" s="143">
        <v>1</v>
      </c>
      <c r="B12" s="131" t="s">
        <v>435</v>
      </c>
      <c r="C12" s="131"/>
      <c r="D12" s="144" t="s">
        <v>436</v>
      </c>
      <c r="E12" s="145">
        <v>31152.639999999999</v>
      </c>
      <c r="F12" s="144">
        <v>0</v>
      </c>
      <c r="G12" s="146">
        <v>0</v>
      </c>
      <c r="H12" s="147">
        <v>80</v>
      </c>
      <c r="I12" s="146">
        <v>4100</v>
      </c>
      <c r="J12" s="148">
        <f>ROUNDDOWN(E12+G12+H12+I12,2)</f>
        <v>35332.639999999999</v>
      </c>
      <c r="K12" s="367" t="s">
        <v>437</v>
      </c>
      <c r="L12" s="367"/>
      <c r="M12" s="368" t="s">
        <v>438</v>
      </c>
      <c r="N12" s="367"/>
      <c r="O12" s="369"/>
    </row>
    <row r="13" spans="1:15" x14ac:dyDescent="0.5">
      <c r="A13" s="143">
        <v>2</v>
      </c>
      <c r="B13" s="131" t="s">
        <v>439</v>
      </c>
      <c r="C13" s="131"/>
      <c r="D13" s="144" t="s">
        <v>436</v>
      </c>
      <c r="E13" s="145">
        <v>26220.66</v>
      </c>
      <c r="F13" s="144">
        <v>0</v>
      </c>
      <c r="G13" s="146">
        <v>0</v>
      </c>
      <c r="H13" s="147">
        <v>80</v>
      </c>
      <c r="I13" s="146">
        <v>4100</v>
      </c>
      <c r="J13" s="148">
        <f>ROUNDDOWN(E13+G13+H13+I13,2)</f>
        <v>30400.66</v>
      </c>
      <c r="K13" s="367" t="s">
        <v>437</v>
      </c>
      <c r="L13" s="367"/>
      <c r="M13" s="368" t="str">
        <f>+M12</f>
        <v>จาก พาณิชย์ จ.พะเยา</v>
      </c>
      <c r="N13" s="367"/>
      <c r="O13" s="369"/>
    </row>
    <row r="14" spans="1:15" x14ac:dyDescent="0.5">
      <c r="A14" s="143">
        <v>3</v>
      </c>
      <c r="B14" s="131" t="s">
        <v>440</v>
      </c>
      <c r="C14" s="131"/>
      <c r="D14" s="144" t="s">
        <v>436</v>
      </c>
      <c r="E14" s="145">
        <v>24219.38</v>
      </c>
      <c r="F14" s="144">
        <v>0</v>
      </c>
      <c r="G14" s="146">
        <v>0</v>
      </c>
      <c r="H14" s="147">
        <v>80</v>
      </c>
      <c r="I14" s="146">
        <v>3300</v>
      </c>
      <c r="J14" s="148">
        <f>ROUNDDOWN(E14+G14+H14+I14,2)</f>
        <v>27599.38</v>
      </c>
      <c r="K14" s="367" t="s">
        <v>437</v>
      </c>
      <c r="L14" s="367"/>
      <c r="M14" s="368" t="str">
        <f t="shared" ref="M14:M19" si="0">+M13</f>
        <v>จาก พาณิชย์ จ.พะเยา</v>
      </c>
      <c r="N14" s="367"/>
      <c r="O14" s="369"/>
    </row>
    <row r="15" spans="1:15" x14ac:dyDescent="0.5">
      <c r="A15" s="143">
        <v>4</v>
      </c>
      <c r="B15" s="131" t="s">
        <v>441</v>
      </c>
      <c r="C15" s="131"/>
      <c r="D15" s="144" t="s">
        <v>436</v>
      </c>
      <c r="E15" s="145">
        <v>25282.79</v>
      </c>
      <c r="F15" s="144">
        <v>0</v>
      </c>
      <c r="G15" s="146">
        <v>0</v>
      </c>
      <c r="H15" s="147">
        <v>80</v>
      </c>
      <c r="I15" s="146">
        <v>3300</v>
      </c>
      <c r="J15" s="148">
        <f>ROUNDDOWN(E15+G15+H15+I15,2)</f>
        <v>28662.79</v>
      </c>
      <c r="K15" s="367" t="s">
        <v>437</v>
      </c>
      <c r="L15" s="367"/>
      <c r="M15" s="368" t="str">
        <f t="shared" si="0"/>
        <v>จาก พาณิชย์ จ.พะเยา</v>
      </c>
      <c r="N15" s="367"/>
      <c r="O15" s="369"/>
    </row>
    <row r="16" spans="1:15" x14ac:dyDescent="0.5">
      <c r="A16" s="143">
        <v>5</v>
      </c>
      <c r="B16" s="131" t="s">
        <v>442</v>
      </c>
      <c r="C16" s="131"/>
      <c r="D16" s="144" t="s">
        <v>443</v>
      </c>
      <c r="E16" s="145">
        <v>50</v>
      </c>
      <c r="F16" s="144">
        <v>0</v>
      </c>
      <c r="G16" s="146">
        <v>0</v>
      </c>
      <c r="H16" s="147">
        <v>0</v>
      </c>
      <c r="I16" s="146">
        <v>0</v>
      </c>
      <c r="J16" s="148">
        <f>ROUNDDOWN(E16+H16,2)</f>
        <v>50</v>
      </c>
      <c r="K16" s="367" t="s">
        <v>444</v>
      </c>
      <c r="L16" s="367"/>
      <c r="M16" s="368" t="s">
        <v>445</v>
      </c>
      <c r="N16" s="367"/>
      <c r="O16" s="369"/>
    </row>
    <row r="17" spans="1:15" x14ac:dyDescent="0.5">
      <c r="A17" s="149"/>
      <c r="B17" s="150" t="s">
        <v>446</v>
      </c>
      <c r="C17" s="131"/>
      <c r="D17" s="144"/>
      <c r="E17" s="145"/>
      <c r="F17" s="144"/>
      <c r="G17" s="146"/>
      <c r="H17" s="147"/>
      <c r="I17" s="146"/>
      <c r="J17" s="148"/>
      <c r="K17" s="129"/>
      <c r="L17" s="129"/>
      <c r="M17" s="368" t="s">
        <v>447</v>
      </c>
      <c r="N17" s="367"/>
      <c r="O17" s="369"/>
    </row>
    <row r="18" spans="1:15" x14ac:dyDescent="0.5">
      <c r="A18" s="149">
        <v>6</v>
      </c>
      <c r="B18" s="150" t="s">
        <v>448</v>
      </c>
      <c r="C18" s="131"/>
      <c r="D18" s="144" t="s">
        <v>449</v>
      </c>
      <c r="E18" s="145">
        <v>41.12</v>
      </c>
      <c r="F18" s="144">
        <v>0</v>
      </c>
      <c r="G18" s="146">
        <v>0</v>
      </c>
      <c r="H18" s="147">
        <v>0</v>
      </c>
      <c r="I18" s="146">
        <v>0</v>
      </c>
      <c r="J18" s="148">
        <f>ROUNDDOWN(E18+H18,2)</f>
        <v>41.12</v>
      </c>
      <c r="K18" s="367" t="s">
        <v>444</v>
      </c>
      <c r="L18" s="367"/>
      <c r="M18" s="368" t="str">
        <f>+M12</f>
        <v>จาก พาณิชย์ จ.พะเยา</v>
      </c>
      <c r="N18" s="367"/>
      <c r="O18" s="369"/>
    </row>
    <row r="19" spans="1:15" x14ac:dyDescent="0.5">
      <c r="A19" s="149">
        <v>7</v>
      </c>
      <c r="B19" s="150" t="s">
        <v>450</v>
      </c>
      <c r="C19" s="131"/>
      <c r="D19" s="151" t="s">
        <v>436</v>
      </c>
      <c r="E19" s="152">
        <v>2100</v>
      </c>
      <c r="F19" s="151">
        <v>0</v>
      </c>
      <c r="G19" s="153">
        <v>0</v>
      </c>
      <c r="H19" s="153">
        <v>0</v>
      </c>
      <c r="I19" s="153">
        <v>0</v>
      </c>
      <c r="J19" s="152">
        <f t="shared" ref="J19:J32" si="1">ROUNDDOWN(E19+G19+H19,2)</f>
        <v>2100</v>
      </c>
      <c r="K19" s="368" t="s">
        <v>437</v>
      </c>
      <c r="L19" s="367"/>
      <c r="M19" s="368" t="str">
        <f t="shared" si="0"/>
        <v>จาก พาณิชย์ จ.พะเยา</v>
      </c>
      <c r="N19" s="367"/>
      <c r="O19" s="369"/>
    </row>
    <row r="20" spans="1:15" x14ac:dyDescent="0.5">
      <c r="A20" s="149"/>
      <c r="B20" s="150" t="s">
        <v>451</v>
      </c>
      <c r="C20" s="131"/>
      <c r="D20" s="151"/>
      <c r="E20" s="152"/>
      <c r="F20" s="151"/>
      <c r="G20" s="153"/>
      <c r="H20" s="153"/>
      <c r="I20" s="153"/>
      <c r="J20" s="152"/>
      <c r="K20" s="151"/>
      <c r="L20" s="129"/>
      <c r="M20" s="151"/>
      <c r="N20" s="129"/>
      <c r="O20" s="154"/>
    </row>
    <row r="21" spans="1:15" x14ac:dyDescent="0.5">
      <c r="A21" s="143">
        <v>8</v>
      </c>
      <c r="B21" s="150" t="s">
        <v>452</v>
      </c>
      <c r="C21" s="131"/>
      <c r="D21" s="151" t="s">
        <v>453</v>
      </c>
      <c r="E21" s="152">
        <v>315.42</v>
      </c>
      <c r="F21" s="151">
        <v>0</v>
      </c>
      <c r="G21" s="153">
        <v>245.25</v>
      </c>
      <c r="H21" s="153">
        <v>0</v>
      </c>
      <c r="I21" s="153">
        <v>0</v>
      </c>
      <c r="J21" s="152">
        <f t="shared" si="1"/>
        <v>560.66999999999996</v>
      </c>
      <c r="K21" s="368" t="s">
        <v>444</v>
      </c>
      <c r="L21" s="367"/>
      <c r="M21" s="368" t="str">
        <f>+M19</f>
        <v>จาก พาณิชย์ จ.พะเยา</v>
      </c>
      <c r="N21" s="367"/>
      <c r="O21" s="369"/>
    </row>
    <row r="22" spans="1:15" x14ac:dyDescent="0.5">
      <c r="A22" s="143">
        <v>9</v>
      </c>
      <c r="B22" s="131" t="s">
        <v>454</v>
      </c>
      <c r="C22" s="131"/>
      <c r="D22" s="144" t="s">
        <v>453</v>
      </c>
      <c r="E22" s="145">
        <v>471.97</v>
      </c>
      <c r="F22" s="144">
        <v>0</v>
      </c>
      <c r="G22" s="146">
        <v>0</v>
      </c>
      <c r="H22" s="147">
        <v>0</v>
      </c>
      <c r="I22" s="146">
        <v>0</v>
      </c>
      <c r="J22" s="148">
        <f t="shared" si="1"/>
        <v>471.97</v>
      </c>
      <c r="K22" s="367" t="s">
        <v>444</v>
      </c>
      <c r="L22" s="367"/>
      <c r="M22" s="368" t="str">
        <f t="shared" ref="M22:M24" si="2">+M21</f>
        <v>จาก พาณิชย์ จ.พะเยา</v>
      </c>
      <c r="N22" s="367"/>
      <c r="O22" s="369"/>
    </row>
    <row r="23" spans="1:15" x14ac:dyDescent="0.5">
      <c r="A23" s="149">
        <v>10</v>
      </c>
      <c r="B23" s="150" t="s">
        <v>455</v>
      </c>
      <c r="C23" s="131"/>
      <c r="D23" s="144" t="s">
        <v>453</v>
      </c>
      <c r="E23" s="145">
        <v>543.62</v>
      </c>
      <c r="F23" s="144">
        <v>0</v>
      </c>
      <c r="G23" s="146">
        <v>0</v>
      </c>
      <c r="H23" s="147">
        <v>0</v>
      </c>
      <c r="I23" s="146">
        <v>0</v>
      </c>
      <c r="J23" s="148">
        <f t="shared" si="1"/>
        <v>543.62</v>
      </c>
      <c r="K23" s="367" t="s">
        <v>444</v>
      </c>
      <c r="L23" s="367"/>
      <c r="M23" s="368" t="str">
        <f t="shared" si="2"/>
        <v>จาก พาณิชย์ จ.พะเยา</v>
      </c>
      <c r="N23" s="367"/>
      <c r="O23" s="369"/>
    </row>
    <row r="24" spans="1:15" x14ac:dyDescent="0.5">
      <c r="A24" s="143">
        <v>11</v>
      </c>
      <c r="B24" s="150" t="s">
        <v>456</v>
      </c>
      <c r="C24" s="131"/>
      <c r="D24" s="144" t="s">
        <v>453</v>
      </c>
      <c r="E24" s="145">
        <v>543.62</v>
      </c>
      <c r="F24" s="144">
        <v>0</v>
      </c>
      <c r="G24" s="146">
        <v>39.22</v>
      </c>
      <c r="H24" s="147">
        <v>0</v>
      </c>
      <c r="I24" s="146">
        <v>0</v>
      </c>
      <c r="J24" s="148">
        <f t="shared" si="1"/>
        <v>582.84</v>
      </c>
      <c r="K24" s="367" t="s">
        <v>444</v>
      </c>
      <c r="L24" s="367"/>
      <c r="M24" s="368" t="str">
        <f t="shared" si="2"/>
        <v>จาก พาณิชย์ จ.พะเยา</v>
      </c>
      <c r="N24" s="367"/>
      <c r="O24" s="369"/>
    </row>
    <row r="25" spans="1:15" x14ac:dyDescent="0.5">
      <c r="A25" s="143">
        <v>12</v>
      </c>
      <c r="B25" s="150" t="s">
        <v>8</v>
      </c>
      <c r="C25" s="131"/>
      <c r="D25" s="144" t="s">
        <v>453</v>
      </c>
      <c r="E25" s="145">
        <v>15</v>
      </c>
      <c r="F25" s="144">
        <v>0</v>
      </c>
      <c r="G25" s="146">
        <v>0</v>
      </c>
      <c r="H25" s="147">
        <v>0</v>
      </c>
      <c r="I25" s="146">
        <v>0</v>
      </c>
      <c r="J25" s="148">
        <f t="shared" si="1"/>
        <v>15</v>
      </c>
      <c r="K25" s="367" t="s">
        <v>444</v>
      </c>
      <c r="L25" s="367"/>
      <c r="M25" s="368" t="s">
        <v>457</v>
      </c>
      <c r="N25" s="367"/>
      <c r="O25" s="369"/>
    </row>
    <row r="26" spans="1:15" x14ac:dyDescent="0.5">
      <c r="A26" s="143">
        <v>13</v>
      </c>
      <c r="B26" s="150" t="s">
        <v>458</v>
      </c>
      <c r="C26" s="131"/>
      <c r="D26" s="144" t="s">
        <v>396</v>
      </c>
      <c r="E26" s="145">
        <v>676.64</v>
      </c>
      <c r="F26" s="144">
        <v>0</v>
      </c>
      <c r="G26" s="146">
        <v>0</v>
      </c>
      <c r="H26" s="147">
        <v>0</v>
      </c>
      <c r="I26" s="146">
        <v>0</v>
      </c>
      <c r="J26" s="148">
        <f t="shared" si="1"/>
        <v>676.64</v>
      </c>
      <c r="K26" s="367" t="s">
        <v>444</v>
      </c>
      <c r="L26" s="367"/>
      <c r="M26" s="368" t="str">
        <f>+M24</f>
        <v>จาก พาณิชย์ จ.พะเยา</v>
      </c>
      <c r="N26" s="367"/>
      <c r="O26" s="369"/>
    </row>
    <row r="27" spans="1:15" x14ac:dyDescent="0.5">
      <c r="A27" s="149">
        <v>14</v>
      </c>
      <c r="B27" s="150" t="s">
        <v>459</v>
      </c>
      <c r="C27" s="131"/>
      <c r="D27" s="144" t="s">
        <v>396</v>
      </c>
      <c r="E27" s="145">
        <v>546.63</v>
      </c>
      <c r="F27" s="144">
        <v>0</v>
      </c>
      <c r="G27" s="146">
        <v>0</v>
      </c>
      <c r="H27" s="147">
        <v>0</v>
      </c>
      <c r="I27" s="146">
        <v>0</v>
      </c>
      <c r="J27" s="148">
        <f t="shared" si="1"/>
        <v>546.63</v>
      </c>
      <c r="K27" s="367" t="s">
        <v>444</v>
      </c>
      <c r="L27" s="367"/>
      <c r="M27" s="368" t="str">
        <f t="shared" ref="M27" si="3">+M26</f>
        <v>จาก พาณิชย์ จ.พะเยา</v>
      </c>
      <c r="N27" s="367"/>
      <c r="O27" s="369"/>
    </row>
    <row r="28" spans="1:15" x14ac:dyDescent="0.5">
      <c r="A28" s="155">
        <v>15</v>
      </c>
      <c r="B28" s="150" t="s">
        <v>460</v>
      </c>
      <c r="C28" s="131"/>
      <c r="D28" s="144" t="s">
        <v>461</v>
      </c>
      <c r="E28" s="145">
        <v>40</v>
      </c>
      <c r="F28" s="144">
        <v>0</v>
      </c>
      <c r="G28" s="146">
        <v>0</v>
      </c>
      <c r="H28" s="147">
        <v>0</v>
      </c>
      <c r="I28" s="146">
        <v>0</v>
      </c>
      <c r="J28" s="148">
        <f t="shared" si="1"/>
        <v>40</v>
      </c>
      <c r="K28" s="367" t="s">
        <v>444</v>
      </c>
      <c r="L28" s="367"/>
      <c r="M28" s="368" t="str">
        <f>+M25</f>
        <v>จาก แหล่ง อ.เชียงคำ จ.พะเยา</v>
      </c>
      <c r="N28" s="367"/>
      <c r="O28" s="369"/>
    </row>
    <row r="29" spans="1:15" x14ac:dyDescent="0.5">
      <c r="A29" s="143">
        <v>16</v>
      </c>
      <c r="B29" s="150" t="s">
        <v>462</v>
      </c>
      <c r="C29" s="131"/>
      <c r="D29" s="144" t="s">
        <v>400</v>
      </c>
      <c r="E29" s="145">
        <v>528.04</v>
      </c>
      <c r="F29" s="144">
        <v>0</v>
      </c>
      <c r="G29" s="146">
        <v>0</v>
      </c>
      <c r="H29" s="147">
        <v>0</v>
      </c>
      <c r="I29" s="146">
        <v>0</v>
      </c>
      <c r="J29" s="148">
        <f t="shared" si="1"/>
        <v>528.04</v>
      </c>
      <c r="K29" s="367" t="s">
        <v>444</v>
      </c>
      <c r="L29" s="367"/>
      <c r="M29" s="368" t="str">
        <f>+M24</f>
        <v>จาก พาณิชย์ จ.พะเยา</v>
      </c>
      <c r="N29" s="367"/>
      <c r="O29" s="369"/>
    </row>
    <row r="30" spans="1:15" s="162" customFormat="1" x14ac:dyDescent="0.5">
      <c r="A30" s="143">
        <v>17</v>
      </c>
      <c r="B30" s="156" t="s">
        <v>463</v>
      </c>
      <c r="C30" s="156"/>
      <c r="D30" s="157" t="s">
        <v>400</v>
      </c>
      <c r="E30" s="158"/>
      <c r="F30" s="157">
        <v>0</v>
      </c>
      <c r="G30" s="159">
        <v>0</v>
      </c>
      <c r="H30" s="160">
        <v>0</v>
      </c>
      <c r="I30" s="159">
        <v>0</v>
      </c>
      <c r="J30" s="161">
        <f t="shared" si="1"/>
        <v>0</v>
      </c>
      <c r="K30" s="370" t="s">
        <v>444</v>
      </c>
      <c r="L30" s="370"/>
      <c r="M30" s="368" t="str">
        <f t="shared" ref="M30:M34" si="4">+M29</f>
        <v>จาก พาณิชย์ จ.พะเยา</v>
      </c>
      <c r="N30" s="367"/>
      <c r="O30" s="369"/>
    </row>
    <row r="31" spans="1:15" x14ac:dyDescent="0.5">
      <c r="A31" s="143">
        <v>18</v>
      </c>
      <c r="B31" s="131" t="s">
        <v>464</v>
      </c>
      <c r="C31" s="131"/>
      <c r="D31" s="144" t="s">
        <v>400</v>
      </c>
      <c r="E31" s="145"/>
      <c r="F31" s="144">
        <v>0</v>
      </c>
      <c r="G31" s="146">
        <v>0</v>
      </c>
      <c r="H31" s="147">
        <v>0</v>
      </c>
      <c r="I31" s="146">
        <v>0</v>
      </c>
      <c r="J31" s="148">
        <f t="shared" si="1"/>
        <v>0</v>
      </c>
      <c r="K31" s="368" t="s">
        <v>444</v>
      </c>
      <c r="L31" s="371"/>
      <c r="M31" s="368" t="str">
        <f t="shared" si="4"/>
        <v>จาก พาณิชย์ จ.พะเยา</v>
      </c>
      <c r="N31" s="367"/>
      <c r="O31" s="369"/>
    </row>
    <row r="32" spans="1:15" x14ac:dyDescent="0.5">
      <c r="A32" s="143">
        <v>19</v>
      </c>
      <c r="B32" s="131" t="s">
        <v>465</v>
      </c>
      <c r="C32" s="131"/>
      <c r="D32" s="144" t="s">
        <v>400</v>
      </c>
      <c r="E32" s="145"/>
      <c r="F32" s="144">
        <v>0</v>
      </c>
      <c r="G32" s="146">
        <v>0</v>
      </c>
      <c r="H32" s="147">
        <v>0</v>
      </c>
      <c r="I32" s="146">
        <v>0</v>
      </c>
      <c r="J32" s="148">
        <f t="shared" si="1"/>
        <v>0</v>
      </c>
      <c r="K32" s="368" t="s">
        <v>444</v>
      </c>
      <c r="L32" s="371"/>
      <c r="M32" s="368" t="str">
        <f t="shared" si="4"/>
        <v>จาก พาณิชย์ จ.พะเยา</v>
      </c>
      <c r="N32" s="367"/>
      <c r="O32" s="369"/>
    </row>
    <row r="33" spans="1:15" x14ac:dyDescent="0.5">
      <c r="A33" s="143">
        <v>20</v>
      </c>
      <c r="B33" s="131" t="s">
        <v>466</v>
      </c>
      <c r="C33" s="131"/>
      <c r="D33" s="144" t="s">
        <v>212</v>
      </c>
      <c r="E33" s="145"/>
      <c r="F33" s="144">
        <v>0</v>
      </c>
      <c r="G33" s="146">
        <v>0</v>
      </c>
      <c r="H33" s="147">
        <v>0</v>
      </c>
      <c r="I33" s="146">
        <v>0</v>
      </c>
      <c r="J33" s="148">
        <f>ROUNDDOWN(E33/3,2)</f>
        <v>0</v>
      </c>
      <c r="K33" s="368" t="s">
        <v>444</v>
      </c>
      <c r="L33" s="371"/>
      <c r="M33" s="368" t="str">
        <f t="shared" si="4"/>
        <v>จาก พาณิชย์ จ.พะเยา</v>
      </c>
      <c r="N33" s="367"/>
      <c r="O33" s="369"/>
    </row>
    <row r="34" spans="1:15" ht="19.5" thickBot="1" x14ac:dyDescent="0.55000000000000004">
      <c r="A34" s="163">
        <v>21</v>
      </c>
      <c r="B34" s="164" t="s">
        <v>467</v>
      </c>
      <c r="C34" s="165"/>
      <c r="D34" s="166" t="s">
        <v>399</v>
      </c>
      <c r="E34" s="167">
        <v>56.07</v>
      </c>
      <c r="F34" s="166">
        <v>0</v>
      </c>
      <c r="G34" s="168">
        <v>0</v>
      </c>
      <c r="H34" s="169">
        <v>0</v>
      </c>
      <c r="I34" s="168">
        <v>0</v>
      </c>
      <c r="J34" s="170">
        <f>ROUNDDOWN(E34+G34+H34,2)</f>
        <v>56.07</v>
      </c>
      <c r="K34" s="372" t="s">
        <v>444</v>
      </c>
      <c r="L34" s="373"/>
      <c r="M34" s="365" t="str">
        <f t="shared" si="4"/>
        <v>จาก พาณิชย์ จ.พะเยา</v>
      </c>
      <c r="N34" s="360"/>
      <c r="O34" s="366"/>
    </row>
  </sheetData>
  <mergeCells count="52">
    <mergeCell ref="A1:O1"/>
    <mergeCell ref="E3:L3"/>
    <mergeCell ref="E4:L4"/>
    <mergeCell ref="A10:A11"/>
    <mergeCell ref="B10:C11"/>
    <mergeCell ref="D10:D11"/>
    <mergeCell ref="K10:L11"/>
    <mergeCell ref="M10:O10"/>
    <mergeCell ref="M11:O11"/>
    <mergeCell ref="K18:L18"/>
    <mergeCell ref="M18:O18"/>
    <mergeCell ref="K12:L12"/>
    <mergeCell ref="M12:O12"/>
    <mergeCell ref="K13:L13"/>
    <mergeCell ref="M13:O13"/>
    <mergeCell ref="K14:L14"/>
    <mergeCell ref="M14:O14"/>
    <mergeCell ref="K15:L15"/>
    <mergeCell ref="M15:O15"/>
    <mergeCell ref="K16:L16"/>
    <mergeCell ref="M16:O16"/>
    <mergeCell ref="M17:O17"/>
    <mergeCell ref="K19:L19"/>
    <mergeCell ref="M19:O19"/>
    <mergeCell ref="K21:L21"/>
    <mergeCell ref="M21:O21"/>
    <mergeCell ref="K22:L22"/>
    <mergeCell ref="M22:O22"/>
    <mergeCell ref="K23:L23"/>
    <mergeCell ref="M23:O23"/>
    <mergeCell ref="K24:L24"/>
    <mergeCell ref="M24:O24"/>
    <mergeCell ref="K25:L25"/>
    <mergeCell ref="M25:O25"/>
    <mergeCell ref="K26:L26"/>
    <mergeCell ref="M26:O26"/>
    <mergeCell ref="K27:L27"/>
    <mergeCell ref="M27:O27"/>
    <mergeCell ref="K28:L28"/>
    <mergeCell ref="M28:O28"/>
    <mergeCell ref="K29:L29"/>
    <mergeCell ref="M29:O29"/>
    <mergeCell ref="K30:L30"/>
    <mergeCell ref="M30:O30"/>
    <mergeCell ref="K31:L31"/>
    <mergeCell ref="M31:O31"/>
    <mergeCell ref="K32:L32"/>
    <mergeCell ref="M32:O32"/>
    <mergeCell ref="K33:L33"/>
    <mergeCell ref="M33:O33"/>
    <mergeCell ref="K34:L34"/>
    <mergeCell ref="M34:O3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70C0"/>
  </sheetPr>
  <dimension ref="A1:J24"/>
  <sheetViews>
    <sheetView workbookViewId="0">
      <selection activeCell="K19" sqref="K19"/>
    </sheetView>
  </sheetViews>
  <sheetFormatPr defaultRowHeight="21.95" customHeight="1" x14ac:dyDescent="0.5"/>
  <cols>
    <col min="1" max="1" width="6" customWidth="1"/>
    <col min="2" max="2" width="30" customWidth="1"/>
    <col min="3" max="3" width="8.85546875" customWidth="1"/>
    <col min="4" max="4" width="7.42578125" customWidth="1"/>
    <col min="5" max="5" width="13" customWidth="1"/>
    <col min="6" max="6" width="11.28515625" customWidth="1"/>
    <col min="7" max="7" width="13.5703125" customWidth="1"/>
    <col min="8" max="8" width="10.42578125" customWidth="1"/>
    <col min="9" max="9" width="11.42578125" customWidth="1"/>
    <col min="10" max="10" width="7.5703125" customWidth="1"/>
    <col min="11" max="11" width="14.42578125" customWidth="1"/>
    <col min="12" max="12" width="11.140625" customWidth="1"/>
    <col min="13" max="13" width="12.42578125" customWidth="1"/>
    <col min="14" max="14" width="13.28515625" customWidth="1"/>
    <col min="15" max="15" width="16.85546875" customWidth="1"/>
  </cols>
  <sheetData>
    <row r="1" spans="1:10" ht="21.95" customHeight="1" x14ac:dyDescent="0.5">
      <c r="A1" s="354" t="s">
        <v>648</v>
      </c>
      <c r="B1" s="354"/>
      <c r="C1" s="354"/>
      <c r="D1" s="354"/>
      <c r="E1" s="354"/>
      <c r="F1" s="354"/>
      <c r="G1" s="354"/>
      <c r="H1" s="354"/>
      <c r="I1" s="354"/>
      <c r="J1" s="354"/>
    </row>
    <row r="2" spans="1:10" ht="21.95" customHeight="1" x14ac:dyDescent="0.5">
      <c r="A2" s="98" t="s">
        <v>378</v>
      </c>
      <c r="B2" s="234"/>
      <c r="C2" s="99" t="s">
        <v>637</v>
      </c>
      <c r="D2" s="234"/>
      <c r="E2" s="234"/>
      <c r="F2" s="234"/>
      <c r="G2" s="234"/>
      <c r="H2" s="234"/>
      <c r="I2" s="234"/>
      <c r="J2" s="234"/>
    </row>
    <row r="3" spans="1:10" ht="21.95" customHeight="1" x14ac:dyDescent="0.5">
      <c r="A3" s="234"/>
      <c r="B3" s="234"/>
      <c r="C3" s="235" t="s">
        <v>638</v>
      </c>
      <c r="D3" s="234"/>
      <c r="E3" s="234"/>
      <c r="F3" s="234"/>
      <c r="G3" s="234"/>
      <c r="H3" s="234"/>
      <c r="I3" s="234"/>
      <c r="J3" s="234"/>
    </row>
    <row r="4" spans="1:10" ht="21.95" customHeight="1" x14ac:dyDescent="0.5">
      <c r="A4" s="98" t="s">
        <v>379</v>
      </c>
      <c r="C4" s="99" t="s">
        <v>332</v>
      </c>
      <c r="I4" s="98"/>
    </row>
    <row r="5" spans="1:10" ht="21.95" customHeight="1" x14ac:dyDescent="0.5">
      <c r="A5" s="98" t="s">
        <v>380</v>
      </c>
      <c r="C5" s="99" t="s">
        <v>381</v>
      </c>
      <c r="E5" s="98"/>
      <c r="F5" s="98"/>
      <c r="G5" s="98"/>
      <c r="H5" s="98"/>
    </row>
    <row r="6" spans="1:10" ht="21.95" customHeight="1" x14ac:dyDescent="0.5">
      <c r="A6" s="98" t="s">
        <v>382</v>
      </c>
      <c r="C6" s="99" t="s">
        <v>383</v>
      </c>
      <c r="E6" s="100"/>
      <c r="G6" s="98"/>
    </row>
    <row r="7" spans="1:10" ht="21.95" customHeight="1" x14ac:dyDescent="0.5">
      <c r="A7" s="101" t="s">
        <v>386</v>
      </c>
      <c r="B7" s="102" t="s">
        <v>1</v>
      </c>
      <c r="C7" s="102" t="s">
        <v>24</v>
      </c>
      <c r="D7" s="102" t="s">
        <v>25</v>
      </c>
      <c r="E7" s="103" t="s">
        <v>387</v>
      </c>
      <c r="F7" s="104"/>
      <c r="G7" s="105" t="s">
        <v>388</v>
      </c>
      <c r="H7" s="104"/>
      <c r="I7" s="102" t="s">
        <v>389</v>
      </c>
      <c r="J7" s="106" t="s">
        <v>20</v>
      </c>
    </row>
    <row r="8" spans="1:10" ht="21.95" customHeight="1" x14ac:dyDescent="0.5">
      <c r="A8" s="107" t="s">
        <v>0</v>
      </c>
      <c r="B8" s="108"/>
      <c r="C8" s="108"/>
      <c r="D8" s="108"/>
      <c r="E8" s="109" t="s">
        <v>390</v>
      </c>
      <c r="F8" s="109" t="s">
        <v>27</v>
      </c>
      <c r="G8" s="109" t="s">
        <v>390</v>
      </c>
      <c r="H8" s="109" t="s">
        <v>27</v>
      </c>
      <c r="I8" s="107" t="s">
        <v>391</v>
      </c>
      <c r="J8" s="108"/>
    </row>
    <row r="9" spans="1:10" ht="21.95" customHeight="1" x14ac:dyDescent="0.5">
      <c r="A9" s="110">
        <v>1</v>
      </c>
      <c r="B9" s="244" t="s">
        <v>639</v>
      </c>
      <c r="C9" s="108"/>
      <c r="D9" s="108"/>
      <c r="E9" s="109"/>
      <c r="F9" s="109"/>
      <c r="G9" s="109"/>
      <c r="H9" s="109"/>
      <c r="I9" s="107"/>
      <c r="J9" s="108"/>
    </row>
    <row r="10" spans="1:10" ht="21.95" customHeight="1" x14ac:dyDescent="0.5">
      <c r="A10" s="254"/>
      <c r="B10" s="245" t="s">
        <v>647</v>
      </c>
      <c r="C10" s="255">
        <v>9</v>
      </c>
      <c r="D10" s="115" t="s">
        <v>33</v>
      </c>
      <c r="E10" s="116">
        <v>290</v>
      </c>
      <c r="F10" s="125">
        <f t="shared" ref="F10" si="0">C10*E10</f>
        <v>2610</v>
      </c>
      <c r="G10" s="116">
        <v>0</v>
      </c>
      <c r="H10" s="118">
        <f t="shared" ref="H10" si="1">C10*G10</f>
        <v>0</v>
      </c>
      <c r="I10" s="260">
        <f t="shared" ref="I10" si="2">F10+H10</f>
        <v>2610</v>
      </c>
      <c r="J10" s="122"/>
    </row>
    <row r="11" spans="1:10" ht="21.95" customHeight="1" x14ac:dyDescent="0.5">
      <c r="A11" s="254"/>
      <c r="B11" s="256" t="s">
        <v>655</v>
      </c>
      <c r="C11" s="255"/>
      <c r="D11" s="115"/>
      <c r="E11" s="116"/>
      <c r="F11" s="117"/>
      <c r="G11" s="121"/>
      <c r="H11" s="124"/>
      <c r="I11" s="117"/>
      <c r="J11" s="122"/>
    </row>
    <row r="12" spans="1:10" ht="21.95" customHeight="1" x14ac:dyDescent="0.5">
      <c r="A12" s="110">
        <v>2</v>
      </c>
      <c r="B12" s="244" t="s">
        <v>641</v>
      </c>
      <c r="C12" s="108"/>
      <c r="D12" s="108"/>
      <c r="E12" s="109"/>
      <c r="F12" s="109"/>
      <c r="G12" s="109"/>
      <c r="H12" s="109"/>
      <c r="I12" s="107"/>
      <c r="J12" s="108"/>
    </row>
    <row r="13" spans="1:10" ht="21.95" customHeight="1" x14ac:dyDescent="0.5">
      <c r="A13" s="254"/>
      <c r="B13" s="249" t="s">
        <v>640</v>
      </c>
      <c r="C13" s="257">
        <v>20</v>
      </c>
      <c r="D13" s="115" t="s">
        <v>461</v>
      </c>
      <c r="E13" s="116">
        <v>3000</v>
      </c>
      <c r="F13" s="125">
        <f t="shared" ref="F13" si="3">C13*E13</f>
        <v>60000</v>
      </c>
      <c r="G13" s="116">
        <v>2000</v>
      </c>
      <c r="H13" s="118">
        <f t="shared" ref="H13" si="4">C13*G13</f>
        <v>40000</v>
      </c>
      <c r="I13" s="260">
        <f t="shared" ref="I13" si="5">F13+H13</f>
        <v>100000</v>
      </c>
      <c r="J13" s="122"/>
    </row>
    <row r="14" spans="1:10" ht="21.95" customHeight="1" x14ac:dyDescent="0.5">
      <c r="A14" s="241"/>
      <c r="B14" s="258" t="s">
        <v>652</v>
      </c>
      <c r="C14" s="251"/>
      <c r="D14" s="248"/>
      <c r="E14" s="116"/>
      <c r="F14" s="117"/>
      <c r="G14" s="121"/>
      <c r="H14" s="117"/>
      <c r="I14" s="117"/>
      <c r="J14" s="122"/>
    </row>
    <row r="15" spans="1:10" ht="21.95" customHeight="1" x14ac:dyDescent="0.5">
      <c r="A15" s="241"/>
      <c r="B15" s="258" t="s">
        <v>653</v>
      </c>
      <c r="C15" s="252"/>
      <c r="D15" s="248"/>
      <c r="E15" s="116"/>
      <c r="F15" s="117"/>
      <c r="G15" s="121"/>
      <c r="H15" s="117"/>
      <c r="I15" s="117"/>
      <c r="J15" s="122"/>
    </row>
    <row r="16" spans="1:10" ht="21.95" customHeight="1" x14ac:dyDescent="0.5">
      <c r="A16" s="241"/>
      <c r="B16" s="259" t="s">
        <v>654</v>
      </c>
      <c r="C16" s="253"/>
      <c r="D16" s="248"/>
      <c r="E16" s="116"/>
      <c r="F16" s="117"/>
      <c r="G16" s="121"/>
      <c r="H16" s="117"/>
      <c r="I16" s="117"/>
      <c r="J16" s="122"/>
    </row>
    <row r="17" spans="1:10" ht="21.95" customHeight="1" x14ac:dyDescent="0.5">
      <c r="A17" s="126">
        <v>3</v>
      </c>
      <c r="B17" s="244" t="s">
        <v>643</v>
      </c>
      <c r="C17" s="250"/>
      <c r="D17" s="115"/>
      <c r="E17" s="116"/>
      <c r="F17" s="117"/>
      <c r="G17" s="121"/>
      <c r="H17" s="117"/>
      <c r="I17" s="117"/>
      <c r="J17" s="122"/>
    </row>
    <row r="18" spans="1:10" ht="21.95" customHeight="1" x14ac:dyDescent="0.5">
      <c r="A18" s="241"/>
      <c r="B18" s="245" t="s">
        <v>642</v>
      </c>
      <c r="C18" s="243">
        <f>0.33*2400</f>
        <v>792</v>
      </c>
      <c r="D18" s="115" t="s">
        <v>33</v>
      </c>
      <c r="E18" s="116">
        <v>34</v>
      </c>
      <c r="F18" s="125">
        <f t="shared" ref="F18" si="6">C18*E18</f>
        <v>26928</v>
      </c>
      <c r="G18" s="116">
        <v>30</v>
      </c>
      <c r="H18" s="118">
        <f t="shared" ref="H18" si="7">C18*G18</f>
        <v>23760</v>
      </c>
      <c r="I18" s="260">
        <f t="shared" ref="I18" si="8">F18+H18</f>
        <v>50688</v>
      </c>
      <c r="J18" s="122"/>
    </row>
    <row r="19" spans="1:10" ht="21.95" customHeight="1" x14ac:dyDescent="0.5">
      <c r="A19" s="105"/>
      <c r="B19" s="246" t="s">
        <v>645</v>
      </c>
      <c r="C19" s="104"/>
      <c r="D19" s="122"/>
      <c r="E19" s="122"/>
      <c r="F19" s="122"/>
      <c r="G19" s="122"/>
      <c r="H19" s="122"/>
      <c r="I19" s="122"/>
      <c r="J19" s="122"/>
    </row>
    <row r="20" spans="1:10" ht="21.95" customHeight="1" x14ac:dyDescent="0.5">
      <c r="A20" s="242"/>
      <c r="B20" s="247" t="s">
        <v>651</v>
      </c>
      <c r="C20" s="239"/>
      <c r="D20" s="237"/>
      <c r="E20" s="237"/>
      <c r="F20" s="237"/>
      <c r="G20" s="237"/>
      <c r="H20" s="237"/>
      <c r="I20" s="237"/>
      <c r="J20" s="237"/>
    </row>
    <row r="21" spans="1:10" ht="21.95" customHeight="1" x14ac:dyDescent="0.5">
      <c r="A21" s="236">
        <v>4</v>
      </c>
      <c r="B21" s="244" t="s">
        <v>644</v>
      </c>
      <c r="C21" s="237"/>
      <c r="D21" s="237"/>
      <c r="E21" s="237"/>
      <c r="F21" s="237"/>
      <c r="G21" s="237"/>
      <c r="H21" s="237"/>
      <c r="I21" s="237"/>
      <c r="J21" s="237"/>
    </row>
    <row r="22" spans="1:10" ht="21.95" customHeight="1" x14ac:dyDescent="0.5">
      <c r="A22" s="114"/>
      <c r="B22" s="238" t="s">
        <v>646</v>
      </c>
      <c r="C22" s="116">
        <v>500</v>
      </c>
      <c r="D22" s="115" t="s">
        <v>33</v>
      </c>
      <c r="E22" s="116">
        <v>500</v>
      </c>
      <c r="F22" s="125">
        <f t="shared" ref="F22" si="9">C22*E22</f>
        <v>250000</v>
      </c>
      <c r="G22" s="116">
        <v>0</v>
      </c>
      <c r="H22" s="118">
        <f t="shared" ref="H22" si="10">C22*G22</f>
        <v>0</v>
      </c>
      <c r="I22" s="260">
        <f t="shared" ref="I22" si="11">F22+H22</f>
        <v>250000</v>
      </c>
      <c r="J22" s="122"/>
    </row>
    <row r="23" spans="1:10" ht="21.95" customHeight="1" x14ac:dyDescent="0.5">
      <c r="A23" s="122"/>
      <c r="B23" t="s">
        <v>649</v>
      </c>
      <c r="C23" s="122"/>
      <c r="D23" s="122"/>
      <c r="E23" s="122"/>
      <c r="F23" s="122"/>
      <c r="G23" s="122"/>
      <c r="H23" s="122"/>
      <c r="I23" s="122"/>
      <c r="J23" s="122"/>
    </row>
    <row r="24" spans="1:10" ht="21.95" customHeight="1" x14ac:dyDescent="0.5">
      <c r="A24" s="122"/>
      <c r="B24" s="240" t="s">
        <v>650</v>
      </c>
      <c r="C24" s="122"/>
      <c r="D24" s="122"/>
      <c r="E24" s="122"/>
      <c r="F24" s="122"/>
      <c r="G24" s="122"/>
      <c r="H24" s="122"/>
      <c r="I24" s="122"/>
      <c r="J24" s="122"/>
    </row>
  </sheetData>
  <mergeCells count="1">
    <mergeCell ref="A1:J1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</sheetPr>
  <dimension ref="A1:Y176"/>
  <sheetViews>
    <sheetView view="pageBreakPreview" topLeftCell="A160" zoomScaleNormal="148" zoomScaleSheetLayoutView="100" workbookViewId="0">
      <selection activeCell="Q36" sqref="Q36"/>
    </sheetView>
  </sheetViews>
  <sheetFormatPr defaultColWidth="9.140625" defaultRowHeight="15.75" x14ac:dyDescent="0.25"/>
  <cols>
    <col min="1" max="1" width="2.7109375" style="379" customWidth="1"/>
    <col min="2" max="2" width="8.7109375" style="379" customWidth="1"/>
    <col min="3" max="3" width="6.42578125" style="379" customWidth="1"/>
    <col min="4" max="4" width="7.5703125" style="379" customWidth="1"/>
    <col min="5" max="5" width="6.85546875" style="379" customWidth="1"/>
    <col min="6" max="6" width="6.7109375" style="379" customWidth="1"/>
    <col min="7" max="7" width="12.140625" style="379" customWidth="1"/>
    <col min="8" max="8" width="7" style="379" customWidth="1"/>
    <col min="9" max="9" width="9" style="379" customWidth="1"/>
    <col min="10" max="10" width="4.28515625" style="379" customWidth="1"/>
    <col min="11" max="11" width="4" style="379" customWidth="1"/>
    <col min="12" max="12" width="11" style="379" customWidth="1"/>
    <col min="13" max="13" width="13.85546875" style="379" customWidth="1"/>
    <col min="14" max="14" width="10.42578125" style="379" hidden="1" customWidth="1"/>
    <col min="15" max="15" width="7.140625" style="379" customWidth="1"/>
    <col min="16" max="16" width="14.140625" style="379" customWidth="1"/>
    <col min="17" max="17" width="7.5703125" style="379" customWidth="1"/>
    <col min="18" max="18" width="3.28515625" style="379" customWidth="1"/>
    <col min="19" max="19" width="9.5703125" style="379" customWidth="1"/>
    <col min="20" max="20" width="6.5703125" style="379" customWidth="1"/>
    <col min="21" max="21" width="13.5703125" style="379" customWidth="1"/>
    <col min="22" max="22" width="14.7109375" style="379" bestFit="1" customWidth="1"/>
    <col min="23" max="16384" width="9.140625" style="379"/>
  </cols>
  <sheetData>
    <row r="1" spans="1:24" ht="21" x14ac:dyDescent="0.35">
      <c r="B1" s="380" t="s">
        <v>3</v>
      </c>
      <c r="C1" s="380"/>
      <c r="D1" s="380"/>
      <c r="E1" s="380"/>
      <c r="F1" s="380"/>
      <c r="G1" s="380"/>
      <c r="H1" s="380"/>
      <c r="I1" s="380"/>
      <c r="J1" s="380"/>
      <c r="K1" s="380"/>
      <c r="L1" s="380"/>
      <c r="P1" s="381" t="s">
        <v>1325</v>
      </c>
      <c r="Q1" s="382"/>
    </row>
    <row r="2" spans="1:24" s="385" customFormat="1" ht="21" x14ac:dyDescent="0.35">
      <c r="A2" s="383"/>
      <c r="B2" s="384" t="s">
        <v>332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N2" s="379"/>
      <c r="P2" s="386" t="s">
        <v>1326</v>
      </c>
      <c r="Q2" s="387"/>
      <c r="R2" s="388"/>
      <c r="S2" s="387"/>
      <c r="T2" s="389"/>
      <c r="U2" s="379"/>
      <c r="V2" s="379"/>
    </row>
    <row r="3" spans="1:24" s="385" customFormat="1" ht="21" x14ac:dyDescent="0.35">
      <c r="A3" s="383"/>
      <c r="B3" s="390"/>
      <c r="C3" s="390"/>
      <c r="D3" s="390"/>
      <c r="E3" s="390"/>
      <c r="F3" s="390"/>
      <c r="G3" s="390"/>
      <c r="H3" s="390"/>
      <c r="I3" s="391" t="s">
        <v>1335</v>
      </c>
      <c r="J3" s="390"/>
      <c r="K3" s="390"/>
      <c r="L3" s="390"/>
      <c r="N3" s="379"/>
      <c r="P3" s="386"/>
      <c r="Q3" s="387"/>
      <c r="R3" s="388"/>
      <c r="S3" s="387"/>
      <c r="T3" s="389"/>
      <c r="U3" s="379"/>
      <c r="V3" s="379"/>
    </row>
    <row r="4" spans="1:24" s="385" customFormat="1" ht="17.25" customHeight="1" x14ac:dyDescent="0.25">
      <c r="A4" s="379"/>
      <c r="B4" s="392" t="s">
        <v>1327</v>
      </c>
      <c r="C4" s="379"/>
      <c r="D4" s="379" t="s">
        <v>637</v>
      </c>
      <c r="E4" s="379"/>
      <c r="F4" s="379"/>
      <c r="G4" s="379"/>
      <c r="J4" s="379"/>
      <c r="K4" s="379"/>
      <c r="L4" s="379"/>
      <c r="M4" s="379"/>
      <c r="N4" s="379"/>
      <c r="O4" s="379"/>
      <c r="P4" s="379" t="s">
        <v>70</v>
      </c>
      <c r="Q4" s="393">
        <v>1</v>
      </c>
      <c r="R4" s="394" t="s">
        <v>150</v>
      </c>
      <c r="S4" s="379" t="s">
        <v>153</v>
      </c>
      <c r="T4" s="379"/>
    </row>
    <row r="5" spans="1:24" ht="17.25" customHeight="1" x14ac:dyDescent="0.25">
      <c r="D5" s="395" t="s">
        <v>638</v>
      </c>
      <c r="M5" s="396"/>
      <c r="P5" s="379" t="s">
        <v>72</v>
      </c>
      <c r="Q5" s="393">
        <v>2</v>
      </c>
      <c r="R5" s="394" t="s">
        <v>150</v>
      </c>
      <c r="S5" s="379" t="s">
        <v>168</v>
      </c>
      <c r="U5" s="385"/>
      <c r="V5" s="385"/>
    </row>
    <row r="6" spans="1:24" ht="17.25" customHeight="1" x14ac:dyDescent="0.3">
      <c r="B6" s="392" t="s">
        <v>1328</v>
      </c>
      <c r="D6" s="395" t="s">
        <v>332</v>
      </c>
      <c r="P6" s="397" t="s">
        <v>74</v>
      </c>
      <c r="Q6" s="398">
        <v>1.0129999999999999</v>
      </c>
      <c r="R6" s="394" t="s">
        <v>150</v>
      </c>
      <c r="S6" s="399" t="s">
        <v>151</v>
      </c>
      <c r="T6" s="400"/>
    </row>
    <row r="7" spans="1:24" ht="17.25" customHeight="1" x14ac:dyDescent="0.3">
      <c r="B7" s="379" t="s">
        <v>49</v>
      </c>
      <c r="C7" s="401" t="s">
        <v>635</v>
      </c>
      <c r="E7" s="379" t="s">
        <v>48</v>
      </c>
      <c r="F7" s="395" t="s">
        <v>604</v>
      </c>
      <c r="G7" s="395"/>
      <c r="H7" s="395"/>
      <c r="I7" s="395"/>
      <c r="J7" s="395"/>
      <c r="R7" s="394" t="s">
        <v>150</v>
      </c>
      <c r="S7" s="399" t="s">
        <v>152</v>
      </c>
    </row>
    <row r="8" spans="1:24" ht="17.25" customHeight="1" x14ac:dyDescent="0.25">
      <c r="B8" s="379" t="s">
        <v>50</v>
      </c>
      <c r="C8" s="402" t="s">
        <v>605</v>
      </c>
      <c r="D8" s="403"/>
      <c r="E8" s="403"/>
      <c r="F8" s="403"/>
      <c r="G8" s="404"/>
      <c r="I8" s="405" t="s">
        <v>614</v>
      </c>
      <c r="J8" s="405"/>
      <c r="K8" s="405"/>
      <c r="L8" s="406">
        <v>1.2</v>
      </c>
      <c r="M8" s="407" t="s">
        <v>44</v>
      </c>
      <c r="P8" s="379" t="s">
        <v>154</v>
      </c>
      <c r="Q8" s="393">
        <v>6</v>
      </c>
      <c r="R8" s="379" t="s">
        <v>69</v>
      </c>
      <c r="S8" s="379" t="s">
        <v>155</v>
      </c>
    </row>
    <row r="9" spans="1:24" ht="17.25" customHeight="1" x14ac:dyDescent="0.25">
      <c r="A9" s="475" t="s">
        <v>149</v>
      </c>
      <c r="B9" s="475"/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385"/>
      <c r="P9" s="379" t="s">
        <v>71</v>
      </c>
      <c r="Q9" s="393">
        <v>0</v>
      </c>
      <c r="R9" s="379" t="s">
        <v>69</v>
      </c>
    </row>
    <row r="10" spans="1:24" ht="17.25" customHeight="1" x14ac:dyDescent="0.25">
      <c r="A10" s="379">
        <v>1</v>
      </c>
      <c r="B10" s="410" t="s">
        <v>325</v>
      </c>
      <c r="E10" s="379" t="s">
        <v>57</v>
      </c>
      <c r="G10" s="411">
        <v>315.42</v>
      </c>
      <c r="H10" s="403" t="s">
        <v>4</v>
      </c>
      <c r="I10" s="379" t="s">
        <v>5</v>
      </c>
      <c r="J10" s="395">
        <v>25</v>
      </c>
      <c r="K10" s="394" t="s">
        <v>6</v>
      </c>
      <c r="L10" s="412">
        <f>IF(Q$4=1,IF(J10&lt;=200,VLOOKUP(J10,'S2'!B$5:'S2'!F$204,3),IF(J10&gt;200,(J10-200)*'S2'!D$205+'S2'!D$204)),IF(Q$4=2,IF(J10&lt;=200,VLOOKUP(J10,'S2'!B$5:'S2'!F$204,5),IF(J10&gt;200,(J10-200)*'S2'!F$205+'S2'!F$204))))</f>
        <v>92.88</v>
      </c>
      <c r="M10" s="379" t="s">
        <v>19</v>
      </c>
      <c r="N10" s="385">
        <f>G10+L10</f>
        <v>408.3</v>
      </c>
      <c r="P10" s="379" t="s">
        <v>73</v>
      </c>
      <c r="Q10" s="393">
        <v>0</v>
      </c>
      <c r="R10" s="379" t="s">
        <v>69</v>
      </c>
      <c r="T10" s="385"/>
    </row>
    <row r="11" spans="1:24" ht="17.25" customHeight="1" x14ac:dyDescent="0.25">
      <c r="A11" s="379">
        <v>2</v>
      </c>
      <c r="B11" s="410" t="str">
        <f>B10</f>
        <v>ต.แม่กา อ.เมือง จ.พะเยา</v>
      </c>
      <c r="E11" s="379" t="s">
        <v>67</v>
      </c>
      <c r="G11" s="411">
        <v>405.14</v>
      </c>
      <c r="H11" s="403" t="s">
        <v>4</v>
      </c>
      <c r="I11" s="379" t="s">
        <v>5</v>
      </c>
      <c r="J11" s="395">
        <f>J10</f>
        <v>25</v>
      </c>
      <c r="K11" s="394" t="s">
        <v>6</v>
      </c>
      <c r="L11" s="412">
        <f>IF(Q$4=1,IF(J11&lt;=200,VLOOKUP(J11,'S2'!B$5:'S2'!F$204,3),IF(J11&gt;200,(J11-200)*'S2'!D$205+'S2'!D$204)),IF(Q$4=2,IF(J11&lt;=200,VLOOKUP(J11,'S2'!B$5:'S2'!F$204,5),IF(J11&gt;200,(J11-200)*'S2'!F$205+'S2'!F$204))))</f>
        <v>92.88</v>
      </c>
      <c r="M11" s="379" t="s">
        <v>19</v>
      </c>
      <c r="N11" s="385">
        <f t="shared" ref="N11:N14" si="0">G11+L11</f>
        <v>498.02</v>
      </c>
      <c r="P11" s="379" t="s">
        <v>75</v>
      </c>
      <c r="Q11" s="393">
        <v>0</v>
      </c>
      <c r="R11" s="379" t="s">
        <v>69</v>
      </c>
    </row>
    <row r="12" spans="1:24" ht="17.25" customHeight="1" x14ac:dyDescent="0.25">
      <c r="A12" s="379">
        <v>3</v>
      </c>
      <c r="B12" s="410" t="str">
        <f t="shared" ref="B12:B15" si="1">B11</f>
        <v>ต.แม่กา อ.เมือง จ.พะเยา</v>
      </c>
      <c r="E12" s="379" t="s">
        <v>145</v>
      </c>
      <c r="G12" s="411">
        <v>495.33</v>
      </c>
      <c r="H12" s="403" t="s">
        <v>4</v>
      </c>
      <c r="I12" s="379" t="s">
        <v>7</v>
      </c>
      <c r="J12" s="395">
        <f t="shared" ref="J12:J15" si="2">J11</f>
        <v>25</v>
      </c>
      <c r="K12" s="394" t="s">
        <v>6</v>
      </c>
      <c r="L12" s="412">
        <f>IF(Q$4=1,IF(J12&lt;=200,VLOOKUP(J12,'S2'!B$5:'S2'!F$204,3),IF(J12&gt;200,(J12-200)*'S2'!D$205+'S2'!D$204)),IF(Q$4=2,IF(J12&lt;=200,VLOOKUP(J12,'S2'!B$5:'S2'!F$204,5),IF(J12&gt;200,(J12-200)*'S2'!F$205+'S2'!F$204))))</f>
        <v>92.88</v>
      </c>
      <c r="M12" s="379" t="s">
        <v>19</v>
      </c>
      <c r="N12" s="385">
        <f t="shared" si="0"/>
        <v>588.21</v>
      </c>
      <c r="P12" s="379" t="s">
        <v>76</v>
      </c>
      <c r="Q12" s="393">
        <v>7</v>
      </c>
      <c r="R12" s="379" t="s">
        <v>69</v>
      </c>
    </row>
    <row r="13" spans="1:24" ht="17.25" customHeight="1" x14ac:dyDescent="0.25">
      <c r="A13" s="379">
        <v>4</v>
      </c>
      <c r="B13" s="410" t="str">
        <f t="shared" si="1"/>
        <v>ต.แม่กา อ.เมือง จ.พะเยา</v>
      </c>
      <c r="E13" s="379" t="s">
        <v>146</v>
      </c>
      <c r="G13" s="411">
        <v>467.29</v>
      </c>
      <c r="H13" s="403" t="s">
        <v>4</v>
      </c>
      <c r="I13" s="379" t="s">
        <v>7</v>
      </c>
      <c r="J13" s="395">
        <f t="shared" si="2"/>
        <v>25</v>
      </c>
      <c r="K13" s="394" t="s">
        <v>6</v>
      </c>
      <c r="L13" s="412">
        <f>IF(Q$4=1,IF(J13&lt;=200,VLOOKUP(J13,'S2'!B$5:'S2'!F$204,3),IF(J13&gt;200,(J13-200)*'S2'!D$205+'S2'!D$204)),IF(Q$4=2,IF(J13&lt;=200,VLOOKUP(J13,'S2'!B$5:'S2'!F$204,5),IF(J13&gt;200,(J13-200)*'S2'!F$205+'S2'!F$204))))</f>
        <v>92.88</v>
      </c>
      <c r="M13" s="379" t="s">
        <v>19</v>
      </c>
      <c r="N13" s="385">
        <f t="shared" si="0"/>
        <v>560.17000000000007</v>
      </c>
      <c r="P13" s="413" t="s">
        <v>77</v>
      </c>
      <c r="Q13" s="414">
        <f>+F167</f>
        <v>33.5</v>
      </c>
      <c r="R13" s="415"/>
      <c r="S13" s="416" t="s">
        <v>1329</v>
      </c>
      <c r="T13" s="413"/>
    </row>
    <row r="14" spans="1:24" ht="17.25" customHeight="1" x14ac:dyDescent="0.25">
      <c r="A14" s="379">
        <v>5</v>
      </c>
      <c r="B14" s="410" t="str">
        <f t="shared" si="1"/>
        <v>ต.แม่กา อ.เมือง จ.พะเยา</v>
      </c>
      <c r="E14" s="379" t="s">
        <v>147</v>
      </c>
      <c r="G14" s="411">
        <v>401.87</v>
      </c>
      <c r="H14" s="403" t="s">
        <v>4</v>
      </c>
      <c r="I14" s="379" t="s">
        <v>7</v>
      </c>
      <c r="J14" s="395">
        <f t="shared" si="2"/>
        <v>25</v>
      </c>
      <c r="K14" s="394" t="s">
        <v>6</v>
      </c>
      <c r="L14" s="412">
        <f>IF(Q$4=1,IF(J14&lt;=200,VLOOKUP(J14,'S2'!B$5:'S2'!F$204,3),IF(J14&gt;200,(J14-200)*'S2'!D$205+'S2'!D$204)),IF(Q$4=2,IF(J14&lt;=200,VLOOKUP(J14,'S2'!B$5:'S2'!F$204,5),IF(J14&gt;200,(J14-200)*'S2'!F$205+'S2'!F$204))))</f>
        <v>92.88</v>
      </c>
      <c r="M14" s="379" t="s">
        <v>19</v>
      </c>
      <c r="N14" s="385">
        <f t="shared" si="0"/>
        <v>494.75</v>
      </c>
      <c r="P14" s="412" t="s">
        <v>78</v>
      </c>
      <c r="Q14" s="417">
        <v>0</v>
      </c>
      <c r="R14" s="418">
        <v>0</v>
      </c>
      <c r="S14" s="413" t="s">
        <v>79</v>
      </c>
      <c r="T14" s="419"/>
    </row>
    <row r="15" spans="1:24" ht="17.25" customHeight="1" x14ac:dyDescent="0.25">
      <c r="A15" s="379">
        <v>6</v>
      </c>
      <c r="B15" s="410" t="str">
        <f t="shared" si="1"/>
        <v>ต.แม่กา อ.เมือง จ.พะเยา</v>
      </c>
      <c r="E15" s="379" t="s">
        <v>148</v>
      </c>
      <c r="G15" s="420">
        <f>0.5*G11+0.25*G12+0.1*G13+0.15*G14</f>
        <v>433.41199999999998</v>
      </c>
      <c r="H15" s="403" t="s">
        <v>4</v>
      </c>
      <c r="I15" s="379" t="s">
        <v>7</v>
      </c>
      <c r="J15" s="395">
        <f t="shared" si="2"/>
        <v>25</v>
      </c>
      <c r="K15" s="394" t="s">
        <v>6</v>
      </c>
      <c r="L15" s="412">
        <f>IF(Q$4=1,IF(J15&lt;=200,VLOOKUP(J15,'S2'!B$5:'S2'!F$204,3),IF(J15&gt;200,(J15-200)*'S2'!D$205+'S2'!D$204)),IF(Q$4=2,IF(J15&lt;=200,VLOOKUP(J15,'S2'!B$5:'S2'!F$204,5),IF(J15&gt;200,(J15-200)*'S2'!F$205+'S2'!F$204))))</f>
        <v>92.88</v>
      </c>
      <c r="M15" s="379" t="s">
        <v>19</v>
      </c>
      <c r="N15" s="420">
        <f>0.5*N11+0.25*N12+0.1*N13+0.15*N14</f>
        <v>526.29200000000003</v>
      </c>
      <c r="P15" s="421"/>
      <c r="Q15" s="394"/>
      <c r="R15" s="418">
        <v>1</v>
      </c>
      <c r="S15" s="403" t="s">
        <v>284</v>
      </c>
      <c r="T15" s="422"/>
      <c r="U15" s="422"/>
      <c r="V15" s="422"/>
      <c r="W15" s="422"/>
      <c r="X15" s="422"/>
    </row>
    <row r="16" spans="1:24" ht="17.25" customHeight="1" x14ac:dyDescent="0.25">
      <c r="A16" s="379">
        <v>7</v>
      </c>
      <c r="B16" s="410" t="s">
        <v>326</v>
      </c>
      <c r="E16" s="379" t="s">
        <v>198</v>
      </c>
      <c r="G16" s="423">
        <v>15</v>
      </c>
      <c r="H16" s="403" t="s">
        <v>4</v>
      </c>
      <c r="I16" s="379" t="s">
        <v>7</v>
      </c>
      <c r="J16" s="395">
        <v>1</v>
      </c>
      <c r="K16" s="394" t="s">
        <v>6</v>
      </c>
      <c r="L16" s="412">
        <f>IF(Q$4=1,IF(J16&lt;=200,VLOOKUP(J16,'S2'!B$5:'S2'!F$204,3),IF(J16&gt;200,(J16-200)*'S2'!D$205+'S2'!D$204)),IF(Q$4=2,IF(J16&lt;=200,VLOOKUP(J16,'S2'!B$5:'S2'!F$204,5),IF(J16&gt;200,(J16-200)*'S2'!F$205+'S2'!F$204))))</f>
        <v>11.55</v>
      </c>
      <c r="M16" s="379" t="s">
        <v>19</v>
      </c>
      <c r="N16" s="379">
        <v>0.74</v>
      </c>
      <c r="R16" s="418">
        <v>2</v>
      </c>
      <c r="S16" s="403" t="s">
        <v>285</v>
      </c>
    </row>
    <row r="17" spans="1:25" ht="17.25" customHeight="1" x14ac:dyDescent="0.25">
      <c r="A17" s="379">
        <v>8</v>
      </c>
      <c r="B17" s="410" t="s">
        <v>326</v>
      </c>
      <c r="E17" s="379" t="s">
        <v>8</v>
      </c>
      <c r="G17" s="423">
        <v>15</v>
      </c>
      <c r="H17" s="403" t="s">
        <v>4</v>
      </c>
      <c r="I17" s="379" t="s">
        <v>7</v>
      </c>
      <c r="J17" s="395">
        <f t="shared" ref="J17:J18" si="3">J16</f>
        <v>1</v>
      </c>
      <c r="K17" s="394" t="s">
        <v>6</v>
      </c>
      <c r="L17" s="412">
        <f>IF(Q$4=1,IF(J17&lt;=200,VLOOKUP(J17,'S2'!B$5:'S2'!F$204,3),IF(J17&gt;200,(J17-200)*'S2'!D$205+'S2'!D$204)),IF(Q$4=2,IF(J17&lt;=200,VLOOKUP(J17,'S2'!B$5:'S2'!F$204,5),IF(J17&gt;200,(J17-200)*'S2'!F$205+'S2'!F$204))))</f>
        <v>11.55</v>
      </c>
      <c r="M17" s="379" t="s">
        <v>19</v>
      </c>
      <c r="P17" s="379" t="s">
        <v>1330</v>
      </c>
      <c r="Q17" s="415"/>
      <c r="R17" s="403"/>
    </row>
    <row r="18" spans="1:25" ht="17.25" customHeight="1" x14ac:dyDescent="0.25">
      <c r="A18" s="379">
        <v>9</v>
      </c>
      <c r="B18" s="410" t="s">
        <v>326</v>
      </c>
      <c r="E18" s="379" t="s">
        <v>173</v>
      </c>
      <c r="G18" s="424">
        <v>25</v>
      </c>
      <c r="H18" s="403" t="s">
        <v>4</v>
      </c>
      <c r="I18" s="379" t="s">
        <v>7</v>
      </c>
      <c r="J18" s="395">
        <f t="shared" si="3"/>
        <v>1</v>
      </c>
      <c r="K18" s="394" t="s">
        <v>6</v>
      </c>
      <c r="L18" s="412">
        <f>IF(Q$4=1,IF(J18&lt;=200,VLOOKUP(J18,'S2'!B$5:'S2'!F$204,3),IF(J18&gt;200,(J18-200)*'S2'!D$205+'S2'!D$204)),IF(Q$4=2,IF(J18&lt;=200,VLOOKUP(J18,'S2'!B$5:'S2'!F$204,5),IF(J18&gt;200,(J18-200)*'S2'!F$205+'S2'!F$204))))</f>
        <v>11.55</v>
      </c>
      <c r="M18" s="379" t="s">
        <v>19</v>
      </c>
      <c r="N18" s="379">
        <f>N15*N16</f>
        <v>389.45608000000004</v>
      </c>
      <c r="P18" s="379" t="s">
        <v>1331</v>
      </c>
      <c r="Q18" s="425"/>
      <c r="R18" s="415"/>
    </row>
    <row r="19" spans="1:25" ht="17.25" customHeight="1" x14ac:dyDescent="0.25">
      <c r="A19" s="379">
        <v>10</v>
      </c>
      <c r="B19" s="410" t="s">
        <v>327</v>
      </c>
      <c r="E19" s="379" t="s">
        <v>218</v>
      </c>
      <c r="G19" s="424">
        <v>2673</v>
      </c>
      <c r="H19" s="403" t="s">
        <v>9</v>
      </c>
      <c r="I19" s="379" t="s">
        <v>13</v>
      </c>
      <c r="J19" s="395">
        <v>690</v>
      </c>
      <c r="K19" s="394" t="s">
        <v>6</v>
      </c>
      <c r="L19" s="412">
        <f>IF(Q$5=1,IF(J19&lt;=200,VLOOKUP(J19,'S2'!B$5:'S2'!F$204,2),IF(J19&gt;200,(J19-200)*'S2'!C$205+'S2'!C$204)),IF(Q$5=2,IF(J19&lt;=200,VLOOKUP(J19,'S2'!B$5:'S2'!F$204,4),IF(J19&gt;200,(J19-200)*'S2'!E$205+'S2'!E$204))))</f>
        <v>1130.79</v>
      </c>
      <c r="M19" s="379" t="s">
        <v>10</v>
      </c>
      <c r="O19" s="394"/>
      <c r="P19" s="392"/>
      <c r="R19" s="415"/>
      <c r="T19" s="413"/>
    </row>
    <row r="20" spans="1:25" ht="17.25" customHeight="1" x14ac:dyDescent="0.25">
      <c r="A20" s="379">
        <v>11</v>
      </c>
      <c r="B20" s="410" t="s">
        <v>327</v>
      </c>
      <c r="E20" s="379" t="s">
        <v>142</v>
      </c>
      <c r="G20" s="424">
        <v>26966.67</v>
      </c>
      <c r="H20" s="403" t="s">
        <v>9</v>
      </c>
      <c r="I20" s="379" t="s">
        <v>12</v>
      </c>
      <c r="J20" s="395">
        <f>+J19</f>
        <v>690</v>
      </c>
      <c r="K20" s="394" t="s">
        <v>6</v>
      </c>
      <c r="L20" s="412">
        <f>IF(Q$5=1,IF(J20&lt;=200,VLOOKUP(J20,'S2'!B$5:'S2'!F$204,2),IF(J20&gt;200,(J20-200)*'S2'!C$205+'S2'!C$204)),IF(Q$5=2,IF(J20&lt;=200,VLOOKUP(J20,'S2'!B$5:'S2'!F$204,4),IF(J20&gt;200,(J20-200)*'S2'!E$205+'S2'!E$204))))</f>
        <v>1130.79</v>
      </c>
      <c r="M20" s="379" t="s">
        <v>10</v>
      </c>
      <c r="O20" s="426"/>
      <c r="P20" s="427"/>
      <c r="Q20" s="428"/>
      <c r="R20" s="429"/>
      <c r="S20" s="430"/>
      <c r="T20" s="428"/>
      <c r="U20" s="428"/>
      <c r="V20" s="428"/>
    </row>
    <row r="21" spans="1:25" ht="17.25" customHeight="1" x14ac:dyDescent="0.25">
      <c r="A21" s="379">
        <v>12</v>
      </c>
      <c r="B21" s="410" t="s">
        <v>327</v>
      </c>
      <c r="E21" s="379" t="s">
        <v>143</v>
      </c>
      <c r="G21" s="424">
        <v>30853.33</v>
      </c>
      <c r="H21" s="403" t="s">
        <v>9</v>
      </c>
      <c r="I21" s="379" t="s">
        <v>11</v>
      </c>
      <c r="J21" s="395">
        <f>+J19</f>
        <v>690</v>
      </c>
      <c r="K21" s="394" t="s">
        <v>6</v>
      </c>
      <c r="L21" s="412">
        <f>IF(Q$5=1,IF(J21&lt;=200,VLOOKUP(J21,'S2'!B$5:'S2'!F$204,2),IF(J21&gt;200,(J21-200)*'S2'!C$205+'S2'!C$204)),IF(Q$5=2,IF(J21&lt;=200,VLOOKUP(J21,'S2'!B$5:'S2'!F$204,4),IF(J21&gt;200,(J21-200)*'S2'!E$205+'S2'!E$204))))</f>
        <v>1130.79</v>
      </c>
      <c r="M21" s="379" t="s">
        <v>10</v>
      </c>
      <c r="O21" s="426"/>
      <c r="P21" s="428"/>
      <c r="Q21" s="428"/>
      <c r="R21" s="429"/>
      <c r="S21" s="428"/>
      <c r="U21" s="428"/>
      <c r="V21" s="428"/>
      <c r="W21" s="431"/>
      <c r="Y21" s="394"/>
    </row>
    <row r="22" spans="1:25" ht="17.25" customHeight="1" x14ac:dyDescent="0.25">
      <c r="A22" s="379">
        <v>13</v>
      </c>
      <c r="B22" s="410" t="s">
        <v>327</v>
      </c>
      <c r="E22" s="379" t="s">
        <v>144</v>
      </c>
      <c r="G22" s="424">
        <v>26800</v>
      </c>
      <c r="H22" s="403" t="s">
        <v>9</v>
      </c>
      <c r="I22" s="379" t="s">
        <v>13</v>
      </c>
      <c r="J22" s="395">
        <f>+J19</f>
        <v>690</v>
      </c>
      <c r="K22" s="394" t="s">
        <v>6</v>
      </c>
      <c r="L22" s="412">
        <f>IF(Q$5=1,IF(J22&lt;=200,VLOOKUP(J22,'S2'!B$5:'S2'!F$204,2),IF(J22&gt;200,(J22-200)*'S2'!C$205+'S2'!C$204)),IF(Q$5=2,IF(J22&lt;=200,VLOOKUP(J22,'S2'!B$5:'S2'!F$204,4),IF(J22&gt;200,(J22-200)*'S2'!E$205+'S2'!E$204))))</f>
        <v>1130.79</v>
      </c>
      <c r="M22" s="379" t="s">
        <v>10</v>
      </c>
      <c r="O22" s="426"/>
      <c r="P22" s="428"/>
      <c r="Q22" s="432"/>
      <c r="R22" s="433"/>
      <c r="S22" s="428"/>
      <c r="T22" s="428"/>
      <c r="U22" s="428"/>
      <c r="V22" s="428"/>
      <c r="W22" s="434"/>
      <c r="Y22" s="394"/>
    </row>
    <row r="23" spans="1:25" ht="17.25" customHeight="1" x14ac:dyDescent="0.25">
      <c r="A23" s="379">
        <v>14</v>
      </c>
      <c r="B23" s="410" t="s">
        <v>327</v>
      </c>
      <c r="E23" s="379" t="s">
        <v>330</v>
      </c>
      <c r="G23" s="424">
        <v>45550</v>
      </c>
      <c r="H23" s="403" t="s">
        <v>9</v>
      </c>
      <c r="I23" s="379" t="s">
        <v>11</v>
      </c>
      <c r="J23" s="395">
        <f>+J19</f>
        <v>690</v>
      </c>
      <c r="K23" s="394" t="s">
        <v>6</v>
      </c>
      <c r="L23" s="412">
        <f>IF(Q$5=1,IF(J23&lt;=200,VLOOKUP(J23,'S2'!B$5:'S2'!F$204,2),IF(J23&gt;200,(J23-200)*'S2'!C$205+'S2'!C$204)),IF(Q$5=2,IF(J23&lt;=200,VLOOKUP(J23,'S2'!B$5:'S2'!F$204,4),IF(J23&gt;200,(J23-200)*'S2'!E$205+'S2'!E$204))))</f>
        <v>1130.79</v>
      </c>
      <c r="M23" s="379" t="s">
        <v>10</v>
      </c>
      <c r="O23" s="426"/>
      <c r="P23" s="428"/>
      <c r="Q23" s="432"/>
      <c r="R23" s="433"/>
      <c r="S23" s="428"/>
      <c r="T23" s="428"/>
      <c r="U23" s="428"/>
      <c r="V23" s="428"/>
      <c r="W23" s="434"/>
      <c r="Y23" s="394"/>
    </row>
    <row r="24" spans="1:25" ht="17.25" customHeight="1" x14ac:dyDescent="0.25">
      <c r="B24" s="435"/>
      <c r="G24" s="436"/>
      <c r="H24" s="403"/>
      <c r="J24" s="437"/>
      <c r="K24" s="394"/>
      <c r="L24" s="412"/>
      <c r="O24" s="426"/>
      <c r="P24" s="428"/>
      <c r="Q24" s="432"/>
      <c r="R24" s="433"/>
      <c r="S24" s="428"/>
      <c r="T24" s="428"/>
      <c r="U24" s="428"/>
      <c r="V24" s="428"/>
      <c r="W24" s="434"/>
      <c r="Y24" s="394"/>
    </row>
    <row r="25" spans="1:25" ht="17.25" customHeight="1" x14ac:dyDescent="0.25">
      <c r="G25" s="409" t="s">
        <v>14</v>
      </c>
      <c r="H25" s="408"/>
      <c r="O25" s="392"/>
      <c r="P25" s="428"/>
      <c r="Q25" s="432"/>
      <c r="R25" s="433"/>
      <c r="S25" s="430"/>
      <c r="T25" s="428"/>
      <c r="U25" s="428"/>
      <c r="V25" s="428"/>
      <c r="W25" s="434"/>
      <c r="Y25" s="394"/>
    </row>
    <row r="26" spans="1:25" ht="17.25" customHeight="1" x14ac:dyDescent="0.3">
      <c r="B26" s="438" t="s">
        <v>199</v>
      </c>
      <c r="C26" s="439"/>
      <c r="P26" s="428"/>
      <c r="Q26" s="432"/>
      <c r="R26" s="433"/>
      <c r="S26" s="428"/>
      <c r="T26" s="428"/>
      <c r="U26" s="428"/>
      <c r="V26" s="428"/>
      <c r="W26" s="434"/>
    </row>
    <row r="27" spans="1:25" ht="17.25" customHeight="1" x14ac:dyDescent="0.25">
      <c r="B27" s="413" t="s">
        <v>127</v>
      </c>
      <c r="C27" s="413"/>
      <c r="K27" s="394" t="s">
        <v>15</v>
      </c>
      <c r="L27" s="412">
        <f>+G16</f>
        <v>15</v>
      </c>
      <c r="M27" s="379" t="s">
        <v>58</v>
      </c>
      <c r="P27" s="428"/>
      <c r="Q27" s="440"/>
      <c r="R27" s="433"/>
      <c r="S27" s="428"/>
      <c r="T27" s="428"/>
      <c r="U27" s="428"/>
      <c r="V27" s="428"/>
      <c r="W27" s="441"/>
    </row>
    <row r="28" spans="1:25" ht="17.25" customHeight="1" x14ac:dyDescent="0.25">
      <c r="B28" s="413" t="s">
        <v>128</v>
      </c>
      <c r="C28" s="413"/>
      <c r="F28" s="408"/>
      <c r="K28" s="394" t="s">
        <v>15</v>
      </c>
      <c r="L28" s="412">
        <f>+'S2'!$BT$34</f>
        <v>22.41</v>
      </c>
      <c r="M28" s="379" t="s">
        <v>58</v>
      </c>
      <c r="P28" s="428"/>
      <c r="Q28" s="430"/>
      <c r="R28" s="428"/>
      <c r="S28" s="428"/>
      <c r="T28" s="428"/>
      <c r="U28" s="428"/>
      <c r="V28" s="428"/>
      <c r="W28" s="431"/>
    </row>
    <row r="29" spans="1:25" ht="17.25" customHeight="1" x14ac:dyDescent="0.25">
      <c r="B29" s="413" t="s">
        <v>129</v>
      </c>
      <c r="C29" s="413"/>
      <c r="K29" s="394" t="s">
        <v>15</v>
      </c>
      <c r="L29" s="412">
        <f>+L16</f>
        <v>11.55</v>
      </c>
      <c r="M29" s="379" t="s">
        <v>58</v>
      </c>
      <c r="P29" s="428"/>
      <c r="Q29" s="432"/>
      <c r="R29" s="433"/>
      <c r="S29" s="428"/>
      <c r="T29" s="428"/>
      <c r="U29" s="428"/>
      <c r="V29" s="428"/>
      <c r="W29" s="434"/>
    </row>
    <row r="30" spans="1:25" ht="17.25" customHeight="1" x14ac:dyDescent="0.25">
      <c r="B30" s="413" t="s">
        <v>224</v>
      </c>
      <c r="K30" s="394" t="s">
        <v>15</v>
      </c>
      <c r="L30" s="434">
        <f>ROUND(SUM(L26:L29),2)</f>
        <v>48.96</v>
      </c>
      <c r="M30" s="379" t="s">
        <v>58</v>
      </c>
      <c r="P30" s="428"/>
      <c r="Q30" s="432"/>
      <c r="R30" s="433"/>
      <c r="S30" s="428"/>
      <c r="T30" s="428"/>
      <c r="U30" s="428"/>
      <c r="V30" s="428"/>
      <c r="W30" s="434"/>
    </row>
    <row r="31" spans="1:25" ht="17.25" customHeight="1" x14ac:dyDescent="0.25">
      <c r="B31" s="413"/>
      <c r="G31" s="413" t="s">
        <v>219</v>
      </c>
      <c r="H31" s="442">
        <v>1.6</v>
      </c>
      <c r="K31" s="394" t="s">
        <v>15</v>
      </c>
      <c r="L31" s="443">
        <f>ROUND(H31*L30,2)</f>
        <v>78.34</v>
      </c>
      <c r="M31" s="379" t="s">
        <v>63</v>
      </c>
      <c r="P31" s="428"/>
      <c r="Q31" s="432"/>
      <c r="R31" s="433"/>
      <c r="S31" s="428"/>
      <c r="T31" s="428"/>
      <c r="U31" s="428"/>
      <c r="V31" s="428"/>
      <c r="W31" s="434"/>
    </row>
    <row r="32" spans="1:25" ht="17.25" customHeight="1" x14ac:dyDescent="0.25">
      <c r="B32" s="413" t="s">
        <v>130</v>
      </c>
      <c r="C32" s="413"/>
      <c r="K32" s="394" t="s">
        <v>15</v>
      </c>
      <c r="L32" s="412">
        <f>+'S2'!$BT$35</f>
        <v>47.29</v>
      </c>
      <c r="M32" s="379" t="s">
        <v>63</v>
      </c>
      <c r="P32" s="428"/>
      <c r="Q32" s="440"/>
      <c r="R32" s="433"/>
      <c r="S32" s="428"/>
      <c r="T32" s="428"/>
      <c r="U32" s="428"/>
      <c r="V32" s="428"/>
      <c r="W32" s="441"/>
    </row>
    <row r="33" spans="2:24" ht="17.25" customHeight="1" x14ac:dyDescent="0.25">
      <c r="B33" s="413" t="s">
        <v>225</v>
      </c>
      <c r="K33" s="394" t="s">
        <v>15</v>
      </c>
      <c r="L33" s="434">
        <f>ROUND(SUM(L31:L32),2)</f>
        <v>125.63</v>
      </c>
      <c r="M33" s="379" t="s">
        <v>63</v>
      </c>
      <c r="P33" s="428"/>
      <c r="Q33" s="430"/>
      <c r="R33" s="428"/>
      <c r="S33" s="428"/>
      <c r="T33" s="428"/>
      <c r="U33" s="428"/>
      <c r="V33" s="428"/>
      <c r="W33" s="431"/>
    </row>
    <row r="34" spans="2:24" ht="17.25" customHeight="1" x14ac:dyDescent="0.3">
      <c r="B34" s="438" t="s">
        <v>200</v>
      </c>
      <c r="C34" s="439"/>
      <c r="P34" s="428"/>
      <c r="Q34" s="432"/>
      <c r="R34" s="433"/>
      <c r="S34" s="428"/>
      <c r="T34" s="428"/>
      <c r="U34" s="428"/>
      <c r="V34" s="428"/>
      <c r="W34" s="434"/>
    </row>
    <row r="35" spans="2:24" ht="17.25" customHeight="1" x14ac:dyDescent="0.25">
      <c r="B35" s="413" t="s">
        <v>127</v>
      </c>
      <c r="C35" s="413"/>
      <c r="K35" s="394" t="s">
        <v>15</v>
      </c>
      <c r="L35" s="412">
        <f>+G18</f>
        <v>25</v>
      </c>
      <c r="M35" s="379" t="s">
        <v>58</v>
      </c>
      <c r="P35" s="428"/>
      <c r="Q35" s="432"/>
      <c r="R35" s="433"/>
      <c r="S35" s="428"/>
      <c r="T35" s="428"/>
      <c r="U35" s="428"/>
      <c r="V35" s="428"/>
      <c r="W35" s="434"/>
    </row>
    <row r="36" spans="2:24" ht="17.25" customHeight="1" x14ac:dyDescent="0.25">
      <c r="B36" s="413" t="s">
        <v>128</v>
      </c>
      <c r="C36" s="413"/>
      <c r="F36" s="408"/>
      <c r="K36" s="394" t="s">
        <v>15</v>
      </c>
      <c r="L36" s="412">
        <f>+'S2'!$BT$5</f>
        <v>32.99</v>
      </c>
      <c r="M36" s="379" t="s">
        <v>58</v>
      </c>
      <c r="P36" s="428"/>
      <c r="Q36" s="432"/>
      <c r="R36" s="433"/>
      <c r="S36" s="428"/>
      <c r="T36" s="428"/>
      <c r="U36" s="428"/>
      <c r="V36" s="428"/>
      <c r="W36" s="434"/>
    </row>
    <row r="37" spans="2:24" ht="17.25" customHeight="1" x14ac:dyDescent="0.25">
      <c r="B37" s="413" t="s">
        <v>129</v>
      </c>
      <c r="C37" s="413"/>
      <c r="K37" s="394" t="s">
        <v>15</v>
      </c>
      <c r="L37" s="412">
        <f>+L18</f>
        <v>11.55</v>
      </c>
      <c r="M37" s="379" t="s">
        <v>58</v>
      </c>
      <c r="P37" s="428"/>
      <c r="Q37" s="440"/>
      <c r="R37" s="433"/>
      <c r="S37" s="428"/>
      <c r="T37" s="428"/>
      <c r="U37" s="428"/>
      <c r="V37" s="428"/>
      <c r="W37" s="441"/>
    </row>
    <row r="38" spans="2:24" ht="17.25" customHeight="1" x14ac:dyDescent="0.25">
      <c r="B38" s="413" t="s">
        <v>224</v>
      </c>
      <c r="K38" s="394" t="s">
        <v>15</v>
      </c>
      <c r="L38" s="434">
        <f>ROUND(SUM(L35:L37),2)</f>
        <v>69.540000000000006</v>
      </c>
      <c r="M38" s="379" t="s">
        <v>58</v>
      </c>
      <c r="P38" s="392"/>
      <c r="Q38" s="444"/>
      <c r="R38" s="444"/>
      <c r="S38" s="444"/>
    </row>
    <row r="39" spans="2:24" ht="17.25" customHeight="1" x14ac:dyDescent="0.25">
      <c r="B39" s="413"/>
      <c r="G39" s="413" t="s">
        <v>219</v>
      </c>
      <c r="H39" s="442">
        <v>1.6</v>
      </c>
      <c r="K39" s="394" t="s">
        <v>15</v>
      </c>
      <c r="L39" s="443">
        <f>ROUND(H39*L38,2)</f>
        <v>111.26</v>
      </c>
      <c r="M39" s="379" t="s">
        <v>63</v>
      </c>
      <c r="P39" s="428"/>
      <c r="S39" s="409"/>
      <c r="T39" s="445"/>
      <c r="U39" s="446"/>
      <c r="V39" s="433"/>
      <c r="W39" s="409"/>
      <c r="X39" s="394"/>
    </row>
    <row r="40" spans="2:24" ht="17.25" customHeight="1" x14ac:dyDescent="0.25">
      <c r="B40" s="413" t="s">
        <v>130</v>
      </c>
      <c r="C40" s="413"/>
      <c r="K40" s="394" t="s">
        <v>15</v>
      </c>
      <c r="L40" s="412">
        <f>+'S2'!$BT$7</f>
        <v>56.75</v>
      </c>
      <c r="M40" s="379" t="s">
        <v>63</v>
      </c>
      <c r="P40" s="428"/>
      <c r="S40" s="409"/>
      <c r="T40" s="445"/>
      <c r="U40" s="446"/>
      <c r="V40" s="433"/>
      <c r="W40" s="409"/>
      <c r="X40" s="394"/>
    </row>
    <row r="41" spans="2:24" ht="17.25" customHeight="1" x14ac:dyDescent="0.25">
      <c r="B41" s="413" t="s">
        <v>225</v>
      </c>
      <c r="K41" s="394" t="s">
        <v>15</v>
      </c>
      <c r="L41" s="434">
        <f>ROUND(SUM(L39:L40),2)</f>
        <v>168.01</v>
      </c>
      <c r="M41" s="379" t="s">
        <v>63</v>
      </c>
      <c r="P41" s="428"/>
      <c r="S41" s="409"/>
      <c r="T41" s="445"/>
      <c r="U41" s="446"/>
      <c r="V41" s="433"/>
      <c r="W41" s="409"/>
      <c r="X41" s="394"/>
    </row>
    <row r="42" spans="2:24" ht="17.25" customHeight="1" x14ac:dyDescent="0.3">
      <c r="B42" s="438" t="s">
        <v>201</v>
      </c>
      <c r="C42" s="439"/>
    </row>
    <row r="43" spans="2:24" ht="17.25" customHeight="1" x14ac:dyDescent="0.25">
      <c r="B43" s="413" t="s">
        <v>127</v>
      </c>
      <c r="C43" s="413"/>
      <c r="K43" s="394" t="s">
        <v>15</v>
      </c>
      <c r="L43" s="412">
        <f>G17</f>
        <v>15</v>
      </c>
      <c r="M43" s="379" t="s">
        <v>58</v>
      </c>
    </row>
    <row r="44" spans="2:24" ht="17.25" customHeight="1" x14ac:dyDescent="0.25">
      <c r="B44" s="413" t="s">
        <v>128</v>
      </c>
      <c r="C44" s="413"/>
      <c r="F44" s="408"/>
      <c r="K44" s="394" t="s">
        <v>15</v>
      </c>
      <c r="L44" s="412">
        <f>'S2'!$BT$5</f>
        <v>32.99</v>
      </c>
      <c r="M44" s="379" t="s">
        <v>58</v>
      </c>
    </row>
    <row r="45" spans="2:24" ht="17.25" customHeight="1" x14ac:dyDescent="0.25">
      <c r="B45" s="413" t="s">
        <v>129</v>
      </c>
      <c r="C45" s="413"/>
      <c r="K45" s="394" t="s">
        <v>15</v>
      </c>
      <c r="L45" s="412">
        <f>L17</f>
        <v>11.55</v>
      </c>
      <c r="M45" s="379" t="s">
        <v>58</v>
      </c>
    </row>
    <row r="46" spans="2:24" ht="17.25" customHeight="1" x14ac:dyDescent="0.25">
      <c r="B46" s="413" t="s">
        <v>226</v>
      </c>
      <c r="K46" s="394" t="s">
        <v>15</v>
      </c>
      <c r="L46" s="434">
        <f>ROUND(SUM(L43:L45),2)</f>
        <v>59.54</v>
      </c>
      <c r="M46" s="379" t="s">
        <v>58</v>
      </c>
    </row>
    <row r="47" spans="2:24" ht="17.25" customHeight="1" x14ac:dyDescent="0.25">
      <c r="B47" s="413"/>
      <c r="G47" s="413" t="s">
        <v>219</v>
      </c>
      <c r="H47" s="442">
        <v>1.6</v>
      </c>
      <c r="K47" s="394" t="s">
        <v>15</v>
      </c>
      <c r="L47" s="443">
        <f>ROUND(H47*L46,2)</f>
        <v>95.26</v>
      </c>
      <c r="M47" s="379" t="s">
        <v>63</v>
      </c>
    </row>
    <row r="48" spans="2:24" ht="17.25" customHeight="1" x14ac:dyDescent="0.25">
      <c r="B48" s="413" t="s">
        <v>130</v>
      </c>
      <c r="C48" s="413"/>
      <c r="K48" s="394" t="s">
        <v>15</v>
      </c>
      <c r="L48" s="412">
        <f>'S2'!$BT$7</f>
        <v>56.75</v>
      </c>
      <c r="M48" s="379" t="s">
        <v>63</v>
      </c>
    </row>
    <row r="49" spans="2:21" ht="17.25" customHeight="1" x14ac:dyDescent="0.25">
      <c r="B49" s="413" t="s">
        <v>225</v>
      </c>
      <c r="K49" s="394" t="s">
        <v>15</v>
      </c>
      <c r="L49" s="434">
        <f>ROUND(SUM(L47:L48),2)</f>
        <v>152.01</v>
      </c>
      <c r="M49" s="379" t="s">
        <v>63</v>
      </c>
      <c r="P49" s="392"/>
      <c r="Q49" s="428"/>
      <c r="T49" s="392"/>
      <c r="U49" s="428"/>
    </row>
    <row r="50" spans="2:21" ht="16.5" customHeight="1" x14ac:dyDescent="0.25">
      <c r="B50" s="392" t="s">
        <v>202</v>
      </c>
      <c r="K50" s="394"/>
      <c r="L50" s="447"/>
      <c r="P50" s="392"/>
      <c r="Q50" s="428"/>
      <c r="T50" s="392"/>
      <c r="U50" s="428"/>
    </row>
    <row r="51" spans="2:21" ht="16.5" customHeight="1" x14ac:dyDescent="0.25">
      <c r="B51" s="379" t="s">
        <v>221</v>
      </c>
      <c r="K51" s="394" t="s">
        <v>15</v>
      </c>
      <c r="L51" s="443">
        <f>G10</f>
        <v>315.42</v>
      </c>
      <c r="M51" s="379" t="s">
        <v>58</v>
      </c>
      <c r="O51" s="392"/>
      <c r="P51" s="392"/>
      <c r="Q51" s="428"/>
      <c r="T51" s="392"/>
      <c r="U51" s="428"/>
    </row>
    <row r="52" spans="2:21" ht="16.5" customHeight="1" x14ac:dyDescent="0.25">
      <c r="B52" s="379" t="s">
        <v>129</v>
      </c>
      <c r="K52" s="394" t="s">
        <v>15</v>
      </c>
      <c r="L52" s="443">
        <f>L10</f>
        <v>92.88</v>
      </c>
      <c r="M52" s="379" t="s">
        <v>58</v>
      </c>
    </row>
    <row r="53" spans="2:21" ht="16.5" customHeight="1" x14ac:dyDescent="0.25">
      <c r="B53" s="379" t="s">
        <v>222</v>
      </c>
      <c r="K53" s="394" t="s">
        <v>15</v>
      </c>
      <c r="L53" s="434">
        <f>ROUND(SUM(L51:L52),2)</f>
        <v>408.3</v>
      </c>
      <c r="M53" s="379" t="s">
        <v>58</v>
      </c>
    </row>
    <row r="54" spans="2:21" ht="16.5" customHeight="1" x14ac:dyDescent="0.25">
      <c r="G54" s="413" t="s">
        <v>219</v>
      </c>
      <c r="H54" s="442">
        <v>1.5</v>
      </c>
      <c r="K54" s="394" t="s">
        <v>15</v>
      </c>
      <c r="L54" s="443">
        <f>ROUND(H54*L53,2)</f>
        <v>612.45000000000005</v>
      </c>
      <c r="M54" s="379" t="s">
        <v>63</v>
      </c>
    </row>
    <row r="55" spans="2:21" ht="16.5" customHeight="1" x14ac:dyDescent="0.25">
      <c r="B55" s="413" t="s">
        <v>177</v>
      </c>
      <c r="C55" s="413"/>
      <c r="K55" s="394" t="s">
        <v>15</v>
      </c>
      <c r="L55" s="412">
        <f>+'S2'!$BT$9</f>
        <v>25.14</v>
      </c>
      <c r="M55" s="379" t="s">
        <v>63</v>
      </c>
    </row>
    <row r="56" spans="2:21" ht="16.5" customHeight="1" x14ac:dyDescent="0.25">
      <c r="B56" s="413" t="s">
        <v>130</v>
      </c>
      <c r="C56" s="413"/>
      <c r="K56" s="394" t="s">
        <v>15</v>
      </c>
      <c r="L56" s="412">
        <f>+'S2'!$BT$10</f>
        <v>89.66</v>
      </c>
      <c r="M56" s="379" t="s">
        <v>63</v>
      </c>
    </row>
    <row r="57" spans="2:21" ht="16.5" customHeight="1" x14ac:dyDescent="0.25">
      <c r="B57" s="413" t="s">
        <v>227</v>
      </c>
      <c r="K57" s="394" t="s">
        <v>15</v>
      </c>
      <c r="L57" s="434">
        <f>ROUND(SUM(L54:L56),2)</f>
        <v>727.25</v>
      </c>
      <c r="M57" s="379" t="s">
        <v>63</v>
      </c>
    </row>
    <row r="58" spans="2:21" ht="16.5" customHeight="1" x14ac:dyDescent="0.25">
      <c r="B58" s="392" t="s">
        <v>220</v>
      </c>
      <c r="D58" s="448"/>
      <c r="F58" s="415"/>
    </row>
    <row r="59" spans="2:21" ht="16.5" customHeight="1" x14ac:dyDescent="0.25">
      <c r="B59" s="379" t="s">
        <v>223</v>
      </c>
    </row>
    <row r="60" spans="2:21" ht="16.5" customHeight="1" x14ac:dyDescent="0.25">
      <c r="B60" s="379" t="s">
        <v>17</v>
      </c>
      <c r="K60" s="394" t="s">
        <v>15</v>
      </c>
      <c r="L60" s="412">
        <f>'S2'!$BT$14</f>
        <v>11.66</v>
      </c>
      <c r="M60" s="379" t="s">
        <v>16</v>
      </c>
    </row>
    <row r="61" spans="2:21" ht="16.5" customHeight="1" x14ac:dyDescent="0.25">
      <c r="B61" s="379" t="s">
        <v>203</v>
      </c>
      <c r="G61" s="445"/>
      <c r="H61" s="449">
        <v>0.2</v>
      </c>
      <c r="I61" s="379" t="s">
        <v>51</v>
      </c>
      <c r="K61" s="394" t="s">
        <v>15</v>
      </c>
      <c r="L61" s="412">
        <f>'S2'!$BT$13*2</f>
        <v>29.04</v>
      </c>
      <c r="M61" s="379" t="s">
        <v>16</v>
      </c>
    </row>
    <row r="62" spans="2:21" ht="16.5" customHeight="1" x14ac:dyDescent="0.25">
      <c r="B62" s="379" t="s">
        <v>274</v>
      </c>
      <c r="G62" s="445"/>
      <c r="H62" s="449">
        <v>0.2</v>
      </c>
      <c r="I62" s="379" t="s">
        <v>51</v>
      </c>
      <c r="K62" s="394" t="s">
        <v>15</v>
      </c>
      <c r="L62" s="412">
        <f>'S2'!$BT$12*2</f>
        <v>22.48</v>
      </c>
      <c r="M62" s="379" t="s">
        <v>16</v>
      </c>
    </row>
    <row r="63" spans="2:21" ht="16.5" customHeight="1" x14ac:dyDescent="0.25">
      <c r="B63" s="379" t="s">
        <v>228</v>
      </c>
      <c r="G63" s="445"/>
      <c r="H63" s="449">
        <v>0.2</v>
      </c>
      <c r="I63" s="379" t="s">
        <v>51</v>
      </c>
      <c r="K63" s="394" t="s">
        <v>15</v>
      </c>
      <c r="L63" s="450">
        <f>L54*H63</f>
        <v>122.49000000000001</v>
      </c>
      <c r="M63" s="379" t="s">
        <v>16</v>
      </c>
      <c r="S63" s="394"/>
    </row>
    <row r="64" spans="2:21" ht="16.5" customHeight="1" x14ac:dyDescent="0.25">
      <c r="B64" s="379" t="s">
        <v>275</v>
      </c>
      <c r="H64" s="451">
        <v>0.2</v>
      </c>
      <c r="I64" s="379" t="str">
        <f>I61</f>
        <v>ม. )</v>
      </c>
      <c r="K64" s="394" t="s">
        <v>15</v>
      </c>
      <c r="L64" s="412">
        <f>('S2'!$BT$10+'S2'!$BT$9)*H63</f>
        <v>22.96</v>
      </c>
      <c r="M64" s="379" t="s">
        <v>16</v>
      </c>
      <c r="S64" s="394"/>
    </row>
    <row r="65" spans="2:19" ht="16.5" customHeight="1" x14ac:dyDescent="0.25">
      <c r="B65" s="379" t="s">
        <v>276</v>
      </c>
      <c r="H65" s="452">
        <f>H62</f>
        <v>0.2</v>
      </c>
      <c r="I65" s="379" t="str">
        <f>I62</f>
        <v>ม. )</v>
      </c>
      <c r="K65" s="394" t="s">
        <v>15</v>
      </c>
      <c r="L65" s="412">
        <f>('S2'!$BT$10+'S2'!$BT$9)*H64</f>
        <v>22.96</v>
      </c>
      <c r="M65" s="379" t="s">
        <v>16</v>
      </c>
      <c r="P65" s="394"/>
      <c r="Q65" s="394"/>
      <c r="R65" s="394"/>
    </row>
    <row r="66" spans="2:19" ht="16.5" customHeight="1" x14ac:dyDescent="0.25">
      <c r="B66" s="379" t="s">
        <v>225</v>
      </c>
      <c r="K66" s="394" t="s">
        <v>15</v>
      </c>
      <c r="L66" s="434">
        <f>ROUND(SUM(L60:L65),2)</f>
        <v>231.59</v>
      </c>
      <c r="M66" s="379" t="s">
        <v>16</v>
      </c>
      <c r="Q66" s="394"/>
      <c r="R66" s="394"/>
    </row>
    <row r="67" spans="2:19" ht="18" customHeight="1" x14ac:dyDescent="0.25">
      <c r="B67" s="392" t="s">
        <v>1332</v>
      </c>
      <c r="C67" s="453"/>
      <c r="D67" s="453"/>
      <c r="K67" s="394"/>
      <c r="L67" s="447"/>
    </row>
    <row r="68" spans="2:19" ht="16.5" customHeight="1" x14ac:dyDescent="0.25">
      <c r="B68" s="379" t="s">
        <v>221</v>
      </c>
      <c r="K68" s="394" t="s">
        <v>15</v>
      </c>
      <c r="L68" s="443">
        <f>G10</f>
        <v>315.42</v>
      </c>
      <c r="M68" s="379" t="s">
        <v>58</v>
      </c>
      <c r="O68" s="392"/>
    </row>
    <row r="69" spans="2:19" ht="16.5" customHeight="1" x14ac:dyDescent="0.25">
      <c r="B69" s="379" t="s">
        <v>129</v>
      </c>
      <c r="K69" s="394" t="s">
        <v>15</v>
      </c>
      <c r="L69" s="443">
        <f>L10</f>
        <v>92.88</v>
      </c>
      <c r="M69" s="379" t="s">
        <v>58</v>
      </c>
    </row>
    <row r="70" spans="2:19" ht="16.5" customHeight="1" x14ac:dyDescent="0.25">
      <c r="B70" s="379" t="s">
        <v>229</v>
      </c>
      <c r="K70" s="394" t="s">
        <v>15</v>
      </c>
      <c r="L70" s="434">
        <f>ROUND(SUM(L68:L69),2)</f>
        <v>408.3</v>
      </c>
      <c r="M70" s="379" t="s">
        <v>58</v>
      </c>
    </row>
    <row r="71" spans="2:19" ht="16.5" customHeight="1" x14ac:dyDescent="0.25">
      <c r="B71" s="392" t="s">
        <v>251</v>
      </c>
    </row>
    <row r="72" spans="2:19" ht="13.5" customHeight="1" x14ac:dyDescent="0.25">
      <c r="B72" s="379" t="s">
        <v>230</v>
      </c>
      <c r="K72" s="394" t="s">
        <v>15</v>
      </c>
      <c r="L72" s="450">
        <f>L86</f>
        <v>5.59</v>
      </c>
      <c r="M72" s="379" t="s">
        <v>16</v>
      </c>
    </row>
    <row r="73" spans="2:19" ht="16.5" customHeight="1" x14ac:dyDescent="0.25">
      <c r="B73" s="379" t="s">
        <v>231</v>
      </c>
      <c r="E73" s="379" t="s">
        <v>59</v>
      </c>
      <c r="F73" s="393">
        <v>3</v>
      </c>
      <c r="G73" s="379" t="s">
        <v>46</v>
      </c>
      <c r="H73" s="394">
        <f>41.667/F73</f>
        <v>13.889000000000001</v>
      </c>
      <c r="I73" s="379" t="s">
        <v>60</v>
      </c>
      <c r="K73" s="394" t="s">
        <v>15</v>
      </c>
      <c r="L73" s="450">
        <f>$L$124/H73</f>
        <v>178.30227662178703</v>
      </c>
      <c r="M73" s="379" t="s">
        <v>16</v>
      </c>
    </row>
    <row r="74" spans="2:19" ht="16.5" customHeight="1" x14ac:dyDescent="0.25">
      <c r="B74" s="379" t="s">
        <v>229</v>
      </c>
      <c r="K74" s="394" t="s">
        <v>15</v>
      </c>
      <c r="L74" s="450">
        <f>SUM(L72:L73)</f>
        <v>183.89227662178703</v>
      </c>
      <c r="M74" s="379" t="s">
        <v>16</v>
      </c>
    </row>
    <row r="75" spans="2:19" ht="16.5" customHeight="1" x14ac:dyDescent="0.25">
      <c r="B75" s="379" t="s">
        <v>232</v>
      </c>
      <c r="K75" s="394" t="s">
        <v>15</v>
      </c>
      <c r="L75" s="412">
        <f>'S2'!$BT$16+'S2'!$BT$20*0.6</f>
        <v>14.652000000000001</v>
      </c>
      <c r="M75" s="379" t="s">
        <v>16</v>
      </c>
    </row>
    <row r="76" spans="2:19" ht="16.5" customHeight="1" x14ac:dyDescent="0.25">
      <c r="B76" s="379" t="s">
        <v>225</v>
      </c>
      <c r="K76" s="394" t="s">
        <v>15</v>
      </c>
      <c r="L76" s="434">
        <f>ROUND(SUM(L74:L75),2)</f>
        <v>198.54</v>
      </c>
      <c r="M76" s="379" t="s">
        <v>16</v>
      </c>
    </row>
    <row r="77" spans="2:19" ht="16.5" customHeight="1" x14ac:dyDescent="0.25">
      <c r="B77" s="392" t="s">
        <v>252</v>
      </c>
      <c r="K77" s="394"/>
    </row>
    <row r="78" spans="2:19" ht="16.5" customHeight="1" x14ac:dyDescent="0.25">
      <c r="B78" s="379" t="s">
        <v>233</v>
      </c>
      <c r="K78" s="394" t="s">
        <v>15</v>
      </c>
      <c r="L78" s="450">
        <f>G20</f>
        <v>26966.67</v>
      </c>
      <c r="M78" s="379" t="s">
        <v>10</v>
      </c>
    </row>
    <row r="79" spans="2:19" ht="16.5" customHeight="1" x14ac:dyDescent="0.25">
      <c r="B79" s="379" t="s">
        <v>129</v>
      </c>
      <c r="K79" s="394" t="s">
        <v>15</v>
      </c>
      <c r="L79" s="454">
        <f>L20</f>
        <v>1130.79</v>
      </c>
      <c r="M79" s="379" t="s">
        <v>10</v>
      </c>
    </row>
    <row r="80" spans="2:19" ht="16.5" customHeight="1" x14ac:dyDescent="0.25">
      <c r="B80" s="379" t="s">
        <v>234</v>
      </c>
      <c r="K80" s="394" t="s">
        <v>15</v>
      </c>
      <c r="L80" s="434">
        <f>ROUND(SUM(L78:L79),2)</f>
        <v>28097.46</v>
      </c>
      <c r="M80" s="379" t="s">
        <v>10</v>
      </c>
      <c r="S80" s="394"/>
    </row>
    <row r="81" spans="2:19" ht="16.5" customHeight="1" x14ac:dyDescent="0.25">
      <c r="G81" s="394" t="s">
        <v>204</v>
      </c>
      <c r="H81" s="455">
        <v>1</v>
      </c>
      <c r="I81" s="379" t="s">
        <v>205</v>
      </c>
      <c r="K81" s="394" t="s">
        <v>15</v>
      </c>
      <c r="L81" s="454">
        <f>ROUND(L80*H81/1000,2)</f>
        <v>28.1</v>
      </c>
      <c r="M81" s="379" t="s">
        <v>16</v>
      </c>
      <c r="S81" s="394"/>
    </row>
    <row r="82" spans="2:19" ht="16.5" customHeight="1" x14ac:dyDescent="0.25">
      <c r="B82" s="392" t="s">
        <v>253</v>
      </c>
      <c r="K82" s="394"/>
      <c r="P82" s="394"/>
      <c r="Q82" s="394"/>
      <c r="R82" s="394"/>
    </row>
    <row r="83" spans="2:19" ht="16.5" customHeight="1" x14ac:dyDescent="0.25">
      <c r="B83" s="379" t="s">
        <v>233</v>
      </c>
      <c r="K83" s="394" t="s">
        <v>15</v>
      </c>
      <c r="L83" s="454">
        <f>G22</f>
        <v>26800</v>
      </c>
      <c r="M83" s="379" t="s">
        <v>10</v>
      </c>
      <c r="Q83" s="394"/>
      <c r="R83" s="394"/>
    </row>
    <row r="84" spans="2:19" ht="16.5" customHeight="1" x14ac:dyDescent="0.25">
      <c r="B84" s="379" t="s">
        <v>129</v>
      </c>
      <c r="K84" s="394" t="s">
        <v>15</v>
      </c>
      <c r="L84" s="454">
        <f>L22</f>
        <v>1130.79</v>
      </c>
      <c r="M84" s="379" t="s">
        <v>10</v>
      </c>
    </row>
    <row r="85" spans="2:19" ht="16.5" customHeight="1" x14ac:dyDescent="0.25">
      <c r="B85" s="379" t="s">
        <v>234</v>
      </c>
      <c r="K85" s="394" t="s">
        <v>15</v>
      </c>
      <c r="L85" s="434">
        <f>ROUND(SUM(L83:L84),2)</f>
        <v>27930.79</v>
      </c>
      <c r="M85" s="379" t="s">
        <v>10</v>
      </c>
    </row>
    <row r="86" spans="2:19" ht="16.5" customHeight="1" x14ac:dyDescent="0.25">
      <c r="G86" s="394" t="s">
        <v>204</v>
      </c>
      <c r="H86" s="455">
        <v>0.2</v>
      </c>
      <c r="I86" s="379" t="s">
        <v>205</v>
      </c>
      <c r="K86" s="394" t="s">
        <v>15</v>
      </c>
      <c r="L86" s="454">
        <f>ROUND(L85*H86/1000,2)</f>
        <v>5.59</v>
      </c>
      <c r="M86" s="379" t="s">
        <v>16</v>
      </c>
    </row>
    <row r="87" spans="2:19" ht="16.5" customHeight="1" x14ac:dyDescent="0.25">
      <c r="G87" s="394"/>
      <c r="H87" s="456"/>
      <c r="K87" s="394"/>
      <c r="L87" s="454"/>
    </row>
    <row r="88" spans="2:19" ht="16.5" customHeight="1" x14ac:dyDescent="0.25">
      <c r="G88" s="394"/>
      <c r="H88" s="456"/>
      <c r="K88" s="394"/>
      <c r="L88" s="454"/>
    </row>
    <row r="89" spans="2:19" ht="16.5" customHeight="1" x14ac:dyDescent="0.25">
      <c r="G89" s="394"/>
      <c r="H89" s="456"/>
      <c r="K89" s="394"/>
      <c r="L89" s="454"/>
    </row>
    <row r="90" spans="2:19" ht="16.5" customHeight="1" x14ac:dyDescent="0.25">
      <c r="G90" s="394"/>
      <c r="H90" s="456"/>
      <c r="K90" s="394"/>
      <c r="L90" s="454"/>
    </row>
    <row r="91" spans="2:19" ht="16.5" customHeight="1" x14ac:dyDescent="0.25">
      <c r="G91" s="394"/>
      <c r="H91" s="456"/>
      <c r="K91" s="394"/>
      <c r="L91" s="454"/>
    </row>
    <row r="92" spans="2:19" ht="16.5" customHeight="1" x14ac:dyDescent="0.25">
      <c r="G92" s="394"/>
      <c r="H92" s="456"/>
      <c r="K92" s="394"/>
      <c r="L92" s="454"/>
    </row>
    <row r="93" spans="2:19" ht="16.5" customHeight="1" x14ac:dyDescent="0.25">
      <c r="G93" s="394"/>
      <c r="H93" s="456"/>
      <c r="K93" s="394"/>
      <c r="L93" s="454"/>
    </row>
    <row r="94" spans="2:19" ht="16.5" customHeight="1" x14ac:dyDescent="0.25">
      <c r="G94" s="394"/>
      <c r="H94" s="456"/>
      <c r="K94" s="394"/>
      <c r="L94" s="454"/>
    </row>
    <row r="95" spans="2:19" ht="16.5" customHeight="1" x14ac:dyDescent="0.25">
      <c r="G95" s="394"/>
      <c r="H95" s="456"/>
      <c r="K95" s="394"/>
      <c r="L95" s="454"/>
    </row>
    <row r="96" spans="2:19" ht="16.5" customHeight="1" x14ac:dyDescent="0.3">
      <c r="B96" s="438" t="s">
        <v>254</v>
      </c>
      <c r="C96" s="439"/>
    </row>
    <row r="97" spans="2:15" ht="16.5" customHeight="1" x14ac:dyDescent="0.3">
      <c r="B97" s="457" t="s">
        <v>255</v>
      </c>
      <c r="C97" s="439"/>
    </row>
    <row r="98" spans="2:15" ht="16.5" customHeight="1" x14ac:dyDescent="0.25">
      <c r="D98" s="413" t="s">
        <v>217</v>
      </c>
      <c r="J98" s="394"/>
      <c r="K98" s="412"/>
    </row>
    <row r="99" spans="2:15" ht="16.5" customHeight="1" x14ac:dyDescent="0.25">
      <c r="D99" s="413" t="s">
        <v>206</v>
      </c>
      <c r="H99" s="379" t="s">
        <v>126</v>
      </c>
      <c r="J99" s="394"/>
      <c r="K99" s="412"/>
    </row>
    <row r="100" spans="2:15" ht="16.5" customHeight="1" x14ac:dyDescent="0.25">
      <c r="D100" s="413" t="s">
        <v>207</v>
      </c>
      <c r="H100" s="379" t="s">
        <v>208</v>
      </c>
      <c r="J100" s="394"/>
      <c r="K100" s="412"/>
    </row>
    <row r="101" spans="2:15" ht="16.5" customHeight="1" x14ac:dyDescent="0.25">
      <c r="D101" s="413" t="s">
        <v>209</v>
      </c>
      <c r="G101" s="413"/>
      <c r="H101" s="379" t="s">
        <v>10</v>
      </c>
      <c r="J101" s="394"/>
      <c r="K101" s="412"/>
    </row>
    <row r="102" spans="2:15" ht="16.5" customHeight="1" x14ac:dyDescent="0.25">
      <c r="D102" s="413" t="s">
        <v>210</v>
      </c>
      <c r="H102" s="379" t="s">
        <v>208</v>
      </c>
      <c r="J102" s="394"/>
      <c r="K102" s="412"/>
    </row>
    <row r="103" spans="2:15" ht="16.5" customHeight="1" x14ac:dyDescent="0.25">
      <c r="D103" s="413" t="s">
        <v>211</v>
      </c>
      <c r="G103" s="413"/>
      <c r="H103" s="379" t="s">
        <v>10</v>
      </c>
      <c r="J103" s="394"/>
      <c r="K103" s="412"/>
      <c r="N103" s="452"/>
      <c r="O103" s="394"/>
    </row>
    <row r="104" spans="2:15" ht="16.5" customHeight="1" x14ac:dyDescent="0.3">
      <c r="B104" s="457" t="s">
        <v>256</v>
      </c>
      <c r="C104" s="439"/>
      <c r="N104" s="452"/>
      <c r="O104" s="394"/>
    </row>
    <row r="105" spans="2:15" ht="16.5" customHeight="1" x14ac:dyDescent="0.3">
      <c r="B105" s="457"/>
      <c r="C105" s="439"/>
      <c r="D105" s="413" t="s">
        <v>236</v>
      </c>
      <c r="H105" s="458">
        <f>+'S2'!$BT$27</f>
        <v>36.53</v>
      </c>
      <c r="I105" s="379" t="s">
        <v>126</v>
      </c>
      <c r="N105" s="452"/>
      <c r="O105" s="394"/>
    </row>
    <row r="106" spans="2:15" ht="16.5" customHeight="1" x14ac:dyDescent="0.3">
      <c r="B106" s="457"/>
      <c r="C106" s="439"/>
      <c r="D106" s="413" t="s">
        <v>235</v>
      </c>
      <c r="H106" s="458">
        <v>0.15</v>
      </c>
      <c r="I106" s="379" t="s">
        <v>212</v>
      </c>
      <c r="N106" s="452"/>
      <c r="O106" s="394"/>
    </row>
    <row r="107" spans="2:15" ht="18.75" customHeight="1" x14ac:dyDescent="0.3">
      <c r="B107" s="457"/>
      <c r="C107" s="439"/>
      <c r="D107" s="413" t="s">
        <v>237</v>
      </c>
      <c r="H107" s="458">
        <v>3.5</v>
      </c>
      <c r="I107" s="379" t="s">
        <v>69</v>
      </c>
      <c r="N107" s="452"/>
      <c r="O107" s="394"/>
    </row>
    <row r="108" spans="2:15" ht="20.25" customHeight="1" x14ac:dyDescent="0.3">
      <c r="B108" s="457"/>
      <c r="C108" s="439"/>
      <c r="D108" s="413" t="s">
        <v>238</v>
      </c>
      <c r="G108" s="413"/>
      <c r="H108" s="459">
        <v>2200</v>
      </c>
      <c r="I108" s="379" t="s">
        <v>213</v>
      </c>
      <c r="N108" s="452"/>
      <c r="O108" s="394"/>
    </row>
    <row r="109" spans="2:15" x14ac:dyDescent="0.25">
      <c r="B109" s="413" t="s">
        <v>214</v>
      </c>
      <c r="G109" s="413"/>
      <c r="J109" s="394"/>
      <c r="K109" s="394" t="s">
        <v>15</v>
      </c>
      <c r="L109" s="412">
        <f>G19+L19</f>
        <v>3803.79</v>
      </c>
      <c r="M109" s="379" t="s">
        <v>10</v>
      </c>
    </row>
    <row r="110" spans="2:15" x14ac:dyDescent="0.25">
      <c r="B110" s="413" t="s">
        <v>215</v>
      </c>
      <c r="J110" s="394"/>
      <c r="K110" s="394" t="s">
        <v>15</v>
      </c>
      <c r="L110" s="460">
        <f>(H108*H106*(H107/100))/1000</f>
        <v>1.1550000000000001E-2</v>
      </c>
      <c r="M110" s="379" t="s">
        <v>208</v>
      </c>
    </row>
    <row r="111" spans="2:15" x14ac:dyDescent="0.25">
      <c r="B111" s="413" t="s">
        <v>261</v>
      </c>
      <c r="J111" s="394"/>
      <c r="K111" s="394" t="s">
        <v>15</v>
      </c>
      <c r="L111" s="412">
        <f>(H105+(L109*L110))</f>
        <v>80.4637745</v>
      </c>
      <c r="M111" s="379" t="s">
        <v>16</v>
      </c>
    </row>
    <row r="112" spans="2:15" x14ac:dyDescent="0.25">
      <c r="B112" s="413" t="s">
        <v>262</v>
      </c>
      <c r="J112" s="394"/>
      <c r="K112" s="394" t="s">
        <v>15</v>
      </c>
      <c r="L112" s="460">
        <f>([2]S2!$BT$10/1.5/100)*([2]ปร.4!$D$16/[2]ปร.4!$D$19*100)</f>
        <v>0</v>
      </c>
      <c r="M112" s="379" t="s">
        <v>16</v>
      </c>
    </row>
    <row r="113" spans="2:14" x14ac:dyDescent="0.25">
      <c r="B113" s="413" t="s">
        <v>216</v>
      </c>
      <c r="J113" s="394"/>
      <c r="K113" s="394" t="s">
        <v>15</v>
      </c>
      <c r="L113" s="412">
        <f>(L111+L112)</f>
        <v>80.4637745</v>
      </c>
      <c r="M113" s="379" t="s">
        <v>16</v>
      </c>
    </row>
    <row r="114" spans="2:14" ht="18.600000000000001" customHeight="1" x14ac:dyDescent="0.25">
      <c r="B114" s="392"/>
      <c r="K114" s="394"/>
      <c r="L114" s="408"/>
    </row>
    <row r="115" spans="2:14" ht="18.600000000000001" customHeight="1" x14ac:dyDescent="0.25">
      <c r="B115" s="461" t="s">
        <v>257</v>
      </c>
      <c r="C115" s="461"/>
      <c r="D115" s="461"/>
      <c r="E115" s="461"/>
      <c r="F115" s="461"/>
      <c r="M115" s="394"/>
      <c r="N115" s="408"/>
    </row>
    <row r="116" spans="2:14" ht="18.600000000000001" customHeight="1" x14ac:dyDescent="0.25">
      <c r="B116" s="462" t="s">
        <v>272</v>
      </c>
      <c r="C116" s="462"/>
      <c r="D116" s="462"/>
      <c r="E116" s="462"/>
      <c r="F116" s="462"/>
      <c r="G116" s="462"/>
      <c r="M116" s="394"/>
      <c r="N116" s="434"/>
    </row>
    <row r="117" spans="2:14" ht="18.600000000000001" customHeight="1" x14ac:dyDescent="0.25">
      <c r="B117" s="462" t="s">
        <v>263</v>
      </c>
      <c r="C117" s="462"/>
      <c r="D117" s="462"/>
      <c r="E117" s="462"/>
      <c r="F117" s="462"/>
      <c r="G117" s="462"/>
      <c r="H117" s="462"/>
      <c r="K117" s="394" t="s">
        <v>15</v>
      </c>
      <c r="L117" s="463">
        <v>10000</v>
      </c>
      <c r="M117" s="413" t="s">
        <v>99</v>
      </c>
      <c r="N117" s="463"/>
    </row>
    <row r="118" spans="2:14" ht="18.600000000000001" customHeight="1" x14ac:dyDescent="0.25">
      <c r="B118" s="462" t="s">
        <v>283</v>
      </c>
      <c r="C118" s="462"/>
      <c r="D118" s="462"/>
      <c r="E118" s="462"/>
      <c r="F118" s="462"/>
      <c r="G118" s="462"/>
      <c r="H118" s="462"/>
      <c r="I118" s="462"/>
      <c r="J118" s="462"/>
      <c r="K118" s="394" t="s">
        <v>15</v>
      </c>
      <c r="L118" s="412">
        <v>0</v>
      </c>
      <c r="M118" s="413" t="s">
        <v>9</v>
      </c>
      <c r="N118" s="412"/>
    </row>
    <row r="119" spans="2:14" ht="18.600000000000001" customHeight="1" x14ac:dyDescent="0.25">
      <c r="B119" s="462" t="s">
        <v>264</v>
      </c>
      <c r="C119" s="462"/>
      <c r="D119" s="462"/>
      <c r="E119" s="462"/>
      <c r="F119" s="462"/>
      <c r="G119" s="462"/>
      <c r="H119" s="462"/>
      <c r="K119" s="394" t="s">
        <v>15</v>
      </c>
      <c r="L119" s="463">
        <v>0</v>
      </c>
      <c r="M119" s="413" t="s">
        <v>9</v>
      </c>
      <c r="N119" s="463"/>
    </row>
    <row r="120" spans="2:14" ht="18.600000000000001" customHeight="1" x14ac:dyDescent="0.25">
      <c r="B120" s="462" t="s">
        <v>265</v>
      </c>
      <c r="C120" s="462"/>
      <c r="D120" s="462"/>
      <c r="E120" s="462"/>
      <c r="F120" s="462"/>
      <c r="G120" s="462"/>
      <c r="K120" s="394" t="s">
        <v>15</v>
      </c>
      <c r="L120" s="464">
        <f>($G$21+$L$21)*0.052</f>
        <v>1663.1742400000001</v>
      </c>
      <c r="M120" s="413" t="s">
        <v>9</v>
      </c>
      <c r="N120" s="464"/>
    </row>
    <row r="121" spans="2:14" ht="18.600000000000001" customHeight="1" x14ac:dyDescent="0.25">
      <c r="B121" s="462" t="s">
        <v>266</v>
      </c>
      <c r="C121" s="462"/>
      <c r="D121" s="462"/>
      <c r="E121" s="462"/>
      <c r="F121" s="462"/>
      <c r="G121" s="462"/>
      <c r="K121" s="394" t="s">
        <v>15</v>
      </c>
      <c r="L121" s="464">
        <f>($G$15+$L$15)*0.74</f>
        <v>389.45607999999993</v>
      </c>
      <c r="M121" s="413" t="s">
        <v>9</v>
      </c>
      <c r="N121" s="464"/>
    </row>
    <row r="122" spans="2:14" ht="18.600000000000001" customHeight="1" x14ac:dyDescent="0.25">
      <c r="B122" s="379" t="s">
        <v>267</v>
      </c>
      <c r="K122" s="394" t="s">
        <v>15</v>
      </c>
      <c r="L122" s="464">
        <f>'S2'!BT21</f>
        <v>415.56</v>
      </c>
      <c r="M122" s="413" t="s">
        <v>9</v>
      </c>
      <c r="N122" s="464"/>
    </row>
    <row r="123" spans="2:14" ht="18.600000000000001" customHeight="1" x14ac:dyDescent="0.25">
      <c r="B123" s="379" t="s">
        <v>268</v>
      </c>
      <c r="D123" s="448"/>
      <c r="F123" s="396">
        <f>+ROUND(IF($L$8&lt;=4,(1),IF($L$8&gt;4,$L$8/4)),0)</f>
        <v>1</v>
      </c>
      <c r="G123" s="413" t="s">
        <v>44</v>
      </c>
      <c r="H123" s="413"/>
      <c r="K123" s="394" t="s">
        <v>15</v>
      </c>
      <c r="L123" s="412">
        <f>IF($F$123&lt;=200,VLOOKUP($F$123,'S2'!$B$5:'S2'!$D$204,2),IF($F$123&gt;200,($F$123-200)*'S2'!$C$205+'S2'!$C$204))</f>
        <v>8.25</v>
      </c>
      <c r="M123" s="413" t="s">
        <v>9</v>
      </c>
      <c r="N123" s="412"/>
    </row>
    <row r="124" spans="2:14" ht="18.600000000000001" customHeight="1" x14ac:dyDescent="0.25">
      <c r="B124" s="379" t="s">
        <v>269</v>
      </c>
      <c r="D124" s="448"/>
      <c r="K124" s="394" t="s">
        <v>15</v>
      </c>
      <c r="L124" s="412">
        <f>SUM(L118:L123)</f>
        <v>2476.4403200000002</v>
      </c>
      <c r="M124" s="413" t="s">
        <v>9</v>
      </c>
      <c r="N124" s="412"/>
    </row>
    <row r="125" spans="2:14" x14ac:dyDescent="0.25">
      <c r="B125" s="379" t="s">
        <v>270</v>
      </c>
      <c r="F125" s="442">
        <v>5</v>
      </c>
      <c r="G125" s="379" t="s">
        <v>271</v>
      </c>
      <c r="H125" s="465">
        <f>41.667/$F$125</f>
        <v>8.333400000000001</v>
      </c>
      <c r="I125" s="379" t="s">
        <v>60</v>
      </c>
      <c r="K125" s="394" t="s">
        <v>15</v>
      </c>
      <c r="L125" s="412">
        <f>ROUND($L$124/$H$125,2)</f>
        <v>297.17</v>
      </c>
      <c r="M125" s="413" t="s">
        <v>126</v>
      </c>
      <c r="N125" s="412"/>
    </row>
    <row r="126" spans="2:14" ht="18.600000000000001" customHeight="1" x14ac:dyDescent="0.25">
      <c r="B126" s="392"/>
      <c r="C126" s="392"/>
      <c r="D126" s="392"/>
      <c r="E126" s="392"/>
      <c r="F126" s="392"/>
      <c r="M126" s="394"/>
      <c r="N126" s="408"/>
    </row>
    <row r="127" spans="2:14" ht="18.600000000000001" customHeight="1" x14ac:dyDescent="0.25">
      <c r="B127" s="462" t="s">
        <v>273</v>
      </c>
      <c r="C127" s="462"/>
      <c r="D127" s="462"/>
      <c r="E127" s="462"/>
      <c r="F127" s="462"/>
      <c r="G127" s="462"/>
      <c r="M127" s="394"/>
      <c r="N127" s="434"/>
    </row>
    <row r="128" spans="2:14" ht="18.600000000000001" customHeight="1" x14ac:dyDescent="0.25">
      <c r="B128" s="462" t="s">
        <v>263</v>
      </c>
      <c r="C128" s="462"/>
      <c r="D128" s="462"/>
      <c r="E128" s="462"/>
      <c r="F128" s="462"/>
      <c r="G128" s="462"/>
      <c r="H128" s="462"/>
      <c r="K128" s="394" t="s">
        <v>15</v>
      </c>
      <c r="L128" s="463">
        <f>(ปร.4!$D$20+ปร.4!$D$21+ปร.4!$D$27+ปร.4!$D$29)/ข้อมูล!$H$125</f>
        <v>3811.8895048839604</v>
      </c>
      <c r="M128" s="413" t="s">
        <v>99</v>
      </c>
      <c r="N128" s="463"/>
    </row>
    <row r="129" spans="2:19" ht="18.600000000000001" customHeight="1" x14ac:dyDescent="0.25">
      <c r="B129" s="462" t="s">
        <v>283</v>
      </c>
      <c r="C129" s="462"/>
      <c r="D129" s="462"/>
      <c r="E129" s="462"/>
      <c r="F129" s="462"/>
      <c r="G129" s="462"/>
      <c r="H129" s="462"/>
      <c r="I129" s="462"/>
      <c r="J129" s="462"/>
      <c r="K129" s="394" t="s">
        <v>15</v>
      </c>
      <c r="L129" s="412">
        <f>'S2'!$E$104*80/$L$128</f>
        <v>3.4391343146760693</v>
      </c>
      <c r="M129" s="413" t="s">
        <v>9</v>
      </c>
      <c r="N129" s="412"/>
    </row>
    <row r="130" spans="2:19" ht="18.600000000000001" customHeight="1" x14ac:dyDescent="0.25">
      <c r="B130" s="462" t="s">
        <v>264</v>
      </c>
      <c r="C130" s="462"/>
      <c r="D130" s="462"/>
      <c r="E130" s="462"/>
      <c r="F130" s="462"/>
      <c r="G130" s="462"/>
      <c r="H130" s="462"/>
      <c r="K130" s="394" t="s">
        <v>15</v>
      </c>
      <c r="L130" s="463">
        <f>250000/$L$128</f>
        <v>65.584272492602167</v>
      </c>
      <c r="M130" s="413" t="s">
        <v>9</v>
      </c>
      <c r="N130" s="463"/>
    </row>
    <row r="131" spans="2:19" ht="18.600000000000001" customHeight="1" x14ac:dyDescent="0.25">
      <c r="B131" s="462" t="s">
        <v>265</v>
      </c>
      <c r="C131" s="462"/>
      <c r="D131" s="462"/>
      <c r="E131" s="462"/>
      <c r="F131" s="462"/>
      <c r="G131" s="462"/>
      <c r="K131" s="394" t="s">
        <v>15</v>
      </c>
      <c r="L131" s="464">
        <f>($G$21+$L$21)*0.052</f>
        <v>1663.1742400000001</v>
      </c>
      <c r="M131" s="413" t="s">
        <v>9</v>
      </c>
      <c r="N131" s="464"/>
    </row>
    <row r="132" spans="2:19" ht="18.600000000000001" customHeight="1" x14ac:dyDescent="0.25">
      <c r="B132" s="462" t="s">
        <v>266</v>
      </c>
      <c r="C132" s="462"/>
      <c r="D132" s="462"/>
      <c r="E132" s="462"/>
      <c r="F132" s="462"/>
      <c r="G132" s="462"/>
      <c r="K132" s="394" t="s">
        <v>15</v>
      </c>
      <c r="L132" s="464">
        <f>($G$15+$L$15)*0.74</f>
        <v>389.45607999999993</v>
      </c>
      <c r="M132" s="413" t="s">
        <v>9</v>
      </c>
      <c r="N132" s="464"/>
      <c r="P132" s="413"/>
    </row>
    <row r="133" spans="2:19" ht="18.600000000000001" customHeight="1" x14ac:dyDescent="0.25">
      <c r="B133" s="379" t="s">
        <v>267</v>
      </c>
      <c r="K133" s="394" t="s">
        <v>15</v>
      </c>
      <c r="L133" s="464">
        <f>'S2'!$BT$21</f>
        <v>415.56</v>
      </c>
      <c r="M133" s="413" t="s">
        <v>9</v>
      </c>
      <c r="N133" s="464"/>
      <c r="P133" s="413"/>
    </row>
    <row r="134" spans="2:19" ht="18.600000000000001" customHeight="1" x14ac:dyDescent="0.25">
      <c r="B134" s="379" t="s">
        <v>268</v>
      </c>
      <c r="D134" s="448"/>
      <c r="F134" s="394">
        <f>$F$123</f>
        <v>1</v>
      </c>
      <c r="G134" s="466" t="str">
        <f>G123</f>
        <v>กม.</v>
      </c>
      <c r="H134" s="413"/>
      <c r="K134" s="394" t="s">
        <v>15</v>
      </c>
      <c r="L134" s="412">
        <f>IF($F$123&lt;=200,VLOOKUP($F$123,'S2'!$B$5:'S2'!$D$204,2),IF($F$123&gt;200,($F$123-200)*'S2'!$C$205+'S2'!$C$204))</f>
        <v>8.25</v>
      </c>
      <c r="M134" s="413" t="s">
        <v>9</v>
      </c>
      <c r="N134" s="412"/>
      <c r="P134" s="413"/>
    </row>
    <row r="135" spans="2:19" ht="18.600000000000001" customHeight="1" x14ac:dyDescent="0.25">
      <c r="B135" s="379" t="s">
        <v>269</v>
      </c>
      <c r="D135" s="448"/>
      <c r="G135" s="403"/>
      <c r="K135" s="394" t="s">
        <v>15</v>
      </c>
      <c r="L135" s="412">
        <f>SUM(L129:L134)</f>
        <v>2545.4637268072779</v>
      </c>
      <c r="M135" s="413" t="s">
        <v>9</v>
      </c>
      <c r="N135" s="412"/>
      <c r="P135" s="413"/>
    </row>
    <row r="136" spans="2:19" x14ac:dyDescent="0.25">
      <c r="B136" s="379" t="s">
        <v>270</v>
      </c>
      <c r="F136" s="394">
        <v>5</v>
      </c>
      <c r="G136" s="457" t="str">
        <f>G125</f>
        <v xml:space="preserve"> ซม.                (</v>
      </c>
      <c r="H136" s="467">
        <f>41.667/$F$136</f>
        <v>8.333400000000001</v>
      </c>
      <c r="I136" s="379" t="s">
        <v>60</v>
      </c>
      <c r="K136" s="394" t="s">
        <v>15</v>
      </c>
      <c r="L136" s="412">
        <f>ROUND($L$135/$H$136,2)</f>
        <v>305.45</v>
      </c>
      <c r="M136" s="413" t="s">
        <v>126</v>
      </c>
      <c r="N136" s="412"/>
      <c r="P136" s="413"/>
    </row>
    <row r="137" spans="2:19" ht="18.600000000000001" customHeight="1" x14ac:dyDescent="0.3">
      <c r="D137" s="448"/>
      <c r="G137" s="415"/>
      <c r="H137" s="468" t="s">
        <v>132</v>
      </c>
      <c r="K137" s="394" t="s">
        <v>15</v>
      </c>
      <c r="L137" s="469">
        <f>IF(((ปร.4!$D$20+ปร.4!$D$21+ปร.4!$D$27+ปร.4!$D$29)*$F$125*0.024)&lt;10000,$L$125,IF(((ปร.4!$D$20+ปร.4!$D$21+ปร.4!$D$27+ปร.4!$D$29)*$F$125*0.024)&gt;10000,L136))</f>
        <v>297.17</v>
      </c>
      <c r="M137" s="470" t="s">
        <v>126</v>
      </c>
      <c r="N137" s="469"/>
      <c r="P137" s="413"/>
      <c r="S137" s="471"/>
    </row>
    <row r="138" spans="2:19" ht="18.600000000000001" customHeight="1" x14ac:dyDescent="0.25">
      <c r="D138" s="448"/>
      <c r="F138" s="472"/>
      <c r="G138" s="413"/>
      <c r="K138" s="394"/>
      <c r="L138" s="412"/>
      <c r="M138" s="413"/>
      <c r="P138" s="413"/>
    </row>
    <row r="139" spans="2:19" ht="18.600000000000001" customHeight="1" x14ac:dyDescent="0.25">
      <c r="D139" s="448"/>
      <c r="F139" s="472"/>
      <c r="G139" s="413"/>
      <c r="K139" s="394"/>
      <c r="L139" s="412"/>
      <c r="M139" s="413"/>
      <c r="P139" s="413"/>
    </row>
    <row r="140" spans="2:19" ht="18.600000000000001" customHeight="1" x14ac:dyDescent="0.25">
      <c r="B140" s="461" t="s">
        <v>313</v>
      </c>
      <c r="C140" s="461"/>
      <c r="D140" s="461"/>
      <c r="E140" s="461"/>
      <c r="F140" s="461"/>
      <c r="M140" s="394"/>
      <c r="N140" s="408"/>
    </row>
    <row r="141" spans="2:19" ht="18.600000000000001" customHeight="1" x14ac:dyDescent="0.25">
      <c r="B141" s="462" t="s">
        <v>311</v>
      </c>
      <c r="C141" s="462"/>
      <c r="D141" s="462"/>
      <c r="E141" s="462"/>
      <c r="F141" s="462"/>
      <c r="G141" s="462"/>
      <c r="M141" s="394"/>
      <c r="N141" s="434"/>
    </row>
    <row r="142" spans="2:19" ht="18.600000000000001" customHeight="1" x14ac:dyDescent="0.25">
      <c r="B142" s="462" t="s">
        <v>263</v>
      </c>
      <c r="C142" s="462"/>
      <c r="D142" s="462"/>
      <c r="E142" s="462"/>
      <c r="F142" s="462"/>
      <c r="G142" s="462"/>
      <c r="H142" s="462"/>
      <c r="K142" s="394" t="s">
        <v>15</v>
      </c>
      <c r="L142" s="463">
        <v>10000</v>
      </c>
      <c r="M142" s="413" t="s">
        <v>99</v>
      </c>
      <c r="N142" s="463"/>
    </row>
    <row r="143" spans="2:19" ht="18.600000000000001" customHeight="1" x14ac:dyDescent="0.25">
      <c r="B143" s="462" t="s">
        <v>283</v>
      </c>
      <c r="C143" s="462"/>
      <c r="D143" s="462"/>
      <c r="E143" s="462"/>
      <c r="F143" s="462"/>
      <c r="G143" s="462"/>
      <c r="H143" s="462"/>
      <c r="I143" s="462"/>
      <c r="J143" s="462"/>
      <c r="K143" s="394" t="s">
        <v>15</v>
      </c>
      <c r="L143" s="412">
        <f>'S2'!$E$104*80/$L$117</f>
        <v>1.3109600000000001</v>
      </c>
      <c r="M143" s="413" t="s">
        <v>9</v>
      </c>
      <c r="N143" s="412"/>
    </row>
    <row r="144" spans="2:19" ht="18.600000000000001" customHeight="1" x14ac:dyDescent="0.25">
      <c r="B144" s="462" t="s">
        <v>264</v>
      </c>
      <c r="C144" s="462"/>
      <c r="D144" s="462"/>
      <c r="E144" s="462"/>
      <c r="F144" s="462"/>
      <c r="G144" s="462"/>
      <c r="H144" s="462"/>
      <c r="K144" s="394" t="s">
        <v>15</v>
      </c>
      <c r="L144" s="463">
        <f>250000/$L$117</f>
        <v>25</v>
      </c>
      <c r="M144" s="413" t="s">
        <v>9</v>
      </c>
      <c r="N144" s="463"/>
    </row>
    <row r="145" spans="2:16" ht="18.600000000000001" customHeight="1" x14ac:dyDescent="0.25">
      <c r="B145" s="462" t="s">
        <v>314</v>
      </c>
      <c r="C145" s="462"/>
      <c r="D145" s="462"/>
      <c r="E145" s="462"/>
      <c r="F145" s="462"/>
      <c r="G145" s="462"/>
      <c r="K145" s="394" t="s">
        <v>15</v>
      </c>
      <c r="L145" s="464">
        <f>($G$23+$L$23)*0.052</f>
        <v>2427.4010800000001</v>
      </c>
      <c r="M145" s="413" t="s">
        <v>9</v>
      </c>
      <c r="N145" s="464"/>
    </row>
    <row r="146" spans="2:16" ht="18.600000000000001" customHeight="1" x14ac:dyDescent="0.25">
      <c r="B146" s="462" t="s">
        <v>266</v>
      </c>
      <c r="C146" s="462"/>
      <c r="D146" s="462"/>
      <c r="E146" s="462"/>
      <c r="F146" s="462"/>
      <c r="G146" s="462"/>
      <c r="K146" s="394" t="s">
        <v>15</v>
      </c>
      <c r="L146" s="464">
        <f>($G$15+$L$15)*0.74</f>
        <v>389.45607999999993</v>
      </c>
      <c r="M146" s="413" t="s">
        <v>9</v>
      </c>
      <c r="N146" s="464"/>
    </row>
    <row r="147" spans="2:16" ht="18.600000000000001" customHeight="1" x14ac:dyDescent="0.25">
      <c r="B147" s="379" t="s">
        <v>315</v>
      </c>
      <c r="K147" s="394" t="s">
        <v>15</v>
      </c>
      <c r="L147" s="464">
        <f>'S2'!BT21*1.1</f>
        <v>457.11600000000004</v>
      </c>
      <c r="M147" s="413" t="s">
        <v>9</v>
      </c>
      <c r="N147" s="464"/>
    </row>
    <row r="148" spans="2:16" ht="18.600000000000001" customHeight="1" x14ac:dyDescent="0.25">
      <c r="B148" s="379" t="s">
        <v>268</v>
      </c>
      <c r="D148" s="448"/>
      <c r="F148" s="396">
        <f>+ROUND(IF($L$8&lt;=4,(1),IF($L$8&gt;4,$L$8/4)),0)</f>
        <v>1</v>
      </c>
      <c r="G148" s="413" t="s">
        <v>44</v>
      </c>
      <c r="H148" s="413"/>
      <c r="K148" s="394" t="s">
        <v>15</v>
      </c>
      <c r="L148" s="412">
        <f>IF($F$123&lt;=200,VLOOKUP($F$123,'S2'!$B$5:'S2'!$D$204,2),IF($F$123&gt;200,($F$123-200)*'S2'!$C$205+'S2'!$C$204))</f>
        <v>8.25</v>
      </c>
      <c r="M148" s="413" t="s">
        <v>9</v>
      </c>
      <c r="N148" s="412"/>
    </row>
    <row r="149" spans="2:16" ht="18.600000000000001" customHeight="1" x14ac:dyDescent="0.25">
      <c r="B149" s="379" t="s">
        <v>269</v>
      </c>
      <c r="D149" s="448"/>
      <c r="K149" s="394" t="s">
        <v>15</v>
      </c>
      <c r="L149" s="412">
        <f>SUM(L143:L148)</f>
        <v>3308.5341199999998</v>
      </c>
      <c r="M149" s="413" t="s">
        <v>9</v>
      </c>
      <c r="N149" s="412"/>
    </row>
    <row r="150" spans="2:16" x14ac:dyDescent="0.25">
      <c r="B150" s="379" t="s">
        <v>270</v>
      </c>
      <c r="F150" s="442">
        <v>5</v>
      </c>
      <c r="G150" s="379" t="s">
        <v>271</v>
      </c>
      <c r="H150" s="465">
        <f>41.667/$F$125</f>
        <v>8.333400000000001</v>
      </c>
      <c r="I150" s="379" t="s">
        <v>60</v>
      </c>
      <c r="K150" s="394" t="s">
        <v>15</v>
      </c>
      <c r="L150" s="412">
        <f>ROUND($L$149/$H$150,2)</f>
        <v>397.02</v>
      </c>
      <c r="M150" s="413" t="s">
        <v>126</v>
      </c>
      <c r="N150" s="412"/>
    </row>
    <row r="151" spans="2:16" ht="18.600000000000001" customHeight="1" x14ac:dyDescent="0.25">
      <c r="B151" s="392"/>
      <c r="C151" s="392"/>
      <c r="D151" s="392"/>
      <c r="E151" s="392"/>
      <c r="F151" s="392"/>
      <c r="M151" s="394"/>
      <c r="N151" s="408"/>
    </row>
    <row r="152" spans="2:16" ht="18.600000000000001" customHeight="1" x14ac:dyDescent="0.25">
      <c r="B152" s="462" t="s">
        <v>312</v>
      </c>
      <c r="C152" s="462"/>
      <c r="D152" s="462"/>
      <c r="E152" s="462"/>
      <c r="F152" s="462"/>
      <c r="G152" s="462"/>
      <c r="M152" s="394"/>
      <c r="N152" s="434"/>
    </row>
    <row r="153" spans="2:16" ht="18.600000000000001" customHeight="1" x14ac:dyDescent="0.25">
      <c r="B153" s="462" t="s">
        <v>263</v>
      </c>
      <c r="C153" s="462"/>
      <c r="D153" s="462"/>
      <c r="E153" s="462"/>
      <c r="F153" s="462"/>
      <c r="G153" s="462"/>
      <c r="H153" s="462"/>
      <c r="K153" s="394" t="s">
        <v>15</v>
      </c>
      <c r="L153" s="463">
        <f>(ปร.4!$D$20+ปร.4!$D$21+ปร.4!$D$27+ปร.4!$D$29)/ข้อมูล!$H$125</f>
        <v>3811.8895048839604</v>
      </c>
      <c r="M153" s="413" t="s">
        <v>99</v>
      </c>
      <c r="N153" s="463"/>
    </row>
    <row r="154" spans="2:16" ht="18.600000000000001" customHeight="1" x14ac:dyDescent="0.25">
      <c r="B154" s="462" t="s">
        <v>283</v>
      </c>
      <c r="C154" s="462"/>
      <c r="D154" s="462"/>
      <c r="E154" s="462"/>
      <c r="F154" s="462"/>
      <c r="G154" s="462"/>
      <c r="H154" s="462"/>
      <c r="I154" s="462"/>
      <c r="J154" s="462"/>
      <c r="K154" s="394" t="s">
        <v>15</v>
      </c>
      <c r="L154" s="412">
        <f>'S2'!$E$104*80/$L$128</f>
        <v>3.4391343146760693</v>
      </c>
      <c r="M154" s="413" t="s">
        <v>9</v>
      </c>
      <c r="N154" s="412"/>
    </row>
    <row r="155" spans="2:16" ht="18.600000000000001" customHeight="1" x14ac:dyDescent="0.25">
      <c r="B155" s="462" t="s">
        <v>264</v>
      </c>
      <c r="C155" s="462"/>
      <c r="D155" s="462"/>
      <c r="E155" s="462"/>
      <c r="F155" s="462"/>
      <c r="G155" s="462"/>
      <c r="H155" s="462"/>
      <c r="K155" s="394" t="s">
        <v>15</v>
      </c>
      <c r="L155" s="463">
        <f>250000/$L$128</f>
        <v>65.584272492602167</v>
      </c>
      <c r="M155" s="413" t="s">
        <v>9</v>
      </c>
      <c r="N155" s="463"/>
    </row>
    <row r="156" spans="2:16" ht="18.600000000000001" customHeight="1" x14ac:dyDescent="0.25">
      <c r="B156" s="462" t="s">
        <v>314</v>
      </c>
      <c r="C156" s="462"/>
      <c r="D156" s="462"/>
      <c r="E156" s="462"/>
      <c r="F156" s="462"/>
      <c r="G156" s="462"/>
      <c r="K156" s="394" t="s">
        <v>15</v>
      </c>
      <c r="L156" s="464">
        <f>($G$23+$L$23)*0.052</f>
        <v>2427.4010800000001</v>
      </c>
      <c r="M156" s="413" t="s">
        <v>9</v>
      </c>
      <c r="N156" s="464"/>
    </row>
    <row r="157" spans="2:16" ht="18.600000000000001" customHeight="1" x14ac:dyDescent="0.25">
      <c r="B157" s="462" t="s">
        <v>266</v>
      </c>
      <c r="C157" s="462"/>
      <c r="D157" s="462"/>
      <c r="E157" s="462"/>
      <c r="F157" s="462"/>
      <c r="G157" s="462"/>
      <c r="K157" s="394" t="s">
        <v>15</v>
      </c>
      <c r="L157" s="464">
        <f>($G$15+$L$15)*0.74</f>
        <v>389.45607999999993</v>
      </c>
      <c r="M157" s="413" t="s">
        <v>9</v>
      </c>
      <c r="N157" s="464"/>
      <c r="P157" s="413"/>
    </row>
    <row r="158" spans="2:16" ht="18.600000000000001" customHeight="1" x14ac:dyDescent="0.25">
      <c r="B158" s="379" t="s">
        <v>315</v>
      </c>
      <c r="K158" s="394" t="s">
        <v>15</v>
      </c>
      <c r="L158" s="464">
        <f>'S2'!$BT$21*1.1</f>
        <v>457.11600000000004</v>
      </c>
      <c r="M158" s="413" t="s">
        <v>9</v>
      </c>
      <c r="N158" s="464"/>
      <c r="P158" s="413"/>
    </row>
    <row r="159" spans="2:16" ht="18.600000000000001" customHeight="1" x14ac:dyDescent="0.25">
      <c r="B159" s="379" t="s">
        <v>268</v>
      </c>
      <c r="D159" s="448"/>
      <c r="F159" s="394">
        <f>$F$123</f>
        <v>1</v>
      </c>
      <c r="G159" s="466" t="str">
        <f>G148</f>
        <v>กม.</v>
      </c>
      <c r="H159" s="413"/>
      <c r="K159" s="394" t="s">
        <v>15</v>
      </c>
      <c r="L159" s="412">
        <f>IF($F$123&lt;=200,VLOOKUP($F$123,'S2'!$B$5:'S2'!$D$204,2),IF($F$123&gt;200,($F$123-200)*'S2'!$C$205+'S2'!$C$204))</f>
        <v>8.25</v>
      </c>
      <c r="M159" s="413" t="s">
        <v>9</v>
      </c>
      <c r="N159" s="412"/>
      <c r="P159" s="413"/>
    </row>
    <row r="160" spans="2:16" ht="18.600000000000001" customHeight="1" x14ac:dyDescent="0.25">
      <c r="B160" s="379" t="s">
        <v>269</v>
      </c>
      <c r="D160" s="448"/>
      <c r="G160" s="403"/>
      <c r="K160" s="394" t="s">
        <v>15</v>
      </c>
      <c r="L160" s="412">
        <f>SUM(L154:L159)</f>
        <v>3351.2465668072782</v>
      </c>
      <c r="M160" s="413" t="s">
        <v>9</v>
      </c>
      <c r="N160" s="412"/>
      <c r="P160" s="413"/>
    </row>
    <row r="161" spans="2:19" x14ac:dyDescent="0.25">
      <c r="B161" s="379" t="s">
        <v>270</v>
      </c>
      <c r="F161" s="394">
        <v>5</v>
      </c>
      <c r="G161" s="457" t="str">
        <f>G150</f>
        <v xml:space="preserve"> ซม.                (</v>
      </c>
      <c r="H161" s="467">
        <f>41.667/$F$136</f>
        <v>8.333400000000001</v>
      </c>
      <c r="I161" s="379" t="s">
        <v>60</v>
      </c>
      <c r="K161" s="394" t="s">
        <v>15</v>
      </c>
      <c r="L161" s="412">
        <f>ROUND($L$160/$H$161,2)</f>
        <v>402.15</v>
      </c>
      <c r="M161" s="413" t="s">
        <v>126</v>
      </c>
      <c r="N161" s="412"/>
      <c r="P161" s="413"/>
    </row>
    <row r="162" spans="2:19" ht="18.600000000000001" customHeight="1" x14ac:dyDescent="0.3">
      <c r="D162" s="448"/>
      <c r="G162" s="415"/>
      <c r="H162" s="468" t="s">
        <v>132</v>
      </c>
      <c r="K162" s="394" t="s">
        <v>15</v>
      </c>
      <c r="L162" s="469">
        <f>IF(((ปร.4!$D$20+ปร.4!$D$21+ปร.4!$D$27+ปร.4!$D$29)*$F$150*0.024)&lt;10000,$L$150,IF(((ปร.4!$D$20+ปร.4!$D$21+ปร.4!$D$27+ปร.4!$D$29)*$F$150*0.024)&gt;10000,L161))</f>
        <v>397.02</v>
      </c>
      <c r="M162" s="470" t="s">
        <v>126</v>
      </c>
      <c r="N162" s="469"/>
      <c r="P162" s="413"/>
      <c r="S162" s="471"/>
    </row>
    <row r="163" spans="2:19" x14ac:dyDescent="0.25">
      <c r="B163" s="409" t="s">
        <v>18</v>
      </c>
      <c r="K163" s="394"/>
      <c r="L163" s="408"/>
      <c r="P163" s="413"/>
    </row>
    <row r="164" spans="2:19" x14ac:dyDescent="0.25">
      <c r="B164" s="379" t="s">
        <v>61</v>
      </c>
      <c r="K164" s="394"/>
      <c r="L164" s="473"/>
      <c r="P164" s="413"/>
    </row>
    <row r="165" spans="2:19" x14ac:dyDescent="0.25">
      <c r="B165" s="379" t="s">
        <v>62</v>
      </c>
      <c r="K165" s="394"/>
      <c r="L165" s="447"/>
    </row>
    <row r="166" spans="2:19" x14ac:dyDescent="0.25">
      <c r="B166" s="409" t="s">
        <v>20</v>
      </c>
      <c r="K166" s="394"/>
    </row>
    <row r="167" spans="2:19" x14ac:dyDescent="0.25">
      <c r="B167" s="379" t="s">
        <v>21</v>
      </c>
      <c r="F167" s="452">
        <v>33.5</v>
      </c>
      <c r="G167" s="379" t="s">
        <v>22</v>
      </c>
      <c r="P167" s="413"/>
    </row>
    <row r="168" spans="2:19" x14ac:dyDescent="0.25">
      <c r="B168" s="379" t="s">
        <v>56</v>
      </c>
      <c r="E168" s="413" t="str">
        <f>IF(Q14=0,S14,IF(Q14=1,S15,S16))</f>
        <v>ฝนตกปกติ</v>
      </c>
      <c r="P168" s="413"/>
    </row>
    <row r="169" spans="2:19" x14ac:dyDescent="0.25">
      <c r="F169" s="474"/>
      <c r="P169" s="413"/>
    </row>
    <row r="170" spans="2:19" x14ac:dyDescent="0.25">
      <c r="P170" s="413"/>
    </row>
    <row r="171" spans="2:19" x14ac:dyDescent="0.25">
      <c r="P171" s="413"/>
    </row>
    <row r="172" spans="2:19" x14ac:dyDescent="0.25">
      <c r="P172" s="413"/>
      <c r="S172" s="471"/>
    </row>
    <row r="173" spans="2:19" x14ac:dyDescent="0.25">
      <c r="P173" s="413"/>
    </row>
    <row r="174" spans="2:19" x14ac:dyDescent="0.25">
      <c r="P174" s="413"/>
    </row>
    <row r="175" spans="2:19" x14ac:dyDescent="0.25">
      <c r="P175" s="413"/>
    </row>
    <row r="176" spans="2:19" ht="17.25" x14ac:dyDescent="0.3">
      <c r="P176" s="470"/>
    </row>
  </sheetData>
  <mergeCells count="31">
    <mergeCell ref="B132:G132"/>
    <mergeCell ref="B121:G121"/>
    <mergeCell ref="B127:G127"/>
    <mergeCell ref="B128:H128"/>
    <mergeCell ref="B129:J129"/>
    <mergeCell ref="B130:H130"/>
    <mergeCell ref="B131:G131"/>
    <mergeCell ref="B120:G120"/>
    <mergeCell ref="B115:F115"/>
    <mergeCell ref="B116:G116"/>
    <mergeCell ref="B117:H117"/>
    <mergeCell ref="B118:J118"/>
    <mergeCell ref="T15:X15"/>
    <mergeCell ref="I8:K8"/>
    <mergeCell ref="B1:L1"/>
    <mergeCell ref="B2:L2"/>
    <mergeCell ref="B119:H119"/>
    <mergeCell ref="A9:M9"/>
    <mergeCell ref="B140:F140"/>
    <mergeCell ref="B141:G141"/>
    <mergeCell ref="B142:H142"/>
    <mergeCell ref="B143:J143"/>
    <mergeCell ref="B144:H144"/>
    <mergeCell ref="B155:H155"/>
    <mergeCell ref="B156:G156"/>
    <mergeCell ref="B157:G157"/>
    <mergeCell ref="B145:G145"/>
    <mergeCell ref="B146:G146"/>
    <mergeCell ref="B152:G152"/>
    <mergeCell ref="B153:H153"/>
    <mergeCell ref="B154:J154"/>
  </mergeCells>
  <phoneticPr fontId="0" type="noConversion"/>
  <pageMargins left="0.59" right="0.39370078740157483" top="0.51" bottom="0.65" header="0" footer="0"/>
  <pageSetup paperSize="9" orientation="portrait" blackAndWhite="1" verticalDpi="300" r:id="rId1"/>
  <headerFooter alignWithMargins="0"/>
  <ignoredErrors>
    <ignoredError sqref="G134 L128 J17:J18" unlockedFormula="1"/>
    <ignoredError sqref="L109 L111 L135 L113" evalError="1"/>
    <ignoredError sqref="L130" evalError="1" unlocked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</sheetPr>
  <dimension ref="A1:O133"/>
  <sheetViews>
    <sheetView view="pageBreakPreview" topLeftCell="A34" zoomScaleNormal="110" zoomScaleSheetLayoutView="100" workbookViewId="0">
      <selection activeCell="L44" sqref="L44"/>
    </sheetView>
  </sheetViews>
  <sheetFormatPr defaultColWidth="9.140625" defaultRowHeight="18.75" x14ac:dyDescent="0.3"/>
  <cols>
    <col min="1" max="1" width="2.85546875" style="171" customWidth="1"/>
    <col min="2" max="2" width="10.140625" style="171" customWidth="1"/>
    <col min="3" max="3" width="22.7109375" style="171" customWidth="1"/>
    <col min="4" max="4" width="9.5703125" style="492" customWidth="1"/>
    <col min="5" max="5" width="5.140625" style="171" customWidth="1"/>
    <col min="6" max="6" width="8.85546875" style="171" customWidth="1"/>
    <col min="7" max="7" width="9.140625" style="171" customWidth="1"/>
    <col min="8" max="8" width="10.5703125" style="171" customWidth="1"/>
    <col min="9" max="9" width="11.85546875" style="171" customWidth="1"/>
    <col min="10" max="10" width="9.28515625" style="171" customWidth="1"/>
    <col min="11" max="11" width="10.85546875" style="171" customWidth="1"/>
    <col min="12" max="12" width="13" style="171" customWidth="1"/>
    <col min="13" max="13" width="10.140625" style="171" customWidth="1"/>
    <col min="14" max="14" width="9.140625" style="171"/>
    <col min="15" max="15" width="10.28515625" style="171" customWidth="1"/>
    <col min="16" max="16384" width="9.140625" style="171"/>
  </cols>
  <sheetData>
    <row r="1" spans="1:13" ht="21.75" customHeight="1" x14ac:dyDescent="0.35">
      <c r="A1" s="490" t="s">
        <v>1406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</row>
    <row r="2" spans="1:13" x14ac:dyDescent="0.3">
      <c r="B2" s="491" t="s">
        <v>42</v>
      </c>
      <c r="C2" s="401" t="str">
        <f>ข้อมูล!C7</f>
        <v xml:space="preserve"> พย.ถ.10060</v>
      </c>
      <c r="G2" s="392" t="s">
        <v>23</v>
      </c>
      <c r="H2" s="379" t="str">
        <f>ข้อมูล!F7</f>
        <v>ทางหลวงหมายเลข 1 ตอน ทางเดิมเข้าเมืองพะเยา ต.บ้านต๋อม อ.เมืองพะเยา จ.พะเยา</v>
      </c>
      <c r="I2" s="493"/>
    </row>
    <row r="3" spans="1:13" ht="21.75" customHeight="1" x14ac:dyDescent="0.3">
      <c r="B3" s="491" t="s">
        <v>43</v>
      </c>
      <c r="C3" s="494" t="str">
        <f>ข้อมูล!$C$8</f>
        <v>ทางหลวงหมายเลข 1 ตอนเดิมเข้าเมืองพะเยา  ต.บ้านต๋อม อ.เมือง จ.พะเยา</v>
      </c>
      <c r="G3" s="491"/>
      <c r="H3" s="495" t="str">
        <f>ปร.5!A11</f>
        <v>ระยะทางดำเนินการซ่อมสร้าง ฯ รวม 2 ช่วง</v>
      </c>
      <c r="I3" s="496"/>
      <c r="J3" s="392"/>
      <c r="K3" s="497" t="s">
        <v>6</v>
      </c>
      <c r="L3" s="498">
        <v>2.4</v>
      </c>
      <c r="M3" s="401" t="s">
        <v>44</v>
      </c>
    </row>
    <row r="4" spans="1:13" ht="20.100000000000001" customHeight="1" x14ac:dyDescent="0.3">
      <c r="A4" s="518" t="s">
        <v>0</v>
      </c>
      <c r="B4" s="519"/>
      <c r="C4" s="520" t="s">
        <v>45</v>
      </c>
      <c r="D4" s="521" t="s">
        <v>24</v>
      </c>
      <c r="E4" s="518" t="s">
        <v>25</v>
      </c>
      <c r="F4" s="522" t="s">
        <v>26</v>
      </c>
      <c r="G4" s="523"/>
      <c r="H4" s="524"/>
      <c r="I4" s="518" t="s">
        <v>27</v>
      </c>
      <c r="J4" s="525" t="s">
        <v>2</v>
      </c>
      <c r="K4" s="522" t="s">
        <v>286</v>
      </c>
      <c r="L4" s="524"/>
      <c r="M4" s="518" t="s">
        <v>20</v>
      </c>
    </row>
    <row r="5" spans="1:13" ht="20.100000000000001" customHeight="1" x14ac:dyDescent="0.3">
      <c r="A5" s="526"/>
      <c r="B5" s="527"/>
      <c r="C5" s="528"/>
      <c r="D5" s="529"/>
      <c r="E5" s="526"/>
      <c r="F5" s="530" t="s">
        <v>28</v>
      </c>
      <c r="G5" s="530" t="s">
        <v>29</v>
      </c>
      <c r="H5" s="530" t="s">
        <v>30</v>
      </c>
      <c r="I5" s="526" t="s">
        <v>31</v>
      </c>
      <c r="J5" s="525"/>
      <c r="K5" s="531" t="s">
        <v>287</v>
      </c>
      <c r="L5" s="530" t="s">
        <v>30</v>
      </c>
      <c r="M5" s="526"/>
    </row>
    <row r="6" spans="1:13" ht="20.100000000000001" customHeight="1" x14ac:dyDescent="0.3">
      <c r="A6" s="532">
        <v>1</v>
      </c>
      <c r="B6" s="533" t="s">
        <v>32</v>
      </c>
      <c r="C6" s="507"/>
      <c r="D6" s="534"/>
      <c r="E6" s="507"/>
      <c r="F6" s="507"/>
      <c r="G6" s="507"/>
      <c r="H6" s="507"/>
      <c r="I6" s="507"/>
      <c r="J6" s="507"/>
      <c r="K6" s="507"/>
      <c r="L6" s="507"/>
      <c r="M6" s="507"/>
    </row>
    <row r="7" spans="1:13" ht="20.100000000000001" customHeight="1" x14ac:dyDescent="0.3">
      <c r="A7" s="532"/>
      <c r="B7" s="507" t="s">
        <v>656</v>
      </c>
      <c r="C7" s="507"/>
      <c r="D7" s="535">
        <v>60</v>
      </c>
      <c r="E7" s="530" t="s">
        <v>461</v>
      </c>
      <c r="F7" s="536">
        <f t="shared" ref="F7:F13" si="0">IF(D7&lt;=0,0,)</f>
        <v>0</v>
      </c>
      <c r="G7" s="536">
        <v>1000</v>
      </c>
      <c r="H7" s="536">
        <f>F7+G7</f>
        <v>1000</v>
      </c>
      <c r="I7" s="537">
        <f t="shared" ref="I7:I15" si="1">D7*H7</f>
        <v>60000</v>
      </c>
      <c r="J7" s="538">
        <f>IF(D7&gt;0,'S2'!$BZ$31,0)</f>
        <v>1.2473000000000001</v>
      </c>
      <c r="K7" s="537">
        <f>ROUNDDOWN(H7*J7,2)</f>
        <v>1247.3</v>
      </c>
      <c r="L7" s="537">
        <f>D7*K7</f>
        <v>74838</v>
      </c>
      <c r="M7" s="507" t="s">
        <v>1254</v>
      </c>
    </row>
    <row r="8" spans="1:13" ht="20.100000000000001" customHeight="1" x14ac:dyDescent="0.3">
      <c r="A8" s="532"/>
      <c r="B8" s="539" t="s">
        <v>1255</v>
      </c>
      <c r="C8" s="540"/>
      <c r="D8" s="541"/>
      <c r="E8" s="530"/>
      <c r="F8" s="536"/>
      <c r="G8" s="536"/>
      <c r="H8" s="536"/>
      <c r="I8" s="537"/>
      <c r="J8" s="538"/>
      <c r="K8" s="537"/>
      <c r="L8" s="537"/>
      <c r="M8" s="507"/>
    </row>
    <row r="9" spans="1:13" s="506" customFormat="1" ht="20.100000000000001" customHeight="1" x14ac:dyDescent="0.3">
      <c r="A9" s="542"/>
      <c r="B9" s="507" t="s">
        <v>371</v>
      </c>
      <c r="C9" s="507"/>
      <c r="D9" s="543">
        <v>192</v>
      </c>
      <c r="E9" s="530" t="s">
        <v>34</v>
      </c>
      <c r="F9" s="536">
        <f t="shared" si="0"/>
        <v>0</v>
      </c>
      <c r="G9" s="536">
        <f t="shared" ref="G9:G14" si="2">IF(D9&lt;=0,0,)</f>
        <v>0</v>
      </c>
      <c r="H9" s="536">
        <f>รื้อคันหินเดิม!C19</f>
        <v>560</v>
      </c>
      <c r="I9" s="537">
        <f t="shared" si="1"/>
        <v>107520</v>
      </c>
      <c r="J9" s="538">
        <f>IF(D9&gt;0,'S2'!$BZ$31,0)</f>
        <v>1.2473000000000001</v>
      </c>
      <c r="K9" s="537">
        <f t="shared" ref="K9:K35" si="3">ROUNDDOWN(H9*J9,2)</f>
        <v>698.48</v>
      </c>
      <c r="L9" s="537">
        <f t="shared" ref="L9:L15" si="4">D9*K9</f>
        <v>134108.16</v>
      </c>
      <c r="M9" s="544"/>
    </row>
    <row r="10" spans="1:13" s="506" customFormat="1" ht="20.100000000000001" customHeight="1" x14ac:dyDescent="0.3">
      <c r="A10" s="542"/>
      <c r="B10" s="507" t="s">
        <v>621</v>
      </c>
      <c r="C10" s="507"/>
      <c r="D10" s="541">
        <v>7200</v>
      </c>
      <c r="E10" s="530" t="s">
        <v>33</v>
      </c>
      <c r="F10" s="536">
        <f t="shared" si="0"/>
        <v>0</v>
      </c>
      <c r="G10" s="536">
        <f t="shared" si="2"/>
        <v>0</v>
      </c>
      <c r="H10" s="536">
        <f>'รื้อทางเท้าเดิม 10 ซม.'!C19</f>
        <v>50</v>
      </c>
      <c r="I10" s="537">
        <f t="shared" si="1"/>
        <v>360000</v>
      </c>
      <c r="J10" s="538">
        <f>IF(D10&gt;0,'S2'!$BZ$31,0)</f>
        <v>1.2473000000000001</v>
      </c>
      <c r="K10" s="537">
        <f t="shared" ref="K10" si="5">ROUNDDOWN(H10*J10,2)</f>
        <v>62.36</v>
      </c>
      <c r="L10" s="537">
        <f t="shared" si="4"/>
        <v>448992</v>
      </c>
      <c r="M10" s="544"/>
    </row>
    <row r="11" spans="1:13" s="506" customFormat="1" ht="20.100000000000001" customHeight="1" x14ac:dyDescent="0.3">
      <c r="A11" s="542"/>
      <c r="B11" s="507" t="s">
        <v>622</v>
      </c>
      <c r="C11" s="507"/>
      <c r="D11" s="543">
        <v>3600</v>
      </c>
      <c r="E11" s="530" t="s">
        <v>34</v>
      </c>
      <c r="F11" s="536">
        <f t="shared" si="0"/>
        <v>0</v>
      </c>
      <c r="G11" s="536">
        <f t="shared" si="2"/>
        <v>0</v>
      </c>
      <c r="H11" s="536">
        <v>22.2</v>
      </c>
      <c r="I11" s="537">
        <f t="shared" si="1"/>
        <v>79920</v>
      </c>
      <c r="J11" s="538">
        <f>IF(D11&gt;0,'S2'!$BZ$31,0)</f>
        <v>1.2473000000000001</v>
      </c>
      <c r="K11" s="537">
        <f t="shared" ref="K11" si="6">ROUNDDOWN(H11*J11,2)</f>
        <v>27.69</v>
      </c>
      <c r="L11" s="537">
        <f t="shared" si="4"/>
        <v>99684</v>
      </c>
      <c r="M11" s="544"/>
    </row>
    <row r="12" spans="1:13" ht="20.100000000000001" customHeight="1" x14ac:dyDescent="0.3">
      <c r="A12" s="532"/>
      <c r="B12" s="507" t="s">
        <v>631</v>
      </c>
      <c r="C12" s="507"/>
      <c r="D12" s="543">
        <f>D10</f>
        <v>7200</v>
      </c>
      <c r="E12" s="530" t="s">
        <v>33</v>
      </c>
      <c r="F12" s="536">
        <f t="shared" si="0"/>
        <v>0</v>
      </c>
      <c r="G12" s="536">
        <f t="shared" si="2"/>
        <v>0</v>
      </c>
      <c r="H12" s="536">
        <f>ROUND(IF(D12&lt;=0,0,+'S2'!$BT$12),2)</f>
        <v>11.24</v>
      </c>
      <c r="I12" s="537">
        <f t="shared" si="1"/>
        <v>80928</v>
      </c>
      <c r="J12" s="538">
        <f>IF(D12&gt;0,'S2'!$BZ$31,0)</f>
        <v>1.2473000000000001</v>
      </c>
      <c r="K12" s="537">
        <f>ROUNDDOWN(H12*J12,2)</f>
        <v>14.01</v>
      </c>
      <c r="L12" s="537">
        <f t="shared" si="4"/>
        <v>100872</v>
      </c>
      <c r="M12" s="507"/>
    </row>
    <row r="13" spans="1:13" ht="20.100000000000001" customHeight="1" x14ac:dyDescent="0.3">
      <c r="A13" s="532"/>
      <c r="B13" s="507" t="s">
        <v>657</v>
      </c>
      <c r="C13" s="507"/>
      <c r="D13" s="543">
        <v>22506</v>
      </c>
      <c r="E13" s="530" t="s">
        <v>33</v>
      </c>
      <c r="F13" s="536">
        <f t="shared" si="0"/>
        <v>0</v>
      </c>
      <c r="G13" s="536">
        <f t="shared" si="2"/>
        <v>0</v>
      </c>
      <c r="H13" s="536">
        <f>ข้อมูล!L113</f>
        <v>80.4637745</v>
      </c>
      <c r="I13" s="537">
        <f t="shared" ref="I13" si="7">D13*H13</f>
        <v>1810917.7088969999</v>
      </c>
      <c r="J13" s="538">
        <f>IF(D13&gt;0,'S2'!$BZ$31,0)</f>
        <v>1.2473000000000001</v>
      </c>
      <c r="K13" s="537">
        <f>ROUNDDOWN(H13*J13,2)</f>
        <v>100.36</v>
      </c>
      <c r="L13" s="537">
        <f t="shared" ref="L13" si="8">D13*K13</f>
        <v>2258702.16</v>
      </c>
      <c r="M13" s="507"/>
    </row>
    <row r="14" spans="1:13" ht="20.100000000000001" customHeight="1" x14ac:dyDescent="0.3">
      <c r="A14" s="532"/>
      <c r="B14" s="507" t="s">
        <v>659</v>
      </c>
      <c r="C14" s="507"/>
      <c r="D14" s="543">
        <f>D13*0.03</f>
        <v>675.18</v>
      </c>
      <c r="E14" s="530" t="s">
        <v>33</v>
      </c>
      <c r="F14" s="536">
        <f>ข้อมูล!L70</f>
        <v>408.3</v>
      </c>
      <c r="G14" s="536">
        <f t="shared" si="2"/>
        <v>0</v>
      </c>
      <c r="H14" s="536">
        <f>F14+G14</f>
        <v>408.3</v>
      </c>
      <c r="I14" s="537">
        <f t="shared" ref="I14" si="9">D14*H14</f>
        <v>275675.99400000001</v>
      </c>
      <c r="J14" s="538">
        <f>IF(D14&gt;0,'S2'!$BZ$31,0)</f>
        <v>1.2473000000000001</v>
      </c>
      <c r="K14" s="537">
        <f>ROUNDDOWN(H14*J14,2)</f>
        <v>509.27</v>
      </c>
      <c r="L14" s="537">
        <f t="shared" ref="L14" si="10">D14*K14</f>
        <v>343848.91859999998</v>
      </c>
      <c r="M14" s="507"/>
    </row>
    <row r="15" spans="1:13" ht="20.100000000000001" customHeight="1" x14ac:dyDescent="0.3">
      <c r="A15" s="507"/>
      <c r="B15" s="507" t="s">
        <v>658</v>
      </c>
      <c r="C15" s="507"/>
      <c r="D15" s="543">
        <f>3*2400*0.2</f>
        <v>1440</v>
      </c>
      <c r="E15" s="530" t="s">
        <v>34</v>
      </c>
      <c r="F15" s="536">
        <f>IF(D15&lt;=0,0,+ข้อมูล!$L$54)</f>
        <v>612.45000000000005</v>
      </c>
      <c r="G15" s="536">
        <f>IF(D15&lt;=0,0,+ข้อมูล!$L$55+ข้อมูล!$L$56)</f>
        <v>114.8</v>
      </c>
      <c r="H15" s="537">
        <f>ROUND(F15+G15,2)</f>
        <v>727.25</v>
      </c>
      <c r="I15" s="537">
        <f t="shared" si="1"/>
        <v>1047240</v>
      </c>
      <c r="J15" s="538">
        <f>IF(D15&gt;0,'S2'!$BZ$31,0)</f>
        <v>1.2473000000000001</v>
      </c>
      <c r="K15" s="537">
        <f>ROUNDDOWN(H15*J15,2)</f>
        <v>907.09</v>
      </c>
      <c r="L15" s="537">
        <f t="shared" si="4"/>
        <v>1306209.6000000001</v>
      </c>
      <c r="M15" s="507"/>
    </row>
    <row r="16" spans="1:13" ht="20.100000000000001" customHeight="1" x14ac:dyDescent="0.3">
      <c r="A16" s="532">
        <v>2</v>
      </c>
      <c r="B16" s="545" t="s">
        <v>35</v>
      </c>
      <c r="C16" s="545"/>
      <c r="D16" s="543"/>
      <c r="E16" s="507"/>
      <c r="F16" s="536"/>
      <c r="G16" s="536"/>
      <c r="H16" s="537"/>
      <c r="I16" s="537"/>
      <c r="J16" s="538"/>
      <c r="K16" s="537">
        <f t="shared" si="3"/>
        <v>0</v>
      </c>
      <c r="L16" s="537"/>
      <c r="M16" s="507"/>
    </row>
    <row r="17" spans="1:13" ht="20.100000000000001" customHeight="1" x14ac:dyDescent="0.3">
      <c r="A17" s="507"/>
      <c r="B17" s="507" t="s">
        <v>624</v>
      </c>
      <c r="C17" s="507"/>
      <c r="D17" s="543">
        <f>'0+000-1+200'!E59</f>
        <v>29706</v>
      </c>
      <c r="E17" s="530" t="s">
        <v>33</v>
      </c>
      <c r="F17" s="536">
        <f>ข้อมูล!L81</f>
        <v>28.1</v>
      </c>
      <c r="G17" s="536">
        <f>'S2'!BT15</f>
        <v>7.67</v>
      </c>
      <c r="H17" s="537">
        <f t="shared" ref="H17:H19" si="11">ROUND(F17+G17,2)</f>
        <v>35.770000000000003</v>
      </c>
      <c r="I17" s="537">
        <f t="shared" ref="I17:I19" si="12">D17*H17</f>
        <v>1062583.6200000001</v>
      </c>
      <c r="J17" s="538">
        <f>IF(D17&gt;0,'S2'!$BZ$31,0)</f>
        <v>1.2473000000000001</v>
      </c>
      <c r="K17" s="537">
        <f t="shared" si="3"/>
        <v>44.61</v>
      </c>
      <c r="L17" s="537">
        <f t="shared" ref="L17:L35" si="13">D17*K17</f>
        <v>1325184.6599999999</v>
      </c>
      <c r="M17" s="507"/>
    </row>
    <row r="18" spans="1:13" ht="20.100000000000001" customHeight="1" x14ac:dyDescent="0.3">
      <c r="A18" s="507"/>
      <c r="B18" s="803" t="s">
        <v>629</v>
      </c>
      <c r="C18" s="804"/>
      <c r="D18" s="543">
        <v>0</v>
      </c>
      <c r="E18" s="530" t="s">
        <v>33</v>
      </c>
      <c r="F18" s="536">
        <f>ข้อมูล!L86</f>
        <v>5.59</v>
      </c>
      <c r="G18" s="536">
        <f>'S2'!BT16</f>
        <v>7.41</v>
      </c>
      <c r="H18" s="537">
        <f t="shared" si="11"/>
        <v>13</v>
      </c>
      <c r="I18" s="537">
        <f t="shared" si="12"/>
        <v>0</v>
      </c>
      <c r="J18" s="538">
        <f>IF(D18&gt;0,'S2'!$BZ$31,0)</f>
        <v>0</v>
      </c>
      <c r="K18" s="537">
        <f t="shared" si="3"/>
        <v>0</v>
      </c>
      <c r="L18" s="537">
        <f>D18*K18</f>
        <v>0</v>
      </c>
      <c r="M18" s="507"/>
    </row>
    <row r="19" spans="1:13" ht="20.100000000000001" customHeight="1" x14ac:dyDescent="0.3">
      <c r="A19" s="507"/>
      <c r="B19" s="507" t="s">
        <v>630</v>
      </c>
      <c r="C19" s="507"/>
      <c r="D19" s="543"/>
      <c r="E19" s="507"/>
      <c r="F19" s="537"/>
      <c r="G19" s="537"/>
      <c r="H19" s="537">
        <f t="shared" si="11"/>
        <v>0</v>
      </c>
      <c r="I19" s="537">
        <f t="shared" si="12"/>
        <v>0</v>
      </c>
      <c r="J19" s="538"/>
      <c r="K19" s="537">
        <f t="shared" si="3"/>
        <v>0</v>
      </c>
      <c r="L19" s="537"/>
      <c r="M19" s="507"/>
    </row>
    <row r="20" spans="1:13" ht="20.100000000000001" customHeight="1" x14ac:dyDescent="0.3">
      <c r="A20" s="507"/>
      <c r="B20" s="507" t="s">
        <v>36</v>
      </c>
      <c r="C20" s="507"/>
      <c r="D20" s="543">
        <f>+D17</f>
        <v>29706</v>
      </c>
      <c r="E20" s="530" t="s">
        <v>33</v>
      </c>
      <c r="F20" s="536">
        <f>IF(D20&lt;=0,0,+ข้อมูล!$L$137)</f>
        <v>297.17</v>
      </c>
      <c r="G20" s="536">
        <f>IF(D20&lt;=0,0,+IF(ข้อมูล!$F$125=5,'S2'!$BT$19,IF(ข้อมูล!$F$125=4,'S2'!$BT$19*0.9,IF(ข้อมูล!$F$125=3.5,'S2'!$BT$19*0.85,IF(ข้อมูล!$F$125=3,'S2'!$BT$19*0.8)))))</f>
        <v>15.52</v>
      </c>
      <c r="H20" s="537">
        <f>ROUND(F20+G20,2)</f>
        <v>312.69</v>
      </c>
      <c r="I20" s="537">
        <f>D20*H20</f>
        <v>9288769.1400000006</v>
      </c>
      <c r="J20" s="538">
        <f>IF(D20&gt;0,'S2'!$BZ$31,0)</f>
        <v>1.2473000000000001</v>
      </c>
      <c r="K20" s="537">
        <f>ROUNDDOWN(H20*J20,2)</f>
        <v>390.01</v>
      </c>
      <c r="L20" s="537">
        <f>D20*K20</f>
        <v>11585637.060000001</v>
      </c>
      <c r="M20" s="530"/>
    </row>
    <row r="21" spans="1:13" ht="20.100000000000001" customHeight="1" x14ac:dyDescent="0.3">
      <c r="A21" s="507"/>
      <c r="B21" s="507" t="s">
        <v>37</v>
      </c>
      <c r="C21" s="507"/>
      <c r="D21" s="543">
        <f>+D18</f>
        <v>0</v>
      </c>
      <c r="E21" s="530" t="s">
        <v>33</v>
      </c>
      <c r="F21" s="536">
        <f>IF(D21&lt;=0,0,+ข้อมูล!$L$137)</f>
        <v>0</v>
      </c>
      <c r="G21" s="536">
        <f>IF(D21&lt;=0,0,+IF(ข้อมูล!$F$125=5,'S2'!$BT$20,IF(ข้อมูล!$F$125=4,'S2'!$BT$20*0.9,IF(ข้อมูล!$F$125=3.5,'S2'!$BT$20*0.85,IF(ข้อมูล!$F$125=3,'S2'!$BT$20*0.8)))))</f>
        <v>0</v>
      </c>
      <c r="H21" s="537">
        <f>ROUND(F21+G21,2)</f>
        <v>0</v>
      </c>
      <c r="I21" s="537">
        <f>D21*H21</f>
        <v>0</v>
      </c>
      <c r="J21" s="538">
        <f>IF(D21&gt;0,'S2'!$BZ$31,0)</f>
        <v>0</v>
      </c>
      <c r="K21" s="537">
        <f t="shared" si="3"/>
        <v>0</v>
      </c>
      <c r="L21" s="537">
        <f t="shared" si="13"/>
        <v>0</v>
      </c>
      <c r="M21" s="530"/>
    </row>
    <row r="22" spans="1:13" ht="20.100000000000001" customHeight="1" x14ac:dyDescent="0.3">
      <c r="A22" s="532">
        <v>3</v>
      </c>
      <c r="B22" s="546" t="s">
        <v>409</v>
      </c>
      <c r="C22" s="507"/>
      <c r="D22" s="543"/>
      <c r="E22" s="530"/>
      <c r="F22" s="536">
        <f>IF(D22&lt;=0,0,+ข้อมูล!$L$137)</f>
        <v>0</v>
      </c>
      <c r="G22" s="536">
        <f>IF(D22&lt;=0,0,+IF(ข้อมูล!$F$125=5,'S2'!$BT$20,IF(ข้อมูล!$F$125=4,'S2'!$BT$20*0.9,IF(ข้อมูล!$F$125=3.5,'S2'!$BT$20*0.85,IF(ข้อมูล!$F$125=3,'S2'!$BT$20*0.8)))))</f>
        <v>0</v>
      </c>
      <c r="H22" s="537"/>
      <c r="I22" s="537"/>
      <c r="J22" s="538"/>
      <c r="K22" s="537">
        <f t="shared" si="3"/>
        <v>0</v>
      </c>
      <c r="L22" s="537"/>
      <c r="M22" s="507"/>
    </row>
    <row r="23" spans="1:13" ht="20.100000000000001" customHeight="1" x14ac:dyDescent="0.3">
      <c r="A23" s="507"/>
      <c r="B23" s="508" t="s">
        <v>411</v>
      </c>
      <c r="C23" s="507"/>
      <c r="D23" s="543">
        <v>608.4</v>
      </c>
      <c r="E23" s="530" t="s">
        <v>34</v>
      </c>
      <c r="F23" s="536">
        <v>0</v>
      </c>
      <c r="G23" s="536">
        <v>0</v>
      </c>
      <c r="H23" s="537">
        <f>FLOOR('ดิน,ทราย,คสล.'!H27,1)</f>
        <v>187</v>
      </c>
      <c r="I23" s="537">
        <f>D23*H23</f>
        <v>113770.8</v>
      </c>
      <c r="J23" s="538">
        <f>IF(D23&gt;0,'S2'!$BZ$31,0)</f>
        <v>1.2473000000000001</v>
      </c>
      <c r="K23" s="537">
        <f t="shared" ref="K23" si="14">ROUNDDOWN(H23*J23,2)</f>
        <v>233.24</v>
      </c>
      <c r="L23" s="537">
        <f t="shared" ref="L23:L29" si="15">D23*K23</f>
        <v>141903.21599999999</v>
      </c>
      <c r="M23" s="507"/>
    </row>
    <row r="24" spans="1:13" ht="20.100000000000001" customHeight="1" x14ac:dyDescent="0.3">
      <c r="A24" s="507"/>
      <c r="B24" s="508" t="s">
        <v>412</v>
      </c>
      <c r="C24" s="507"/>
      <c r="D24" s="543">
        <v>202.8</v>
      </c>
      <c r="E24" s="530" t="s">
        <v>34</v>
      </c>
      <c r="F24" s="536">
        <v>0</v>
      </c>
      <c r="G24" s="536">
        <v>0</v>
      </c>
      <c r="H24" s="537">
        <f>'ดิน,ทราย,คสล.'!H35</f>
        <v>761.06</v>
      </c>
      <c r="I24" s="537">
        <f t="shared" ref="I24:I29" si="16">D24*H24</f>
        <v>154342.96799999999</v>
      </c>
      <c r="J24" s="538">
        <f>IF(D24&gt;0,'S2'!$BZ$31,0)</f>
        <v>1.2473000000000001</v>
      </c>
      <c r="K24" s="537">
        <f t="shared" si="3"/>
        <v>949.27</v>
      </c>
      <c r="L24" s="537">
        <f t="shared" si="15"/>
        <v>192511.95600000001</v>
      </c>
      <c r="M24" s="507"/>
    </row>
    <row r="25" spans="1:13" ht="20.100000000000001" customHeight="1" x14ac:dyDescent="0.3">
      <c r="A25" s="507"/>
      <c r="B25" s="508" t="s">
        <v>586</v>
      </c>
      <c r="C25" s="507"/>
      <c r="D25" s="543">
        <v>4056</v>
      </c>
      <c r="E25" s="530" t="s">
        <v>33</v>
      </c>
      <c r="F25" s="536">
        <v>0</v>
      </c>
      <c r="G25" s="536">
        <v>0</v>
      </c>
      <c r="H25" s="537">
        <v>300</v>
      </c>
      <c r="I25" s="537">
        <f t="shared" si="16"/>
        <v>1216800</v>
      </c>
      <c r="J25" s="538">
        <f>IF(D25&gt;0,'S2'!$BZ$31,0)</f>
        <v>1.2473000000000001</v>
      </c>
      <c r="K25" s="537">
        <f t="shared" si="3"/>
        <v>374.19</v>
      </c>
      <c r="L25" s="537">
        <f t="shared" si="15"/>
        <v>1517714.64</v>
      </c>
      <c r="M25" s="507"/>
    </row>
    <row r="26" spans="1:13" ht="20.100000000000001" customHeight="1" x14ac:dyDescent="0.3">
      <c r="A26" s="507"/>
      <c r="B26" s="508" t="s">
        <v>587</v>
      </c>
      <c r="C26" s="507"/>
      <c r="D26" s="543">
        <f>D25</f>
        <v>4056</v>
      </c>
      <c r="E26" s="530" t="s">
        <v>33</v>
      </c>
      <c r="F26" s="536">
        <v>0</v>
      </c>
      <c r="G26" s="536">
        <v>0</v>
      </c>
      <c r="H26" s="537">
        <v>540</v>
      </c>
      <c r="I26" s="537">
        <f t="shared" ref="I26" si="17">D26*H26</f>
        <v>2190240</v>
      </c>
      <c r="J26" s="538">
        <f>IF(D26&gt;0,'S2'!$BZ$31,0)</f>
        <v>1.2473000000000001</v>
      </c>
      <c r="K26" s="537">
        <f t="shared" ref="K26" si="18">ROUNDDOWN(H26*J26,2)</f>
        <v>673.54</v>
      </c>
      <c r="L26" s="537">
        <f t="shared" ref="L26" si="19">D26*K26</f>
        <v>2731878.2399999998</v>
      </c>
      <c r="M26" s="547" t="s">
        <v>445</v>
      </c>
    </row>
    <row r="27" spans="1:13" ht="20.100000000000001" customHeight="1" x14ac:dyDescent="0.3">
      <c r="A27" s="507"/>
      <c r="B27" s="507" t="s">
        <v>679</v>
      </c>
      <c r="C27" s="507"/>
      <c r="D27" s="543">
        <v>120</v>
      </c>
      <c r="E27" s="530" t="s">
        <v>34</v>
      </c>
      <c r="F27" s="536">
        <v>0</v>
      </c>
      <c r="G27" s="536">
        <v>0</v>
      </c>
      <c r="H27" s="537">
        <f>'รื้อคอนกรีตบ่อพัก+ฝาเดิม'!C17</f>
        <v>100</v>
      </c>
      <c r="I27" s="537">
        <f t="shared" si="16"/>
        <v>12000</v>
      </c>
      <c r="J27" s="538">
        <f>IF(D27&gt;0,'S2'!$BZ$31,0)</f>
        <v>1.2473000000000001</v>
      </c>
      <c r="K27" s="537">
        <f t="shared" si="3"/>
        <v>124.73</v>
      </c>
      <c r="L27" s="537">
        <f t="shared" si="15"/>
        <v>14967.6</v>
      </c>
      <c r="M27" s="530"/>
    </row>
    <row r="28" spans="1:13" ht="20.100000000000001" customHeight="1" x14ac:dyDescent="0.3">
      <c r="A28" s="507"/>
      <c r="B28" s="507" t="s">
        <v>660</v>
      </c>
      <c r="C28" s="507"/>
      <c r="D28" s="543">
        <v>120</v>
      </c>
      <c r="E28" s="530" t="s">
        <v>376</v>
      </c>
      <c r="F28" s="536"/>
      <c r="G28" s="536"/>
      <c r="H28" s="537">
        <f>ฝาตะแกรงบ่อพัก!C20</f>
        <v>7378</v>
      </c>
      <c r="I28" s="537">
        <f t="shared" si="16"/>
        <v>885360</v>
      </c>
      <c r="J28" s="538">
        <f>IF(D28&gt;0,'S2'!$BZ$31,0)</f>
        <v>1.2473000000000001</v>
      </c>
      <c r="K28" s="537">
        <f t="shared" si="3"/>
        <v>9202.57</v>
      </c>
      <c r="L28" s="537">
        <f t="shared" si="15"/>
        <v>1104308.3999999999</v>
      </c>
      <c r="M28" s="530"/>
    </row>
    <row r="29" spans="1:13" ht="20.100000000000001" customHeight="1" x14ac:dyDescent="0.3">
      <c r="A29" s="507"/>
      <c r="B29" s="507" t="s">
        <v>669</v>
      </c>
      <c r="C29" s="507"/>
      <c r="D29" s="543">
        <v>1940</v>
      </c>
      <c r="E29" s="530" t="s">
        <v>53</v>
      </c>
      <c r="F29" s="536">
        <v>0</v>
      </c>
      <c r="G29" s="536">
        <v>0</v>
      </c>
      <c r="H29" s="537">
        <f>'ก่อสร้างคันหิน คสล.'!C18</f>
        <v>858</v>
      </c>
      <c r="I29" s="537">
        <f t="shared" si="16"/>
        <v>1664520</v>
      </c>
      <c r="J29" s="538">
        <f>IF(D29&gt;0,'S2'!$BZ$31,0)</f>
        <v>1.2473000000000001</v>
      </c>
      <c r="K29" s="537">
        <f t="shared" si="3"/>
        <v>1070.18</v>
      </c>
      <c r="L29" s="537">
        <f t="shared" si="15"/>
        <v>2076149.2000000002</v>
      </c>
      <c r="M29" s="530"/>
    </row>
    <row r="30" spans="1:13" ht="20.100000000000001" customHeight="1" x14ac:dyDescent="0.3">
      <c r="A30" s="507"/>
      <c r="B30" s="507" t="s">
        <v>661</v>
      </c>
      <c r="C30" s="507"/>
      <c r="D30" s="543">
        <v>80</v>
      </c>
      <c r="E30" s="530" t="s">
        <v>53</v>
      </c>
      <c r="F30" s="536">
        <v>0</v>
      </c>
      <c r="G30" s="536">
        <v>0</v>
      </c>
      <c r="H30" s="537">
        <f>ก่อสร้างคันหินเตี้ย!C19</f>
        <v>716</v>
      </c>
      <c r="I30" s="537">
        <f t="shared" ref="I30:I32" si="20">D30*H30</f>
        <v>57280</v>
      </c>
      <c r="J30" s="538">
        <f>IF(D30&gt;0,'S2'!$BZ$31,0)</f>
        <v>1.2473000000000001</v>
      </c>
      <c r="K30" s="537">
        <f t="shared" ref="K30:K31" si="21">ROUNDDOWN(H30*J30,2)</f>
        <v>893.06</v>
      </c>
      <c r="L30" s="537">
        <f t="shared" ref="L30:L31" si="22">D30*K30</f>
        <v>71444.799999999988</v>
      </c>
      <c r="M30" s="530"/>
    </row>
    <row r="31" spans="1:13" ht="20.100000000000001" customHeight="1" x14ac:dyDescent="0.3">
      <c r="A31" s="507"/>
      <c r="B31" s="507" t="s">
        <v>706</v>
      </c>
      <c r="C31" s="507"/>
      <c r="D31" s="543">
        <v>1928</v>
      </c>
      <c r="E31" s="530" t="s">
        <v>53</v>
      </c>
      <c r="F31" s="536">
        <v>0</v>
      </c>
      <c r="G31" s="536">
        <v>0</v>
      </c>
      <c r="H31" s="537">
        <f>คันหินปิดหลังทางเท้า!C18</f>
        <v>238</v>
      </c>
      <c r="I31" s="537">
        <f t="shared" si="20"/>
        <v>458864</v>
      </c>
      <c r="J31" s="538">
        <f>IF(D31&gt;0,'S2'!$BZ$31,0)</f>
        <v>1.2473000000000001</v>
      </c>
      <c r="K31" s="537">
        <f t="shared" si="21"/>
        <v>296.85000000000002</v>
      </c>
      <c r="L31" s="537">
        <f t="shared" si="22"/>
        <v>572326.80000000005</v>
      </c>
      <c r="M31" s="530"/>
    </row>
    <row r="32" spans="1:13" ht="20.100000000000001" customHeight="1" x14ac:dyDescent="0.3">
      <c r="A32" s="507"/>
      <c r="B32" s="507" t="s">
        <v>705</v>
      </c>
      <c r="C32" s="507"/>
      <c r="D32" s="543">
        <v>30</v>
      </c>
      <c r="E32" s="530" t="s">
        <v>376</v>
      </c>
      <c r="F32" s="536">
        <f>บ่อพักใหม่!I27</f>
        <v>6680</v>
      </c>
      <c r="G32" s="536">
        <v>0</v>
      </c>
      <c r="H32" s="537">
        <f>F32+G32</f>
        <v>6680</v>
      </c>
      <c r="I32" s="537">
        <f t="shared" si="20"/>
        <v>200400</v>
      </c>
      <c r="J32" s="538">
        <f>IF(D32&gt;0,'S2'!$BZ$31,0)</f>
        <v>1.2473000000000001</v>
      </c>
      <c r="K32" s="537">
        <f t="shared" ref="K32" si="23">ROUNDDOWN(H32*J32,2)</f>
        <v>8331.9599999999991</v>
      </c>
      <c r="L32" s="537">
        <f t="shared" ref="L32" si="24">D32*K32</f>
        <v>249958.8</v>
      </c>
      <c r="M32" s="530"/>
    </row>
    <row r="33" spans="1:13" ht="20.100000000000001" customHeight="1" x14ac:dyDescent="0.3">
      <c r="A33" s="530">
        <v>4</v>
      </c>
      <c r="B33" s="805" t="s">
        <v>38</v>
      </c>
      <c r="C33" s="806"/>
      <c r="D33" s="543"/>
      <c r="E33" s="507"/>
      <c r="F33" s="537"/>
      <c r="G33" s="537"/>
      <c r="H33" s="537"/>
      <c r="I33" s="537"/>
      <c r="J33" s="538"/>
      <c r="K33" s="537"/>
      <c r="L33" s="537"/>
      <c r="M33" s="548"/>
    </row>
    <row r="34" spans="1:13" ht="20.100000000000001" customHeight="1" x14ac:dyDescent="0.3">
      <c r="A34" s="507"/>
      <c r="B34" s="507" t="s">
        <v>52</v>
      </c>
      <c r="C34" s="507"/>
      <c r="D34" s="543">
        <f>0.1*8*1200</f>
        <v>960</v>
      </c>
      <c r="E34" s="530" t="s">
        <v>33</v>
      </c>
      <c r="F34" s="536">
        <f>IF(D34&lt;=0,0,)</f>
        <v>0</v>
      </c>
      <c r="G34" s="536">
        <f>IF(D34&lt;=0,0,)</f>
        <v>0</v>
      </c>
      <c r="H34" s="536">
        <v>290</v>
      </c>
      <c r="I34" s="537">
        <f>D34*H34</f>
        <v>278400</v>
      </c>
      <c r="J34" s="538">
        <f>IF(D34&gt;0,'S2'!$BZ$31,0)</f>
        <v>1.2473000000000001</v>
      </c>
      <c r="K34" s="537">
        <f t="shared" si="3"/>
        <v>361.71</v>
      </c>
      <c r="L34" s="549">
        <f t="shared" si="13"/>
        <v>347241.6</v>
      </c>
      <c r="M34" s="530"/>
    </row>
    <row r="35" spans="1:13" ht="20.100000000000001" customHeight="1" x14ac:dyDescent="0.3">
      <c r="A35" s="507"/>
      <c r="B35" s="801" t="s">
        <v>662</v>
      </c>
      <c r="C35" s="802"/>
      <c r="D35" s="543">
        <v>136</v>
      </c>
      <c r="E35" s="530" t="s">
        <v>33</v>
      </c>
      <c r="F35" s="536">
        <v>0</v>
      </c>
      <c r="G35" s="536">
        <f>IF(D35&lt;=0,0,)</f>
        <v>0</v>
      </c>
      <c r="H35" s="536">
        <v>290</v>
      </c>
      <c r="I35" s="537">
        <f>D35*H35</f>
        <v>39440</v>
      </c>
      <c r="J35" s="538">
        <f>IF(D35&gt;0,'S2'!$BZ$31,0)</f>
        <v>1.2473000000000001</v>
      </c>
      <c r="K35" s="537">
        <f t="shared" si="3"/>
        <v>361.71</v>
      </c>
      <c r="L35" s="537">
        <f t="shared" si="13"/>
        <v>49192.56</v>
      </c>
      <c r="M35" s="507"/>
    </row>
    <row r="36" spans="1:13" ht="20.100000000000001" customHeight="1" x14ac:dyDescent="0.3">
      <c r="A36" s="532">
        <v>5</v>
      </c>
      <c r="B36" s="799" t="s">
        <v>410</v>
      </c>
      <c r="C36" s="800"/>
      <c r="D36" s="543"/>
      <c r="E36" s="530"/>
      <c r="F36" s="536">
        <f>IF(D36&lt;=0,0,+ข้อมูล!$L$137)</f>
        <v>0</v>
      </c>
      <c r="G36" s="536">
        <f>IF(D36&lt;=0,0,+IF(ข้อมูล!$F$125=5,'S2'!$BT$20,IF(ข้อมูล!$F$125=4,'S2'!$BT$20*0.9,IF(ข้อมูล!$F$125=3.5,'S2'!$BT$20*0.85,IF(ข้อมูล!$F$125=3,'S2'!$BT$20*0.8)))))</f>
        <v>0</v>
      </c>
      <c r="H36" s="537"/>
      <c r="I36" s="537"/>
      <c r="J36" s="538"/>
      <c r="K36" s="537">
        <f t="shared" ref="K36:K38" si="25">ROUNDDOWN(H36*J36,2)</f>
        <v>0</v>
      </c>
      <c r="L36" s="537"/>
      <c r="M36" s="507"/>
    </row>
    <row r="37" spans="1:13" ht="20.100000000000001" customHeight="1" x14ac:dyDescent="0.3">
      <c r="A37" s="507"/>
      <c r="B37" s="508" t="s">
        <v>663</v>
      </c>
      <c r="C37" s="507"/>
      <c r="D37" s="543">
        <v>16</v>
      </c>
      <c r="E37" s="530" t="s">
        <v>461</v>
      </c>
      <c r="F37" s="536">
        <f>ย้ายเสาไฟกิ่ง!C17</f>
        <v>1000</v>
      </c>
      <c r="G37" s="536">
        <v>0</v>
      </c>
      <c r="H37" s="537">
        <f t="shared" ref="H37:H42" si="26">F37+G37</f>
        <v>1000</v>
      </c>
      <c r="I37" s="537">
        <f t="shared" ref="I37:I42" si="27">D37*H37</f>
        <v>16000</v>
      </c>
      <c r="J37" s="538">
        <f>IF(D37&gt;0,'S2'!$BZ$31,0)</f>
        <v>1.2473000000000001</v>
      </c>
      <c r="K37" s="537">
        <f t="shared" si="25"/>
        <v>1247.3</v>
      </c>
      <c r="L37" s="537">
        <f t="shared" ref="L37:L38" si="28">D37*K37</f>
        <v>19956.8</v>
      </c>
      <c r="M37" s="507"/>
    </row>
    <row r="38" spans="1:13" ht="20.100000000000001" customHeight="1" x14ac:dyDescent="0.3">
      <c r="A38" s="507"/>
      <c r="B38" s="508" t="s">
        <v>664</v>
      </c>
      <c r="C38" s="507"/>
      <c r="D38" s="543">
        <v>1111</v>
      </c>
      <c r="E38" s="530" t="s">
        <v>33</v>
      </c>
      <c r="F38" s="536">
        <f>ทาสีคันหิน!G1543</f>
        <v>46</v>
      </c>
      <c r="G38" s="536">
        <v>35</v>
      </c>
      <c r="H38" s="537">
        <f t="shared" si="26"/>
        <v>81</v>
      </c>
      <c r="I38" s="537">
        <f t="shared" si="27"/>
        <v>89991</v>
      </c>
      <c r="J38" s="538">
        <f>IF(D38&gt;0,'S2'!$BZ$31,0)</f>
        <v>1.2473000000000001</v>
      </c>
      <c r="K38" s="537">
        <f t="shared" si="25"/>
        <v>101.03</v>
      </c>
      <c r="L38" s="537">
        <f t="shared" si="28"/>
        <v>112244.33</v>
      </c>
      <c r="M38" s="507"/>
    </row>
    <row r="39" spans="1:13" ht="20.100000000000001" customHeight="1" x14ac:dyDescent="0.3">
      <c r="A39" s="507"/>
      <c r="B39" s="508" t="s">
        <v>665</v>
      </c>
      <c r="C39" s="507"/>
      <c r="D39" s="543">
        <v>495</v>
      </c>
      <c r="E39" s="530" t="s">
        <v>33</v>
      </c>
      <c r="F39" s="536">
        <f>ข้อมูล!L125+ข้อมูล!L81</f>
        <v>325.27000000000004</v>
      </c>
      <c r="G39" s="536">
        <v>0</v>
      </c>
      <c r="H39" s="537">
        <f t="shared" si="26"/>
        <v>325.27000000000004</v>
      </c>
      <c r="I39" s="537">
        <f t="shared" si="27"/>
        <v>161008.65000000002</v>
      </c>
      <c r="J39" s="538">
        <f>IF(D39&gt;0,'S2'!$BZ$31,0)</f>
        <v>1.2473000000000001</v>
      </c>
      <c r="K39" s="537">
        <f t="shared" ref="K39" si="29">ROUNDDOWN(H39*J39,2)</f>
        <v>405.7</v>
      </c>
      <c r="L39" s="537">
        <f t="shared" ref="L39" si="30">D39*K39</f>
        <v>200821.5</v>
      </c>
      <c r="M39" s="547" t="s">
        <v>1273</v>
      </c>
    </row>
    <row r="40" spans="1:13" ht="20.100000000000001" customHeight="1" x14ac:dyDescent="0.3">
      <c r="A40" s="507"/>
      <c r="B40" s="508" t="s">
        <v>666</v>
      </c>
      <c r="C40" s="507"/>
      <c r="D40" s="543">
        <v>1</v>
      </c>
      <c r="E40" s="530" t="s">
        <v>40</v>
      </c>
      <c r="F40" s="536">
        <v>10000</v>
      </c>
      <c r="G40" s="536">
        <v>0</v>
      </c>
      <c r="H40" s="537">
        <f t="shared" si="26"/>
        <v>10000</v>
      </c>
      <c r="I40" s="537">
        <f t="shared" si="27"/>
        <v>10000</v>
      </c>
      <c r="J40" s="538">
        <f>IF(D40&gt;0,'S2'!$BZ$31,0)</f>
        <v>1.2473000000000001</v>
      </c>
      <c r="K40" s="537">
        <f t="shared" ref="K40" si="31">ROUNDDOWN(H40*J40,2)</f>
        <v>12473</v>
      </c>
      <c r="L40" s="537">
        <f t="shared" ref="L40" si="32">D40*K40</f>
        <v>12473</v>
      </c>
      <c r="M40" s="547" t="s">
        <v>1253</v>
      </c>
    </row>
    <row r="41" spans="1:13" ht="20.100000000000001" customHeight="1" x14ac:dyDescent="0.3">
      <c r="A41" s="507"/>
      <c r="B41" s="508" t="s">
        <v>667</v>
      </c>
      <c r="C41" s="507"/>
      <c r="D41" s="543">
        <v>16</v>
      </c>
      <c r="E41" s="530" t="s">
        <v>40</v>
      </c>
      <c r="F41" s="536">
        <v>3000</v>
      </c>
      <c r="G41" s="536">
        <v>2000</v>
      </c>
      <c r="H41" s="537">
        <f t="shared" si="26"/>
        <v>5000</v>
      </c>
      <c r="I41" s="537">
        <f t="shared" si="27"/>
        <v>80000</v>
      </c>
      <c r="J41" s="538">
        <f>IF(D41&gt;0,'S2'!$BZ$31,0)</f>
        <v>1.2473000000000001</v>
      </c>
      <c r="K41" s="537">
        <f t="shared" ref="K41" si="33">ROUNDDOWN(H41*J41,2)</f>
        <v>6236.5</v>
      </c>
      <c r="L41" s="537">
        <f t="shared" ref="L41" si="34">D41*K41</f>
        <v>99784</v>
      </c>
      <c r="M41" s="547" t="s">
        <v>1253</v>
      </c>
    </row>
    <row r="42" spans="1:13" ht="20.100000000000001" customHeight="1" x14ac:dyDescent="0.3">
      <c r="A42" s="507"/>
      <c r="B42" s="508" t="s">
        <v>668</v>
      </c>
      <c r="C42" s="507"/>
      <c r="D42" s="543">
        <v>1</v>
      </c>
      <c r="E42" s="530" t="s">
        <v>402</v>
      </c>
      <c r="F42" s="536">
        <v>0</v>
      </c>
      <c r="G42" s="536">
        <f>รื้อย้ายป้ายเดิม!C17</f>
        <v>10000</v>
      </c>
      <c r="H42" s="537">
        <f t="shared" si="26"/>
        <v>10000</v>
      </c>
      <c r="I42" s="537">
        <f t="shared" si="27"/>
        <v>10000</v>
      </c>
      <c r="J42" s="538">
        <f>IF(D42&gt;0,'S2'!$BZ$31,0)</f>
        <v>1.2473000000000001</v>
      </c>
      <c r="K42" s="537">
        <f t="shared" ref="K42" si="35">ROUNDDOWN(H42*J42,2)</f>
        <v>12473</v>
      </c>
      <c r="L42" s="537">
        <f t="shared" ref="L42" si="36">D42*K42</f>
        <v>12473</v>
      </c>
      <c r="M42" s="547" t="s">
        <v>1272</v>
      </c>
    </row>
    <row r="43" spans="1:13" ht="20.100000000000001" customHeight="1" x14ac:dyDescent="0.3">
      <c r="A43" s="507"/>
      <c r="B43" s="803"/>
      <c r="C43" s="804"/>
      <c r="D43" s="541"/>
      <c r="E43" s="530"/>
      <c r="F43" s="536"/>
      <c r="G43" s="536"/>
      <c r="H43" s="536"/>
      <c r="I43" s="537"/>
      <c r="J43" s="537"/>
      <c r="K43" s="537"/>
      <c r="L43" s="537"/>
      <c r="M43" s="507"/>
    </row>
    <row r="44" spans="1:13" ht="21.75" customHeight="1" x14ac:dyDescent="0.3">
      <c r="A44" s="507"/>
      <c r="B44" s="805" t="s">
        <v>156</v>
      </c>
      <c r="C44" s="806"/>
      <c r="D44" s="534"/>
      <c r="E44" s="507"/>
      <c r="F44" s="507"/>
      <c r="G44" s="507"/>
      <c r="H44" s="507"/>
      <c r="I44" s="550">
        <f>SUM(I7:I42)</f>
        <v>21811971.880897</v>
      </c>
      <c r="J44" s="550"/>
      <c r="K44" s="550"/>
      <c r="L44" s="550">
        <f>SUM(L7:L42)</f>
        <v>27205427.000599999</v>
      </c>
      <c r="M44" s="507"/>
    </row>
    <row r="45" spans="1:13" ht="21.75" customHeight="1" x14ac:dyDescent="0.35">
      <c r="A45" s="509" t="str">
        <f>+A1</f>
        <v>รายละเอียดการกำหนดราคากลาง</v>
      </c>
      <c r="B45" s="509"/>
      <c r="C45" s="509"/>
      <c r="D45" s="509"/>
      <c r="E45" s="509"/>
      <c r="F45" s="509"/>
      <c r="G45" s="509"/>
      <c r="H45" s="509"/>
      <c r="I45" s="509"/>
      <c r="J45" s="509"/>
      <c r="K45" s="509"/>
      <c r="L45" s="509"/>
      <c r="M45" s="509"/>
    </row>
    <row r="46" spans="1:13" x14ac:dyDescent="0.3">
      <c r="A46" s="379"/>
      <c r="B46" s="392" t="s">
        <v>42</v>
      </c>
      <c r="C46" s="403" t="str">
        <f>C2</f>
        <v xml:space="preserve"> พย.ถ.10060</v>
      </c>
      <c r="D46" s="551"/>
      <c r="E46" s="379"/>
      <c r="F46" s="379"/>
      <c r="G46" s="392" t="s">
        <v>23</v>
      </c>
      <c r="H46" s="379"/>
      <c r="I46" s="379" t="str">
        <f>$H$2</f>
        <v>ทางหลวงหมายเลข 1 ตอน ทางเดิมเข้าเมืองพะเยา ต.บ้านต๋อม อ.เมืองพะเยา จ.พะเยา</v>
      </c>
      <c r="J46" s="379"/>
      <c r="K46" s="379"/>
      <c r="L46" s="379"/>
      <c r="M46" s="379"/>
    </row>
    <row r="47" spans="1:13" ht="21.75" customHeight="1" x14ac:dyDescent="0.3">
      <c r="A47" s="379"/>
      <c r="B47" s="392" t="s">
        <v>43</v>
      </c>
      <c r="C47" s="403" t="str">
        <f>C3</f>
        <v>ทางหลวงหมายเลข 1 ตอนเดิมเข้าเมืองพะเยา  ต.บ้านต๋อม อ.เมือง จ.พะเยา</v>
      </c>
      <c r="D47" s="426"/>
      <c r="E47" s="552"/>
      <c r="F47" s="552"/>
      <c r="G47" s="392"/>
      <c r="H47" s="379" t="str">
        <f>ปร.5!A11</f>
        <v>ระยะทางดำเนินการซ่อมสร้าง ฯ รวม 2 ช่วง</v>
      </c>
      <c r="I47" s="553"/>
      <c r="J47" s="379"/>
      <c r="K47" s="554" t="s">
        <v>15</v>
      </c>
      <c r="L47" s="554">
        <f>ปร.5!E11</f>
        <v>2.4</v>
      </c>
      <c r="M47" s="403" t="s">
        <v>44</v>
      </c>
    </row>
    <row r="48" spans="1:13" ht="20.100000000000001" customHeight="1" x14ac:dyDescent="0.3">
      <c r="A48" s="518" t="s">
        <v>0</v>
      </c>
      <c r="B48" s="519"/>
      <c r="C48" s="520" t="s">
        <v>45</v>
      </c>
      <c r="D48" s="521" t="s">
        <v>24</v>
      </c>
      <c r="E48" s="518" t="s">
        <v>25</v>
      </c>
      <c r="F48" s="522" t="s">
        <v>26</v>
      </c>
      <c r="G48" s="523"/>
      <c r="H48" s="524"/>
      <c r="I48" s="518" t="s">
        <v>27</v>
      </c>
      <c r="J48" s="555" t="s">
        <v>2</v>
      </c>
      <c r="K48" s="522" t="s">
        <v>286</v>
      </c>
      <c r="L48" s="524"/>
      <c r="M48" s="519" t="s">
        <v>20</v>
      </c>
    </row>
    <row r="49" spans="1:13" ht="20.100000000000001" customHeight="1" x14ac:dyDescent="0.3">
      <c r="A49" s="526"/>
      <c r="B49" s="527"/>
      <c r="C49" s="528"/>
      <c r="D49" s="529"/>
      <c r="E49" s="526"/>
      <c r="F49" s="530" t="s">
        <v>28</v>
      </c>
      <c r="G49" s="530" t="s">
        <v>29</v>
      </c>
      <c r="H49" s="530" t="s">
        <v>30</v>
      </c>
      <c r="I49" s="526" t="s">
        <v>31</v>
      </c>
      <c r="J49" s="556"/>
      <c r="K49" s="531" t="s">
        <v>287</v>
      </c>
      <c r="L49" s="530" t="s">
        <v>30</v>
      </c>
      <c r="M49" s="527"/>
    </row>
    <row r="50" spans="1:13" ht="20.100000000000001" customHeight="1" x14ac:dyDescent="0.3">
      <c r="A50" s="557"/>
      <c r="B50" s="558"/>
      <c r="C50" s="559" t="s">
        <v>157</v>
      </c>
      <c r="D50" s="560"/>
      <c r="E50" s="557"/>
      <c r="F50" s="557"/>
      <c r="G50" s="557"/>
      <c r="H50" s="557"/>
      <c r="I50" s="561">
        <f>I44</f>
        <v>21811971.880897</v>
      </c>
      <c r="J50" s="562"/>
      <c r="K50" s="562"/>
      <c r="L50" s="561">
        <f>L44</f>
        <v>27205427.000599999</v>
      </c>
      <c r="M50" s="519"/>
    </row>
    <row r="51" spans="1:13" ht="20.100000000000001" customHeight="1" x14ac:dyDescent="0.3">
      <c r="A51" s="557">
        <v>5</v>
      </c>
      <c r="B51" s="563" t="s">
        <v>39</v>
      </c>
      <c r="C51" s="379"/>
      <c r="D51" s="564"/>
      <c r="E51" s="565"/>
      <c r="F51" s="566"/>
      <c r="G51" s="566"/>
      <c r="H51" s="566"/>
      <c r="I51" s="566"/>
      <c r="J51" s="567"/>
      <c r="K51" s="567"/>
      <c r="L51" s="567"/>
      <c r="M51" s="568"/>
    </row>
    <row r="52" spans="1:13" ht="20.100000000000001" customHeight="1" x14ac:dyDescent="0.3">
      <c r="A52" s="565"/>
      <c r="B52" s="568" t="s">
        <v>54</v>
      </c>
      <c r="C52" s="379"/>
      <c r="D52" s="569"/>
      <c r="E52" s="557"/>
      <c r="F52" s="566"/>
      <c r="G52" s="566"/>
      <c r="H52" s="566"/>
      <c r="I52" s="566"/>
      <c r="J52" s="567"/>
      <c r="K52" s="567"/>
      <c r="L52" s="567"/>
      <c r="M52" s="568"/>
    </row>
    <row r="53" spans="1:13" ht="20.100000000000001" customHeight="1" x14ac:dyDescent="0.3">
      <c r="A53" s="565"/>
      <c r="B53" s="413" t="s">
        <v>133</v>
      </c>
      <c r="C53" s="379"/>
      <c r="D53" s="570">
        <v>0</v>
      </c>
      <c r="E53" s="571" t="s">
        <v>41</v>
      </c>
      <c r="F53" s="572">
        <f>IF(D53&lt;=0,0,90)</f>
        <v>0</v>
      </c>
      <c r="G53" s="572">
        <f>IF(D53&lt;=0,0,20)</f>
        <v>0</v>
      </c>
      <c r="H53" s="566">
        <f>ROUND(F53+G53,2)</f>
        <v>0</v>
      </c>
      <c r="I53" s="566">
        <f>D53*H53</f>
        <v>0</v>
      </c>
      <c r="J53" s="573">
        <f>IF(D53&gt;0,'S2'!$BZ$31,0)</f>
        <v>0</v>
      </c>
      <c r="K53" s="567">
        <f>ROUNDDOWN(H53*J53,2)</f>
        <v>0</v>
      </c>
      <c r="L53" s="567">
        <f>D53*K53</f>
        <v>0</v>
      </c>
      <c r="M53" s="568"/>
    </row>
    <row r="54" spans="1:13" ht="20.100000000000001" customHeight="1" x14ac:dyDescent="0.3">
      <c r="A54" s="565"/>
      <c r="B54" s="413" t="s">
        <v>134</v>
      </c>
      <c r="C54" s="379"/>
      <c r="D54" s="570">
        <v>0</v>
      </c>
      <c r="E54" s="571" t="s">
        <v>41</v>
      </c>
      <c r="F54" s="572">
        <f>IF(D54&lt;=0,0,325)</f>
        <v>0</v>
      </c>
      <c r="G54" s="572">
        <f>IF(D54&lt;=0,0,75)</f>
        <v>0</v>
      </c>
      <c r="H54" s="566">
        <f>ROUND(F54+G54,2)</f>
        <v>0</v>
      </c>
      <c r="I54" s="566">
        <f>D54*H54</f>
        <v>0</v>
      </c>
      <c r="J54" s="573">
        <f>IF(D54&gt;0,'S2'!$BZ$31,0)</f>
        <v>0</v>
      </c>
      <c r="K54" s="567">
        <f>ROUNDDOWN(H54*J54,2)</f>
        <v>0</v>
      </c>
      <c r="L54" s="567">
        <f>D54*K54</f>
        <v>0</v>
      </c>
      <c r="M54" s="568"/>
    </row>
    <row r="55" spans="1:13" ht="20.100000000000001" customHeight="1" x14ac:dyDescent="0.3">
      <c r="A55" s="565"/>
      <c r="B55" s="413" t="s">
        <v>140</v>
      </c>
      <c r="C55" s="379"/>
      <c r="D55" s="570">
        <v>0</v>
      </c>
      <c r="E55" s="571" t="s">
        <v>40</v>
      </c>
      <c r="F55" s="572">
        <f>IF(D55&lt;=0,0,)</f>
        <v>0</v>
      </c>
      <c r="G55" s="572">
        <f>IF(D55&lt;=0,0,)</f>
        <v>0</v>
      </c>
      <c r="H55" s="572">
        <f>ROUND(IF(D55&lt;=0,0,200),2)</f>
        <v>0</v>
      </c>
      <c r="I55" s="566">
        <f>D55*H55</f>
        <v>0</v>
      </c>
      <c r="J55" s="573">
        <f>IF(D55&gt;0,'S2'!$BZ$31,0)</f>
        <v>0</v>
      </c>
      <c r="K55" s="567">
        <f>ROUNDDOWN(H55*J55,2)</f>
        <v>0</v>
      </c>
      <c r="L55" s="567">
        <f>D55*K55</f>
        <v>0</v>
      </c>
      <c r="M55" s="568"/>
    </row>
    <row r="56" spans="1:13" ht="20.100000000000001" customHeight="1" x14ac:dyDescent="0.3">
      <c r="A56" s="565"/>
      <c r="B56" s="413" t="s">
        <v>141</v>
      </c>
      <c r="C56" s="379"/>
      <c r="D56" s="570">
        <v>0</v>
      </c>
      <c r="E56" s="571" t="s">
        <v>53</v>
      </c>
      <c r="F56" s="572">
        <f>IF(D56&lt;=0,0,)</f>
        <v>0</v>
      </c>
      <c r="G56" s="572">
        <f>IF(D56&lt;=0,0,)</f>
        <v>0</v>
      </c>
      <c r="H56" s="572">
        <f>ROUND(IF(D56&lt;=0,0,100),2)</f>
        <v>0</v>
      </c>
      <c r="I56" s="566">
        <f>D56*H56</f>
        <v>0</v>
      </c>
      <c r="J56" s="573">
        <f>IF(D56&gt;0,'S2'!$BZ$31,0)</f>
        <v>0</v>
      </c>
      <c r="K56" s="567">
        <f>ROUNDDOWN(H56*J56,2)</f>
        <v>0</v>
      </c>
      <c r="L56" s="567">
        <f>D56*K56</f>
        <v>0</v>
      </c>
      <c r="M56" s="568"/>
    </row>
    <row r="57" spans="1:13" ht="20.100000000000001" customHeight="1" x14ac:dyDescent="0.3">
      <c r="A57" s="565"/>
      <c r="B57" s="574" t="s">
        <v>55</v>
      </c>
      <c r="C57" s="379"/>
      <c r="D57" s="575"/>
      <c r="E57" s="557"/>
      <c r="F57" s="566"/>
      <c r="G57" s="566"/>
      <c r="H57" s="566"/>
      <c r="I57" s="566"/>
      <c r="J57" s="567"/>
      <c r="K57" s="567"/>
      <c r="L57" s="567"/>
      <c r="M57" s="568"/>
    </row>
    <row r="58" spans="1:13" ht="20.100000000000001" customHeight="1" x14ac:dyDescent="0.3">
      <c r="A58" s="565"/>
      <c r="B58" s="413" t="s">
        <v>135</v>
      </c>
      <c r="C58" s="379"/>
      <c r="D58" s="570">
        <v>0</v>
      </c>
      <c r="E58" s="571" t="s">
        <v>40</v>
      </c>
      <c r="F58" s="572">
        <f t="shared" ref="F58:F85" si="37">IF(D58&lt;=0,0,)</f>
        <v>0</v>
      </c>
      <c r="G58" s="572">
        <f t="shared" ref="G58:G85" si="38">IF(D58&lt;=0,0,)</f>
        <v>0</v>
      </c>
      <c r="H58" s="576">
        <f>ROUND(IF(D58&lt;=0,0,12710),2)</f>
        <v>0</v>
      </c>
      <c r="I58" s="566">
        <f t="shared" ref="I58:I84" si="39">D58*H58</f>
        <v>0</v>
      </c>
      <c r="J58" s="573">
        <f>IF(D58&gt;0,'S2'!$BZ$31,0)</f>
        <v>0</v>
      </c>
      <c r="K58" s="567">
        <f t="shared" ref="K58:K84" si="40">ROUNDDOWN(H58*J58,2)</f>
        <v>0</v>
      </c>
      <c r="L58" s="567">
        <f t="shared" ref="L58:L84" si="41">D58*K58</f>
        <v>0</v>
      </c>
      <c r="M58" s="577"/>
    </row>
    <row r="59" spans="1:13" ht="20.100000000000001" customHeight="1" x14ac:dyDescent="0.3">
      <c r="A59" s="565"/>
      <c r="B59" s="413" t="s">
        <v>136</v>
      </c>
      <c r="C59" s="379"/>
      <c r="D59" s="570">
        <v>0</v>
      </c>
      <c r="E59" s="571" t="s">
        <v>40</v>
      </c>
      <c r="F59" s="572">
        <f t="shared" si="37"/>
        <v>0</v>
      </c>
      <c r="G59" s="572">
        <f t="shared" si="38"/>
        <v>0</v>
      </c>
      <c r="H59" s="576">
        <f>ROUND(IF(D59&lt;=0,0,3320),2)</f>
        <v>0</v>
      </c>
      <c r="I59" s="566">
        <f t="shared" si="39"/>
        <v>0</v>
      </c>
      <c r="J59" s="573">
        <f>IF(D59&gt;0,'S2'!$BZ$31,0)</f>
        <v>0</v>
      </c>
      <c r="K59" s="567">
        <f t="shared" si="40"/>
        <v>0</v>
      </c>
      <c r="L59" s="567">
        <f t="shared" si="41"/>
        <v>0</v>
      </c>
      <c r="M59" s="577" t="s">
        <v>288</v>
      </c>
    </row>
    <row r="60" spans="1:13" ht="20.100000000000001" customHeight="1" x14ac:dyDescent="0.3">
      <c r="A60" s="565"/>
      <c r="B60" s="578" t="s">
        <v>137</v>
      </c>
      <c r="C60" s="379"/>
      <c r="D60" s="570">
        <v>0</v>
      </c>
      <c r="E60" s="571" t="s">
        <v>40</v>
      </c>
      <c r="F60" s="572">
        <f t="shared" si="37"/>
        <v>0</v>
      </c>
      <c r="G60" s="572">
        <f t="shared" si="38"/>
        <v>0</v>
      </c>
      <c r="H60" s="576">
        <f>ROUND(IF(D60&lt;=0,0,2390),2)</f>
        <v>0</v>
      </c>
      <c r="I60" s="566">
        <f t="shared" si="39"/>
        <v>0</v>
      </c>
      <c r="J60" s="573">
        <f>IF(D60&gt;0,'S2'!$BZ$31,0)</f>
        <v>0</v>
      </c>
      <c r="K60" s="567">
        <f t="shared" si="40"/>
        <v>0</v>
      </c>
      <c r="L60" s="567">
        <f t="shared" si="41"/>
        <v>0</v>
      </c>
      <c r="M60" s="568"/>
    </row>
    <row r="61" spans="1:13" ht="20.100000000000001" customHeight="1" x14ac:dyDescent="0.3">
      <c r="A61" s="565"/>
      <c r="B61" s="413" t="s">
        <v>138</v>
      </c>
      <c r="C61" s="379"/>
      <c r="D61" s="570">
        <v>0</v>
      </c>
      <c r="E61" s="571" t="s">
        <v>40</v>
      </c>
      <c r="F61" s="572">
        <f t="shared" si="37"/>
        <v>0</v>
      </c>
      <c r="G61" s="572">
        <f t="shared" si="38"/>
        <v>0</v>
      </c>
      <c r="H61" s="576">
        <f>ROUND(IF(D61&lt;=0,0,2720),2)</f>
        <v>0</v>
      </c>
      <c r="I61" s="566">
        <f t="shared" si="39"/>
        <v>0</v>
      </c>
      <c r="J61" s="573">
        <f>IF(D61&gt;0,'S2'!$BZ$31,0)</f>
        <v>0</v>
      </c>
      <c r="K61" s="567">
        <f t="shared" si="40"/>
        <v>0</v>
      </c>
      <c r="L61" s="567">
        <f t="shared" si="41"/>
        <v>0</v>
      </c>
      <c r="M61" s="568"/>
    </row>
    <row r="62" spans="1:13" ht="20.100000000000001" customHeight="1" x14ac:dyDescent="0.3">
      <c r="A62" s="565"/>
      <c r="B62" s="413" t="s">
        <v>600</v>
      </c>
      <c r="C62" s="379"/>
      <c r="D62" s="570">
        <v>0</v>
      </c>
      <c r="E62" s="571" t="s">
        <v>40</v>
      </c>
      <c r="F62" s="572">
        <f t="shared" si="37"/>
        <v>0</v>
      </c>
      <c r="G62" s="572">
        <f t="shared" si="38"/>
        <v>0</v>
      </c>
      <c r="H62" s="576">
        <f>ROUND(IF(D62&lt;=0,0,2950),2)</f>
        <v>0</v>
      </c>
      <c r="I62" s="566">
        <f t="shared" si="39"/>
        <v>0</v>
      </c>
      <c r="J62" s="573">
        <f>IF(D62&gt;0,'S2'!$BZ$31,0)</f>
        <v>0</v>
      </c>
      <c r="K62" s="567">
        <f t="shared" si="40"/>
        <v>0</v>
      </c>
      <c r="L62" s="567">
        <f t="shared" si="41"/>
        <v>0</v>
      </c>
      <c r="M62" s="568"/>
    </row>
    <row r="63" spans="1:13" ht="20.100000000000001" customHeight="1" x14ac:dyDescent="0.3">
      <c r="A63" s="565"/>
      <c r="B63" s="413" t="s">
        <v>282</v>
      </c>
      <c r="C63" s="379"/>
      <c r="D63" s="570">
        <v>0</v>
      </c>
      <c r="E63" s="571" t="s">
        <v>40</v>
      </c>
      <c r="F63" s="572">
        <f>IF(D63&lt;=0,0,)</f>
        <v>0</v>
      </c>
      <c r="G63" s="572">
        <f>IF(D63&lt;=0,0,)</f>
        <v>0</v>
      </c>
      <c r="H63" s="576">
        <f>ROUND(IF(D63&lt;=0,0,4550),2)</f>
        <v>0</v>
      </c>
      <c r="I63" s="566">
        <f>D63*H63</f>
        <v>0</v>
      </c>
      <c r="J63" s="573">
        <f>IF(D63&gt;0,'S2'!$BZ$31,0)</f>
        <v>0</v>
      </c>
      <c r="K63" s="567">
        <f t="shared" si="40"/>
        <v>0</v>
      </c>
      <c r="L63" s="567">
        <f t="shared" si="41"/>
        <v>0</v>
      </c>
      <c r="M63" s="577" t="s">
        <v>288</v>
      </c>
    </row>
    <row r="64" spans="1:13" ht="20.100000000000001" customHeight="1" x14ac:dyDescent="0.3">
      <c r="A64" s="565"/>
      <c r="B64" s="413" t="s">
        <v>277</v>
      </c>
      <c r="C64" s="379"/>
      <c r="D64" s="570">
        <v>0</v>
      </c>
      <c r="E64" s="571" t="s">
        <v>40</v>
      </c>
      <c r="F64" s="572">
        <f t="shared" si="37"/>
        <v>0</v>
      </c>
      <c r="G64" s="572">
        <f t="shared" si="38"/>
        <v>0</v>
      </c>
      <c r="H64" s="576">
        <f>ROUND(IF(D64&lt;=0,0,5570),2)</f>
        <v>0</v>
      </c>
      <c r="I64" s="566">
        <f t="shared" si="39"/>
        <v>0</v>
      </c>
      <c r="J64" s="573">
        <f>IF(D64&gt;0,'S2'!$BZ$31,0)</f>
        <v>0</v>
      </c>
      <c r="K64" s="567">
        <f t="shared" si="40"/>
        <v>0</v>
      </c>
      <c r="L64" s="567">
        <f t="shared" si="41"/>
        <v>0</v>
      </c>
      <c r="M64" s="577" t="s">
        <v>288</v>
      </c>
    </row>
    <row r="65" spans="1:13" ht="20.100000000000001" customHeight="1" x14ac:dyDescent="0.3">
      <c r="A65" s="565"/>
      <c r="B65" s="413" t="s">
        <v>1336</v>
      </c>
      <c r="C65" s="379"/>
      <c r="D65" s="570">
        <v>0</v>
      </c>
      <c r="E65" s="571" t="s">
        <v>40</v>
      </c>
      <c r="F65" s="572">
        <f t="shared" si="37"/>
        <v>0</v>
      </c>
      <c r="G65" s="572">
        <f t="shared" si="38"/>
        <v>0</v>
      </c>
      <c r="H65" s="576">
        <f>ROUND(IF(D65&lt;=0,0,8450),2)</f>
        <v>0</v>
      </c>
      <c r="I65" s="566">
        <f t="shared" si="39"/>
        <v>0</v>
      </c>
      <c r="J65" s="573">
        <f>IF(D65&gt;0,'S2'!$BZ$31,0)</f>
        <v>0</v>
      </c>
      <c r="K65" s="567">
        <f t="shared" si="40"/>
        <v>0</v>
      </c>
      <c r="L65" s="567">
        <f t="shared" si="41"/>
        <v>0</v>
      </c>
      <c r="M65" s="577" t="s">
        <v>288</v>
      </c>
    </row>
    <row r="66" spans="1:13" ht="20.100000000000001" customHeight="1" x14ac:dyDescent="0.3">
      <c r="A66" s="565"/>
      <c r="B66" s="413" t="s">
        <v>278</v>
      </c>
      <c r="C66" s="379"/>
      <c r="D66" s="570">
        <v>0</v>
      </c>
      <c r="E66" s="571" t="s">
        <v>40</v>
      </c>
      <c r="F66" s="572">
        <f t="shared" si="37"/>
        <v>0</v>
      </c>
      <c r="G66" s="572">
        <f t="shared" si="38"/>
        <v>0</v>
      </c>
      <c r="H66" s="576">
        <f>ROUND(IF(D66&lt;=0,0,4410),2)</f>
        <v>0</v>
      </c>
      <c r="I66" s="566">
        <f t="shared" si="39"/>
        <v>0</v>
      </c>
      <c r="J66" s="573">
        <f>IF(D66&gt;0,'S2'!$BZ$31,0)</f>
        <v>0</v>
      </c>
      <c r="K66" s="567">
        <f t="shared" si="40"/>
        <v>0</v>
      </c>
      <c r="L66" s="567">
        <f t="shared" si="41"/>
        <v>0</v>
      </c>
      <c r="M66" s="577" t="s">
        <v>288</v>
      </c>
    </row>
    <row r="67" spans="1:13" ht="20.100000000000001" customHeight="1" x14ac:dyDescent="0.3">
      <c r="A67" s="565"/>
      <c r="B67" s="413" t="s">
        <v>279</v>
      </c>
      <c r="C67" s="379"/>
      <c r="D67" s="570">
        <v>0</v>
      </c>
      <c r="E67" s="571" t="s">
        <v>40</v>
      </c>
      <c r="F67" s="572">
        <f t="shared" si="37"/>
        <v>0</v>
      </c>
      <c r="G67" s="572">
        <f t="shared" si="38"/>
        <v>0</v>
      </c>
      <c r="H67" s="576">
        <f>ROUND(IF(D67&lt;=0,0,7160),2)</f>
        <v>0</v>
      </c>
      <c r="I67" s="566">
        <f t="shared" si="39"/>
        <v>0</v>
      </c>
      <c r="J67" s="573">
        <f>IF(D67&gt;0,'S2'!$BZ$31,0)</f>
        <v>0</v>
      </c>
      <c r="K67" s="567">
        <f t="shared" si="40"/>
        <v>0</v>
      </c>
      <c r="L67" s="567">
        <f t="shared" si="41"/>
        <v>0</v>
      </c>
      <c r="M67" s="577" t="s">
        <v>288</v>
      </c>
    </row>
    <row r="68" spans="1:13" ht="20.100000000000001" customHeight="1" x14ac:dyDescent="0.3">
      <c r="A68" s="565"/>
      <c r="B68" s="413" t="s">
        <v>280</v>
      </c>
      <c r="C68" s="379"/>
      <c r="D68" s="570">
        <v>0</v>
      </c>
      <c r="E68" s="571" t="s">
        <v>40</v>
      </c>
      <c r="F68" s="572">
        <f t="shared" si="37"/>
        <v>0</v>
      </c>
      <c r="G68" s="572">
        <f t="shared" si="38"/>
        <v>0</v>
      </c>
      <c r="H68" s="576">
        <f>ROUND(IF(D68&lt;=0,0,5710),2)</f>
        <v>0</v>
      </c>
      <c r="I68" s="566">
        <f t="shared" si="39"/>
        <v>0</v>
      </c>
      <c r="J68" s="573">
        <f>IF(D68&gt;0,'S2'!$BZ$31,0)</f>
        <v>0</v>
      </c>
      <c r="K68" s="567">
        <f t="shared" si="40"/>
        <v>0</v>
      </c>
      <c r="L68" s="567">
        <f t="shared" si="41"/>
        <v>0</v>
      </c>
      <c r="M68" s="577" t="s">
        <v>288</v>
      </c>
    </row>
    <row r="69" spans="1:13" ht="20.100000000000001" customHeight="1" x14ac:dyDescent="0.3">
      <c r="A69" s="565"/>
      <c r="B69" s="413" t="s">
        <v>281</v>
      </c>
      <c r="C69" s="379"/>
      <c r="D69" s="570">
        <v>0</v>
      </c>
      <c r="E69" s="571" t="s">
        <v>40</v>
      </c>
      <c r="F69" s="572">
        <f>IF(D69&lt;=0,0,)</f>
        <v>0</v>
      </c>
      <c r="G69" s="572">
        <f>IF(D69&lt;=0,0,)</f>
        <v>0</v>
      </c>
      <c r="H69" s="576">
        <f>ROUND(IF(D69&lt;=0,0,7160),2)</f>
        <v>0</v>
      </c>
      <c r="I69" s="566">
        <f>D69*H69</f>
        <v>0</v>
      </c>
      <c r="J69" s="573">
        <f>IF(D69&gt;0,'S2'!$BZ$31,0)</f>
        <v>0</v>
      </c>
      <c r="K69" s="567">
        <f t="shared" si="40"/>
        <v>0</v>
      </c>
      <c r="L69" s="567">
        <f t="shared" si="41"/>
        <v>0</v>
      </c>
      <c r="M69" s="577" t="s">
        <v>288</v>
      </c>
    </row>
    <row r="70" spans="1:13" ht="20.100000000000001" customHeight="1" x14ac:dyDescent="0.3">
      <c r="A70" s="565"/>
      <c r="B70" s="413" t="s">
        <v>239</v>
      </c>
      <c r="C70" s="379"/>
      <c r="D70" s="570">
        <v>0</v>
      </c>
      <c r="E70" s="571" t="s">
        <v>40</v>
      </c>
      <c r="F70" s="572">
        <f t="shared" si="37"/>
        <v>0</v>
      </c>
      <c r="G70" s="572">
        <f t="shared" si="38"/>
        <v>0</v>
      </c>
      <c r="H70" s="576">
        <f>ROUND(IF(D70&lt;=0,0,4410),2)</f>
        <v>0</v>
      </c>
      <c r="I70" s="566">
        <f t="shared" si="39"/>
        <v>0</v>
      </c>
      <c r="J70" s="573">
        <f>IF(D70&gt;0,'S2'!$BZ$31,0)</f>
        <v>0</v>
      </c>
      <c r="K70" s="567">
        <f t="shared" si="40"/>
        <v>0</v>
      </c>
      <c r="L70" s="567">
        <f t="shared" si="41"/>
        <v>0</v>
      </c>
      <c r="M70" s="577" t="s">
        <v>288</v>
      </c>
    </row>
    <row r="71" spans="1:13" ht="20.100000000000001" customHeight="1" x14ac:dyDescent="0.3">
      <c r="A71" s="565"/>
      <c r="B71" s="413" t="s">
        <v>240</v>
      </c>
      <c r="C71" s="379"/>
      <c r="D71" s="570">
        <v>0</v>
      </c>
      <c r="E71" s="571" t="s">
        <v>40</v>
      </c>
      <c r="F71" s="572">
        <f t="shared" si="37"/>
        <v>0</v>
      </c>
      <c r="G71" s="572">
        <f t="shared" si="38"/>
        <v>0</v>
      </c>
      <c r="H71" s="576">
        <f>ROUND(IF(D71&lt;=0,0,4700),2)</f>
        <v>0</v>
      </c>
      <c r="I71" s="566">
        <f t="shared" si="39"/>
        <v>0</v>
      </c>
      <c r="J71" s="573">
        <f>IF(D71&gt;0,'S2'!$BZ$31,0)</f>
        <v>0</v>
      </c>
      <c r="K71" s="567">
        <f t="shared" si="40"/>
        <v>0</v>
      </c>
      <c r="L71" s="567">
        <f t="shared" si="41"/>
        <v>0</v>
      </c>
      <c r="M71" s="568"/>
    </row>
    <row r="72" spans="1:13" ht="20.100000000000001" customHeight="1" x14ac:dyDescent="0.3">
      <c r="A72" s="565"/>
      <c r="B72" s="413" t="s">
        <v>241</v>
      </c>
      <c r="C72" s="379"/>
      <c r="D72" s="570">
        <v>0</v>
      </c>
      <c r="E72" s="571" t="s">
        <v>40</v>
      </c>
      <c r="F72" s="572">
        <f t="shared" si="37"/>
        <v>0</v>
      </c>
      <c r="G72" s="572">
        <f t="shared" si="38"/>
        <v>0</v>
      </c>
      <c r="H72" s="576">
        <f>ROUND(IF(D72&lt;=0,0,2500),2)</f>
        <v>0</v>
      </c>
      <c r="I72" s="566">
        <f t="shared" si="39"/>
        <v>0</v>
      </c>
      <c r="J72" s="573">
        <f>IF(D72&gt;0,'S2'!$BZ$31,0)</f>
        <v>0</v>
      </c>
      <c r="K72" s="567">
        <f t="shared" si="40"/>
        <v>0</v>
      </c>
      <c r="L72" s="567">
        <f t="shared" si="41"/>
        <v>0</v>
      </c>
      <c r="M72" s="568"/>
    </row>
    <row r="73" spans="1:13" ht="20.100000000000001" customHeight="1" x14ac:dyDescent="0.3">
      <c r="A73" s="565"/>
      <c r="B73" s="413" t="s">
        <v>242</v>
      </c>
      <c r="C73" s="379"/>
      <c r="D73" s="570">
        <v>0</v>
      </c>
      <c r="E73" s="571" t="s">
        <v>40</v>
      </c>
      <c r="F73" s="572">
        <f>IF(D73&lt;=0,0,)</f>
        <v>0</v>
      </c>
      <c r="G73" s="572">
        <f>IF(D73&lt;=0,0,)</f>
        <v>0</v>
      </c>
      <c r="H73" s="576">
        <f>ROUND(IF(D73&lt;=0,0,4610),2)</f>
        <v>0</v>
      </c>
      <c r="I73" s="566">
        <f>D73*H73</f>
        <v>0</v>
      </c>
      <c r="J73" s="573">
        <f>IF(D73&gt;0,'S2'!$BZ$31,0)</f>
        <v>0</v>
      </c>
      <c r="K73" s="567">
        <f t="shared" si="40"/>
        <v>0</v>
      </c>
      <c r="L73" s="567">
        <f t="shared" si="41"/>
        <v>0</v>
      </c>
      <c r="M73" s="577"/>
    </row>
    <row r="74" spans="1:13" ht="20.100000000000001" customHeight="1" x14ac:dyDescent="0.3">
      <c r="A74" s="565"/>
      <c r="B74" s="413" t="s">
        <v>243</v>
      </c>
      <c r="C74" s="379"/>
      <c r="D74" s="570">
        <v>0</v>
      </c>
      <c r="E74" s="571" t="s">
        <v>40</v>
      </c>
      <c r="F74" s="572">
        <f t="shared" si="37"/>
        <v>0</v>
      </c>
      <c r="G74" s="572">
        <f t="shared" si="38"/>
        <v>0</v>
      </c>
      <c r="H74" s="576">
        <f>ROUND(IF(D74&lt;=0,0,3950),2)</f>
        <v>0</v>
      </c>
      <c r="I74" s="566">
        <f t="shared" si="39"/>
        <v>0</v>
      </c>
      <c r="J74" s="573">
        <f>IF(D74&gt;0,'S2'!$BZ$31,0)</f>
        <v>0</v>
      </c>
      <c r="K74" s="567">
        <f t="shared" si="40"/>
        <v>0</v>
      </c>
      <c r="L74" s="567">
        <f t="shared" si="41"/>
        <v>0</v>
      </c>
      <c r="M74" s="568"/>
    </row>
    <row r="75" spans="1:13" ht="20.100000000000001" customHeight="1" x14ac:dyDescent="0.3">
      <c r="A75" s="565"/>
      <c r="B75" s="413" t="s">
        <v>244</v>
      </c>
      <c r="C75" s="379"/>
      <c r="D75" s="570">
        <v>0</v>
      </c>
      <c r="E75" s="571" t="s">
        <v>40</v>
      </c>
      <c r="F75" s="572">
        <f t="shared" si="37"/>
        <v>0</v>
      </c>
      <c r="G75" s="572">
        <f t="shared" si="38"/>
        <v>0</v>
      </c>
      <c r="H75" s="576">
        <f>ROUND(IF(D75&lt;=0,0,5830),2)</f>
        <v>0</v>
      </c>
      <c r="I75" s="566">
        <f t="shared" si="39"/>
        <v>0</v>
      </c>
      <c r="J75" s="573">
        <f>IF(D75&gt;0,'S2'!$BZ$31,0)</f>
        <v>0</v>
      </c>
      <c r="K75" s="567">
        <f t="shared" si="40"/>
        <v>0</v>
      </c>
      <c r="L75" s="567">
        <f t="shared" si="41"/>
        <v>0</v>
      </c>
      <c r="M75" s="568"/>
    </row>
    <row r="76" spans="1:13" ht="20.100000000000001" customHeight="1" x14ac:dyDescent="0.3">
      <c r="A76" s="565"/>
      <c r="B76" s="413" t="s">
        <v>245</v>
      </c>
      <c r="C76" s="379"/>
      <c r="D76" s="570">
        <v>0</v>
      </c>
      <c r="E76" s="571" t="s">
        <v>40</v>
      </c>
      <c r="F76" s="572">
        <f t="shared" si="37"/>
        <v>0</v>
      </c>
      <c r="G76" s="572">
        <f t="shared" si="38"/>
        <v>0</v>
      </c>
      <c r="H76" s="576">
        <f>ROUND(IF(D76&lt;=0,0,9190),2)</f>
        <v>0</v>
      </c>
      <c r="I76" s="566">
        <f t="shared" si="39"/>
        <v>0</v>
      </c>
      <c r="J76" s="573">
        <f>IF(D76&gt;0,'S2'!$BZ$31,0)</f>
        <v>0</v>
      </c>
      <c r="K76" s="567">
        <f t="shared" si="40"/>
        <v>0</v>
      </c>
      <c r="L76" s="567">
        <f t="shared" si="41"/>
        <v>0</v>
      </c>
      <c r="M76" s="568"/>
    </row>
    <row r="77" spans="1:13" ht="20.100000000000001" customHeight="1" x14ac:dyDescent="0.3">
      <c r="A77" s="565"/>
      <c r="B77" s="413" t="s">
        <v>246</v>
      </c>
      <c r="C77" s="379"/>
      <c r="D77" s="570">
        <v>0</v>
      </c>
      <c r="E77" s="571" t="s">
        <v>40</v>
      </c>
      <c r="F77" s="572">
        <f t="shared" si="37"/>
        <v>0</v>
      </c>
      <c r="G77" s="572">
        <f t="shared" si="38"/>
        <v>0</v>
      </c>
      <c r="H77" s="576">
        <f>ROUND(IF(D77&lt;=0,0,14480),2)</f>
        <v>0</v>
      </c>
      <c r="I77" s="566">
        <f t="shared" si="39"/>
        <v>0</v>
      </c>
      <c r="J77" s="573">
        <f>IF(D77&gt;0,'S2'!$BZ$31,0)</f>
        <v>0</v>
      </c>
      <c r="K77" s="567">
        <f t="shared" si="40"/>
        <v>0</v>
      </c>
      <c r="L77" s="567">
        <f t="shared" si="41"/>
        <v>0</v>
      </c>
      <c r="M77" s="568"/>
    </row>
    <row r="78" spans="1:13" ht="20.100000000000001" customHeight="1" x14ac:dyDescent="0.3">
      <c r="A78" s="565"/>
      <c r="B78" s="413" t="s">
        <v>247</v>
      </c>
      <c r="C78" s="379"/>
      <c r="D78" s="570">
        <v>0</v>
      </c>
      <c r="E78" s="571" t="s">
        <v>40</v>
      </c>
      <c r="F78" s="572">
        <f t="shared" si="37"/>
        <v>0</v>
      </c>
      <c r="G78" s="572">
        <f t="shared" si="38"/>
        <v>0</v>
      </c>
      <c r="H78" s="576">
        <f>ROUND(IF(D78&lt;=0,0,21390),2)</f>
        <v>0</v>
      </c>
      <c r="I78" s="566">
        <f t="shared" si="39"/>
        <v>0</v>
      </c>
      <c r="J78" s="573">
        <f>IF(D78&gt;0,'S2'!$BZ$31,0)</f>
        <v>0</v>
      </c>
      <c r="K78" s="567">
        <f t="shared" si="40"/>
        <v>0</v>
      </c>
      <c r="L78" s="567">
        <f t="shared" si="41"/>
        <v>0</v>
      </c>
      <c r="M78" s="568"/>
    </row>
    <row r="79" spans="1:13" ht="20.100000000000001" customHeight="1" x14ac:dyDescent="0.3">
      <c r="A79" s="565"/>
      <c r="B79" s="413" t="s">
        <v>248</v>
      </c>
      <c r="C79" s="379"/>
      <c r="D79" s="570">
        <v>0</v>
      </c>
      <c r="E79" s="571" t="s">
        <v>40</v>
      </c>
      <c r="F79" s="572">
        <f t="shared" si="37"/>
        <v>0</v>
      </c>
      <c r="G79" s="572">
        <f t="shared" si="38"/>
        <v>0</v>
      </c>
      <c r="H79" s="576">
        <f>ROUND(IF(D79&lt;=0,0,8420),2)</f>
        <v>0</v>
      </c>
      <c r="I79" s="566">
        <f t="shared" si="39"/>
        <v>0</v>
      </c>
      <c r="J79" s="573">
        <f>IF(D79&gt;0,'S2'!$BZ$31,0)</f>
        <v>0</v>
      </c>
      <c r="K79" s="567">
        <f t="shared" si="40"/>
        <v>0</v>
      </c>
      <c r="L79" s="567">
        <f t="shared" si="41"/>
        <v>0</v>
      </c>
      <c r="M79" s="568"/>
    </row>
    <row r="80" spans="1:13" ht="20.100000000000001" customHeight="1" x14ac:dyDescent="0.3">
      <c r="A80" s="565"/>
      <c r="B80" s="413" t="s">
        <v>249</v>
      </c>
      <c r="C80" s="379"/>
      <c r="D80" s="570">
        <v>0</v>
      </c>
      <c r="E80" s="571" t="s">
        <v>40</v>
      </c>
      <c r="F80" s="572">
        <f t="shared" si="37"/>
        <v>0</v>
      </c>
      <c r="G80" s="572">
        <f t="shared" si="38"/>
        <v>0</v>
      </c>
      <c r="H80" s="576">
        <f>ROUND(IF(D80&lt;=0,0,3550),2)</f>
        <v>0</v>
      </c>
      <c r="I80" s="566">
        <f t="shared" si="39"/>
        <v>0</v>
      </c>
      <c r="J80" s="573">
        <f>IF(D80&gt;0,'S2'!$BZ$31,0)</f>
        <v>0</v>
      </c>
      <c r="K80" s="567">
        <f t="shared" si="40"/>
        <v>0</v>
      </c>
      <c r="L80" s="567">
        <f t="shared" si="41"/>
        <v>0</v>
      </c>
      <c r="M80" s="568"/>
    </row>
    <row r="81" spans="1:15" ht="20.100000000000001" customHeight="1" x14ac:dyDescent="0.3">
      <c r="A81" s="565"/>
      <c r="B81" s="413" t="s">
        <v>250</v>
      </c>
      <c r="C81" s="379"/>
      <c r="D81" s="570">
        <v>0</v>
      </c>
      <c r="E81" s="571" t="s">
        <v>40</v>
      </c>
      <c r="F81" s="572">
        <f t="shared" si="37"/>
        <v>0</v>
      </c>
      <c r="G81" s="572">
        <f t="shared" si="38"/>
        <v>0</v>
      </c>
      <c r="H81" s="576">
        <f>ROUND(IF(D81&lt;=0,0,6310),2)</f>
        <v>0</v>
      </c>
      <c r="I81" s="566">
        <f t="shared" si="39"/>
        <v>0</v>
      </c>
      <c r="J81" s="573">
        <f>IF(D81&gt;0,'S2'!$BZ$31,0)</f>
        <v>0</v>
      </c>
      <c r="K81" s="567">
        <f t="shared" si="40"/>
        <v>0</v>
      </c>
      <c r="L81" s="567">
        <f t="shared" si="41"/>
        <v>0</v>
      </c>
      <c r="M81" s="568"/>
    </row>
    <row r="82" spans="1:15" ht="20.100000000000001" customHeight="1" x14ac:dyDescent="0.3">
      <c r="A82" s="565"/>
      <c r="B82" s="578" t="s">
        <v>601</v>
      </c>
      <c r="C82" s="379"/>
      <c r="D82" s="570">
        <v>0</v>
      </c>
      <c r="E82" s="571" t="s">
        <v>40</v>
      </c>
      <c r="F82" s="572">
        <f t="shared" si="37"/>
        <v>0</v>
      </c>
      <c r="G82" s="572">
        <f t="shared" si="38"/>
        <v>0</v>
      </c>
      <c r="H82" s="576">
        <f>ROUND(IF(D82&lt;=0,0,2550),2)</f>
        <v>0</v>
      </c>
      <c r="I82" s="566">
        <f t="shared" si="39"/>
        <v>0</v>
      </c>
      <c r="J82" s="573">
        <f>IF(D82&gt;0,'S2'!$BZ$31,0)</f>
        <v>0</v>
      </c>
      <c r="K82" s="567">
        <f t="shared" si="40"/>
        <v>0</v>
      </c>
      <c r="L82" s="567">
        <f t="shared" si="41"/>
        <v>0</v>
      </c>
      <c r="M82" s="568"/>
      <c r="O82" s="171">
        <v>0</v>
      </c>
    </row>
    <row r="83" spans="1:15" ht="20.100000000000001" customHeight="1" x14ac:dyDescent="0.3">
      <c r="A83" s="565"/>
      <c r="B83" s="578" t="s">
        <v>602</v>
      </c>
      <c r="C83" s="379"/>
      <c r="D83" s="570">
        <v>0</v>
      </c>
      <c r="E83" s="571" t="s">
        <v>40</v>
      </c>
      <c r="F83" s="572">
        <f>IF(D83&lt;=0,0,)</f>
        <v>0</v>
      </c>
      <c r="G83" s="572">
        <f>IF(D83&lt;=0,0,)</f>
        <v>0</v>
      </c>
      <c r="H83" s="576">
        <f>ROUND(IF(D83&lt;=0,0,2620),2)</f>
        <v>0</v>
      </c>
      <c r="I83" s="566">
        <f>D83*H83</f>
        <v>0</v>
      </c>
      <c r="J83" s="573">
        <f>IF(D83&gt;0,'S2'!$BZ$31,0)</f>
        <v>0</v>
      </c>
      <c r="K83" s="567">
        <f>ROUNDDOWN(H83*J83,2)</f>
        <v>0</v>
      </c>
      <c r="L83" s="567">
        <f>D83*K83</f>
        <v>0</v>
      </c>
      <c r="M83" s="568"/>
    </row>
    <row r="84" spans="1:15" x14ac:dyDescent="0.3">
      <c r="A84" s="557"/>
      <c r="B84" s="413" t="s">
        <v>1337</v>
      </c>
      <c r="C84" s="379"/>
      <c r="D84" s="570">
        <v>0</v>
      </c>
      <c r="E84" s="571" t="s">
        <v>40</v>
      </c>
      <c r="F84" s="572">
        <f t="shared" si="37"/>
        <v>0</v>
      </c>
      <c r="G84" s="572">
        <f t="shared" si="38"/>
        <v>0</v>
      </c>
      <c r="H84" s="576">
        <f>ROUND(IF(D84&lt;=0,0,3620),2)</f>
        <v>0</v>
      </c>
      <c r="I84" s="566">
        <f t="shared" si="39"/>
        <v>0</v>
      </c>
      <c r="J84" s="573">
        <f>IF(D84&gt;0,'S2'!$BZ$31,0)</f>
        <v>0</v>
      </c>
      <c r="K84" s="567">
        <f t="shared" si="40"/>
        <v>0</v>
      </c>
      <c r="L84" s="567">
        <f t="shared" si="41"/>
        <v>0</v>
      </c>
      <c r="M84" s="568"/>
    </row>
    <row r="85" spans="1:15" x14ac:dyDescent="0.3">
      <c r="A85" s="557"/>
      <c r="B85" s="579" t="s">
        <v>331</v>
      </c>
      <c r="C85" s="379"/>
      <c r="D85" s="570"/>
      <c r="E85" s="571"/>
      <c r="F85" s="572">
        <f t="shared" si="37"/>
        <v>0</v>
      </c>
      <c r="G85" s="572">
        <f t="shared" si="38"/>
        <v>0</v>
      </c>
      <c r="H85" s="576"/>
      <c r="I85" s="566"/>
      <c r="J85" s="573"/>
      <c r="K85" s="567"/>
      <c r="L85" s="567"/>
      <c r="M85" s="568"/>
    </row>
    <row r="86" spans="1:15" x14ac:dyDescent="0.3">
      <c r="A86" s="557"/>
      <c r="B86" s="413"/>
      <c r="C86" s="379"/>
      <c r="D86" s="570"/>
      <c r="E86" s="571"/>
      <c r="F86" s="572"/>
      <c r="G86" s="572"/>
      <c r="H86" s="576"/>
      <c r="I86" s="566"/>
      <c r="J86" s="573"/>
      <c r="K86" s="567"/>
      <c r="L86" s="567"/>
      <c r="M86" s="568"/>
    </row>
    <row r="87" spans="1:15" x14ac:dyDescent="0.3">
      <c r="A87" s="557"/>
      <c r="B87" s="413"/>
      <c r="C87" s="379"/>
      <c r="D87" s="570"/>
      <c r="E87" s="571"/>
      <c r="F87" s="572"/>
      <c r="G87" s="572"/>
      <c r="H87" s="576"/>
      <c r="I87" s="566"/>
      <c r="J87" s="573"/>
      <c r="K87" s="567"/>
      <c r="L87" s="567"/>
      <c r="M87" s="568"/>
    </row>
    <row r="88" spans="1:15" x14ac:dyDescent="0.3">
      <c r="A88" s="557"/>
      <c r="B88" s="413"/>
      <c r="C88" s="379"/>
      <c r="D88" s="570"/>
      <c r="E88" s="571"/>
      <c r="F88" s="572"/>
      <c r="G88" s="572"/>
      <c r="H88" s="576"/>
      <c r="I88" s="566"/>
      <c r="J88" s="573"/>
      <c r="K88" s="567"/>
      <c r="L88" s="567"/>
      <c r="M88" s="568"/>
    </row>
    <row r="89" spans="1:15" x14ac:dyDescent="0.3">
      <c r="A89" s="557"/>
      <c r="B89" s="413"/>
      <c r="C89" s="379"/>
      <c r="D89" s="570"/>
      <c r="E89" s="571"/>
      <c r="F89" s="572"/>
      <c r="G89" s="572"/>
      <c r="H89" s="576"/>
      <c r="I89" s="566"/>
      <c r="J89" s="573"/>
      <c r="K89" s="567"/>
      <c r="L89" s="567"/>
      <c r="M89" s="568"/>
    </row>
    <row r="90" spans="1:15" x14ac:dyDescent="0.3">
      <c r="A90" s="557"/>
      <c r="B90" s="413"/>
      <c r="C90" s="379"/>
      <c r="D90" s="570"/>
      <c r="E90" s="571"/>
      <c r="F90" s="572"/>
      <c r="G90" s="572"/>
      <c r="H90" s="576"/>
      <c r="I90" s="566"/>
      <c r="J90" s="573"/>
      <c r="K90" s="567"/>
      <c r="L90" s="567"/>
      <c r="M90" s="568"/>
    </row>
    <row r="91" spans="1:15" ht="20.100000000000001" customHeight="1" x14ac:dyDescent="0.3">
      <c r="A91" s="565"/>
      <c r="B91" s="413"/>
      <c r="C91" s="379"/>
      <c r="D91" s="575"/>
      <c r="E91" s="571"/>
      <c r="F91" s="572"/>
      <c r="G91" s="572"/>
      <c r="H91" s="576"/>
      <c r="I91" s="566"/>
      <c r="J91" s="567"/>
      <c r="K91" s="567"/>
      <c r="L91" s="567"/>
      <c r="M91" s="568"/>
    </row>
    <row r="92" spans="1:15" x14ac:dyDescent="0.3">
      <c r="A92" s="580"/>
      <c r="B92" s="581"/>
      <c r="C92" s="582" t="s">
        <v>156</v>
      </c>
      <c r="D92" s="534"/>
      <c r="E92" s="507"/>
      <c r="F92" s="507"/>
      <c r="G92" s="507"/>
      <c r="H92" s="507"/>
      <c r="I92" s="550">
        <f>SUM(I50:I91)</f>
        <v>21811971.880897</v>
      </c>
      <c r="J92" s="583"/>
      <c r="K92" s="583"/>
      <c r="L92" s="550">
        <f>SUM(L50:L91)</f>
        <v>27205427.000599999</v>
      </c>
      <c r="M92" s="581"/>
    </row>
    <row r="93" spans="1:15" ht="21.75" customHeight="1" x14ac:dyDescent="0.35">
      <c r="A93" s="509" t="str">
        <f>+A45</f>
        <v>รายละเอียดการกำหนดราคากลาง</v>
      </c>
      <c r="B93" s="509"/>
      <c r="C93" s="509"/>
      <c r="D93" s="509"/>
      <c r="E93" s="509"/>
      <c r="F93" s="509"/>
      <c r="G93" s="509"/>
      <c r="H93" s="509"/>
      <c r="I93" s="509"/>
      <c r="J93" s="509"/>
      <c r="K93" s="509"/>
      <c r="L93" s="509"/>
      <c r="M93" s="509"/>
    </row>
    <row r="94" spans="1:15" x14ac:dyDescent="0.3">
      <c r="A94" s="379"/>
      <c r="B94" s="392" t="s">
        <v>42</v>
      </c>
      <c r="C94" s="403" t="str">
        <f>ข้อมูล!C7</f>
        <v xml:space="preserve"> พย.ถ.10060</v>
      </c>
      <c r="D94" s="551"/>
      <c r="E94" s="379"/>
      <c r="F94" s="379"/>
      <c r="G94" s="379"/>
      <c r="H94" s="392" t="s">
        <v>23</v>
      </c>
      <c r="I94" s="379" t="str">
        <f>$H$2</f>
        <v>ทางหลวงหมายเลข 1 ตอน ทางเดิมเข้าเมืองพะเยา ต.บ้านต๋อม อ.เมืองพะเยา จ.พะเยา</v>
      </c>
      <c r="J94" s="379"/>
      <c r="K94" s="379"/>
      <c r="L94" s="379"/>
      <c r="M94" s="379"/>
    </row>
    <row r="95" spans="1:15" ht="21.75" customHeight="1" x14ac:dyDescent="0.3">
      <c r="A95" s="379"/>
      <c r="B95" s="392" t="s">
        <v>43</v>
      </c>
      <c r="C95" s="403" t="str">
        <f>ข้อมูล!C8</f>
        <v>ทางหลวงหมายเลข 1 ตอนเดิมเข้าเมืองพะเยา  ต.บ้านต๋อม อ.เมือง จ.พะเยา</v>
      </c>
      <c r="D95" s="426"/>
      <c r="E95" s="552"/>
      <c r="F95" s="552"/>
      <c r="G95" s="392"/>
      <c r="H95" s="379" t="str">
        <f>ปร.5!A11</f>
        <v>ระยะทางดำเนินการซ่อมสร้าง ฯ รวม 2 ช่วง</v>
      </c>
      <c r="I95" s="553"/>
      <c r="J95" s="379"/>
      <c r="K95" s="554" t="s">
        <v>15</v>
      </c>
      <c r="L95" s="554">
        <f>ปร.5!E11</f>
        <v>2.4</v>
      </c>
      <c r="M95" s="403" t="s">
        <v>44</v>
      </c>
    </row>
    <row r="96" spans="1:15" x14ac:dyDescent="0.3">
      <c r="A96" s="518" t="s">
        <v>0</v>
      </c>
      <c r="B96" s="519"/>
      <c r="C96" s="520" t="s">
        <v>45</v>
      </c>
      <c r="D96" s="521" t="s">
        <v>24</v>
      </c>
      <c r="E96" s="518" t="s">
        <v>25</v>
      </c>
      <c r="F96" s="522" t="s">
        <v>26</v>
      </c>
      <c r="G96" s="523"/>
      <c r="H96" s="524"/>
      <c r="I96" s="518" t="s">
        <v>27</v>
      </c>
      <c r="J96" s="555" t="s">
        <v>2</v>
      </c>
      <c r="K96" s="522" t="s">
        <v>286</v>
      </c>
      <c r="L96" s="524"/>
      <c r="M96" s="519" t="s">
        <v>20</v>
      </c>
    </row>
    <row r="97" spans="1:13" x14ac:dyDescent="0.3">
      <c r="A97" s="526"/>
      <c r="B97" s="527"/>
      <c r="C97" s="528"/>
      <c r="D97" s="529"/>
      <c r="E97" s="526"/>
      <c r="F97" s="530" t="s">
        <v>28</v>
      </c>
      <c r="G97" s="530" t="s">
        <v>29</v>
      </c>
      <c r="H97" s="530" t="s">
        <v>30</v>
      </c>
      <c r="I97" s="526" t="s">
        <v>31</v>
      </c>
      <c r="J97" s="556"/>
      <c r="K97" s="531" t="s">
        <v>287</v>
      </c>
      <c r="L97" s="530" t="s">
        <v>30</v>
      </c>
      <c r="M97" s="527"/>
    </row>
    <row r="98" spans="1:13" x14ac:dyDescent="0.3">
      <c r="A98" s="557"/>
      <c r="B98" s="558"/>
      <c r="C98" s="559" t="s">
        <v>157</v>
      </c>
      <c r="D98" s="560"/>
      <c r="E98" s="557"/>
      <c r="F98" s="557"/>
      <c r="G98" s="557"/>
      <c r="H98" s="557"/>
      <c r="I98" s="561">
        <f>I92</f>
        <v>21811971.880897</v>
      </c>
      <c r="J98" s="562"/>
      <c r="K98" s="562"/>
      <c r="L98" s="561">
        <f>L92</f>
        <v>27205427.000599999</v>
      </c>
      <c r="M98" s="519"/>
    </row>
    <row r="99" spans="1:13" x14ac:dyDescent="0.3">
      <c r="A99" s="565"/>
      <c r="B99" s="413" t="s">
        <v>1338</v>
      </c>
      <c r="C99" s="379"/>
      <c r="D99" s="570">
        <v>0</v>
      </c>
      <c r="E99" s="571" t="s">
        <v>40</v>
      </c>
      <c r="F99" s="572">
        <f>IF(D99&lt;=0,0,)</f>
        <v>0</v>
      </c>
      <c r="G99" s="572">
        <f>IF(D99&lt;=0,0,)</f>
        <v>0</v>
      </c>
      <c r="H99" s="576">
        <f>ROUND(IF(D99&lt;=0,0,5180),2)</f>
        <v>0</v>
      </c>
      <c r="I99" s="566">
        <f t="shared" ref="I99:I114" si="42">D99*H99</f>
        <v>0</v>
      </c>
      <c r="J99" s="573">
        <f>IF(D99&gt;0,'S2'!$BZ$31,0)</f>
        <v>0</v>
      </c>
      <c r="K99" s="567">
        <f t="shared" ref="K99:K114" si="43">ROUNDDOWN(H99*J99,2)</f>
        <v>0</v>
      </c>
      <c r="L99" s="567">
        <f t="shared" ref="L99:L114" si="44">D99*K99</f>
        <v>0</v>
      </c>
      <c r="M99" s="568"/>
    </row>
    <row r="100" spans="1:13" ht="20.100000000000001" customHeight="1" x14ac:dyDescent="0.3">
      <c r="A100" s="565"/>
      <c r="B100" s="413" t="s">
        <v>258</v>
      </c>
      <c r="C100" s="379"/>
      <c r="D100" s="570">
        <v>0</v>
      </c>
      <c r="E100" s="571" t="s">
        <v>40</v>
      </c>
      <c r="F100" s="572">
        <f>IF(D100&lt;=0,0,)</f>
        <v>0</v>
      </c>
      <c r="G100" s="572">
        <f>IF(D100&lt;=0,0,)</f>
        <v>0</v>
      </c>
      <c r="H100" s="576">
        <f>ROUND(IF(D100&lt;=0,0,),2)</f>
        <v>0</v>
      </c>
      <c r="I100" s="566">
        <f t="shared" si="42"/>
        <v>0</v>
      </c>
      <c r="J100" s="573">
        <f>IF(D100&gt;0,'S2'!$BZ$31,0)</f>
        <v>0</v>
      </c>
      <c r="K100" s="567">
        <f t="shared" si="43"/>
        <v>0</v>
      </c>
      <c r="L100" s="567">
        <f t="shared" si="44"/>
        <v>0</v>
      </c>
      <c r="M100" s="568"/>
    </row>
    <row r="101" spans="1:13" ht="20.100000000000001" customHeight="1" x14ac:dyDescent="0.3">
      <c r="A101" s="565"/>
      <c r="B101" s="413" t="s">
        <v>259</v>
      </c>
      <c r="C101" s="379"/>
      <c r="D101" s="570">
        <v>0</v>
      </c>
      <c r="E101" s="571" t="s">
        <v>40</v>
      </c>
      <c r="F101" s="572">
        <f>IF(D101&lt;=0,0,)</f>
        <v>0</v>
      </c>
      <c r="G101" s="572">
        <f>IF(D101&lt;=0,0,)</f>
        <v>0</v>
      </c>
      <c r="H101" s="576">
        <f>ROUND(IF(D101&lt;=0,0,),2)</f>
        <v>0</v>
      </c>
      <c r="I101" s="566">
        <f t="shared" si="42"/>
        <v>0</v>
      </c>
      <c r="J101" s="573">
        <f>IF(D101&gt;0,'S2'!$BZ$31,0)</f>
        <v>0</v>
      </c>
      <c r="K101" s="567">
        <f t="shared" si="43"/>
        <v>0</v>
      </c>
      <c r="L101" s="567">
        <f t="shared" si="44"/>
        <v>0</v>
      </c>
      <c r="M101" s="568"/>
    </row>
    <row r="102" spans="1:13" ht="20.100000000000001" customHeight="1" x14ac:dyDescent="0.3">
      <c r="A102" s="565"/>
      <c r="B102" s="413" t="s">
        <v>260</v>
      </c>
      <c r="C102" s="379"/>
      <c r="D102" s="570">
        <v>0</v>
      </c>
      <c r="E102" s="571" t="s">
        <v>40</v>
      </c>
      <c r="F102" s="572">
        <f>IF(D102&lt;=0,0,)</f>
        <v>0</v>
      </c>
      <c r="G102" s="572">
        <f>IF(D102&lt;=0,0,)</f>
        <v>0</v>
      </c>
      <c r="H102" s="576">
        <f>ROUND(IF(D102&lt;=0,0,),2)</f>
        <v>0</v>
      </c>
      <c r="I102" s="566">
        <f t="shared" si="42"/>
        <v>0</v>
      </c>
      <c r="J102" s="573">
        <f>IF(D102&gt;0,'S2'!$BZ$31,0)</f>
        <v>0</v>
      </c>
      <c r="K102" s="567">
        <f t="shared" si="43"/>
        <v>0</v>
      </c>
      <c r="L102" s="567">
        <f t="shared" si="44"/>
        <v>0</v>
      </c>
      <c r="M102" s="568"/>
    </row>
    <row r="103" spans="1:13" ht="20.100000000000001" customHeight="1" x14ac:dyDescent="0.3">
      <c r="A103" s="565"/>
      <c r="B103" s="413" t="s">
        <v>294</v>
      </c>
      <c r="C103" s="379"/>
      <c r="D103" s="570">
        <v>0</v>
      </c>
      <c r="E103" s="571" t="s">
        <v>40</v>
      </c>
      <c r="F103" s="572">
        <f>IF(D103&lt;=0,0,)</f>
        <v>0</v>
      </c>
      <c r="G103" s="572">
        <f>IF(D103&lt;=0,0,)</f>
        <v>0</v>
      </c>
      <c r="H103" s="576">
        <f>ROUND(IF(D103&lt;=0,0,),2)</f>
        <v>0</v>
      </c>
      <c r="I103" s="566">
        <f t="shared" si="42"/>
        <v>0</v>
      </c>
      <c r="J103" s="573">
        <f>IF(D103&gt;0,'S2'!$BZ$31,0)</f>
        <v>0</v>
      </c>
      <c r="K103" s="567">
        <f t="shared" si="43"/>
        <v>0</v>
      </c>
      <c r="L103" s="567">
        <f t="shared" si="44"/>
        <v>0</v>
      </c>
      <c r="M103" s="568"/>
    </row>
    <row r="104" spans="1:13" x14ac:dyDescent="0.3">
      <c r="A104" s="565"/>
      <c r="B104" s="413" t="s">
        <v>295</v>
      </c>
      <c r="C104" s="379"/>
      <c r="D104" s="570">
        <v>0</v>
      </c>
      <c r="E104" s="421" t="s">
        <v>41</v>
      </c>
      <c r="F104" s="572">
        <f t="shared" ref="F104:F114" si="45">IF(D104&lt;=0,0,)</f>
        <v>0</v>
      </c>
      <c r="G104" s="572">
        <f t="shared" ref="G104:G114" si="46">IF(D104&lt;=0,0,)</f>
        <v>0</v>
      </c>
      <c r="H104" s="576">
        <f>ROUND(IF(D104&lt;=0,0,560),2)</f>
        <v>0</v>
      </c>
      <c r="I104" s="566">
        <f t="shared" si="42"/>
        <v>0</v>
      </c>
      <c r="J104" s="573">
        <f>IF(D104&gt;0,'S2'!$BZ$31,0)</f>
        <v>0</v>
      </c>
      <c r="K104" s="567">
        <f t="shared" si="43"/>
        <v>0</v>
      </c>
      <c r="L104" s="567">
        <f t="shared" si="44"/>
        <v>0</v>
      </c>
      <c r="M104" s="568"/>
    </row>
    <row r="105" spans="1:13" x14ac:dyDescent="0.3">
      <c r="A105" s="565"/>
      <c r="B105" s="413" t="s">
        <v>296</v>
      </c>
      <c r="C105" s="379"/>
      <c r="D105" s="570">
        <v>0</v>
      </c>
      <c r="E105" s="421" t="s">
        <v>41</v>
      </c>
      <c r="F105" s="572">
        <f t="shared" si="45"/>
        <v>0</v>
      </c>
      <c r="G105" s="572">
        <f t="shared" si="46"/>
        <v>0</v>
      </c>
      <c r="H105" s="576">
        <f>ROUND(IF(D105&lt;=0,0,1690),2)</f>
        <v>0</v>
      </c>
      <c r="I105" s="566">
        <f t="shared" si="42"/>
        <v>0</v>
      </c>
      <c r="J105" s="573">
        <f>IF(D105&gt;0,'S2'!$BZ$31,0)</f>
        <v>0</v>
      </c>
      <c r="K105" s="567">
        <f t="shared" si="43"/>
        <v>0</v>
      </c>
      <c r="L105" s="567">
        <f t="shared" si="44"/>
        <v>0</v>
      </c>
      <c r="M105" s="568"/>
    </row>
    <row r="106" spans="1:13" x14ac:dyDescent="0.3">
      <c r="A106" s="565"/>
      <c r="B106" s="413" t="s">
        <v>297</v>
      </c>
      <c r="C106" s="379"/>
      <c r="D106" s="570">
        <v>0</v>
      </c>
      <c r="E106" s="421" t="s">
        <v>41</v>
      </c>
      <c r="F106" s="572">
        <f t="shared" si="45"/>
        <v>0</v>
      </c>
      <c r="G106" s="572">
        <f t="shared" si="46"/>
        <v>0</v>
      </c>
      <c r="H106" s="576">
        <f>ROUND(IF(D106&lt;=0,0,280),2)</f>
        <v>0</v>
      </c>
      <c r="I106" s="566">
        <f t="shared" si="42"/>
        <v>0</v>
      </c>
      <c r="J106" s="573">
        <f>IF(D106&gt;0,'S2'!$BZ$31,0)</f>
        <v>0</v>
      </c>
      <c r="K106" s="567">
        <f t="shared" si="43"/>
        <v>0</v>
      </c>
      <c r="L106" s="567">
        <f t="shared" si="44"/>
        <v>0</v>
      </c>
      <c r="M106" s="568"/>
    </row>
    <row r="107" spans="1:13" x14ac:dyDescent="0.3">
      <c r="A107" s="565"/>
      <c r="B107" s="413" t="s">
        <v>298</v>
      </c>
      <c r="C107" s="379"/>
      <c r="D107" s="570">
        <v>0</v>
      </c>
      <c r="E107" s="421" t="s">
        <v>41</v>
      </c>
      <c r="F107" s="572">
        <f t="shared" si="45"/>
        <v>0</v>
      </c>
      <c r="G107" s="572">
        <f t="shared" si="46"/>
        <v>0</v>
      </c>
      <c r="H107" s="576">
        <f>ROUND(IF(D107&lt;=0,0,90),2)</f>
        <v>0</v>
      </c>
      <c r="I107" s="566">
        <f t="shared" si="42"/>
        <v>0</v>
      </c>
      <c r="J107" s="573">
        <f>IF(D107&gt;0,'S2'!$BZ$31,0)</f>
        <v>0</v>
      </c>
      <c r="K107" s="567">
        <f t="shared" si="43"/>
        <v>0</v>
      </c>
      <c r="L107" s="567">
        <f t="shared" si="44"/>
        <v>0</v>
      </c>
      <c r="M107" s="568"/>
    </row>
    <row r="108" spans="1:13" x14ac:dyDescent="0.3">
      <c r="A108" s="565"/>
      <c r="B108" s="413" t="s">
        <v>299</v>
      </c>
      <c r="C108" s="379"/>
      <c r="D108" s="570">
        <v>0</v>
      </c>
      <c r="E108" s="421" t="s">
        <v>53</v>
      </c>
      <c r="F108" s="572">
        <f t="shared" si="45"/>
        <v>0</v>
      </c>
      <c r="G108" s="572">
        <f t="shared" si="46"/>
        <v>0</v>
      </c>
      <c r="H108" s="576">
        <f>ROUND(IF(D108&lt;=0,0,1780),2)</f>
        <v>0</v>
      </c>
      <c r="I108" s="566">
        <f t="shared" si="42"/>
        <v>0</v>
      </c>
      <c r="J108" s="573">
        <f>IF(D108&gt;0,'S2'!$BZ$31,0)</f>
        <v>0</v>
      </c>
      <c r="K108" s="567">
        <f t="shared" si="43"/>
        <v>0</v>
      </c>
      <c r="L108" s="567">
        <f t="shared" si="44"/>
        <v>0</v>
      </c>
      <c r="M108" s="568"/>
    </row>
    <row r="109" spans="1:13" x14ac:dyDescent="0.3">
      <c r="A109" s="565"/>
      <c r="B109" s="413" t="s">
        <v>300</v>
      </c>
      <c r="C109" s="379"/>
      <c r="D109" s="570">
        <v>0</v>
      </c>
      <c r="E109" s="421" t="s">
        <v>53</v>
      </c>
      <c r="F109" s="572">
        <f t="shared" si="45"/>
        <v>0</v>
      </c>
      <c r="G109" s="572">
        <f t="shared" si="46"/>
        <v>0</v>
      </c>
      <c r="H109" s="576">
        <f>ROUND(IF(D109&lt;=0,0,1400),2)</f>
        <v>0</v>
      </c>
      <c r="I109" s="566">
        <f t="shared" si="42"/>
        <v>0</v>
      </c>
      <c r="J109" s="573">
        <f>IF(D109&gt;0,'S2'!$BZ$31,0)</f>
        <v>0</v>
      </c>
      <c r="K109" s="567">
        <f t="shared" si="43"/>
        <v>0</v>
      </c>
      <c r="L109" s="567">
        <f t="shared" si="44"/>
        <v>0</v>
      </c>
      <c r="M109" s="568"/>
    </row>
    <row r="110" spans="1:13" x14ac:dyDescent="0.3">
      <c r="A110" s="565"/>
      <c r="B110" s="413" t="s">
        <v>301</v>
      </c>
      <c r="C110" s="379"/>
      <c r="D110" s="570">
        <v>0</v>
      </c>
      <c r="E110" s="421" t="s">
        <v>131</v>
      </c>
      <c r="F110" s="572">
        <f t="shared" si="45"/>
        <v>0</v>
      </c>
      <c r="G110" s="572">
        <f t="shared" si="46"/>
        <v>0</v>
      </c>
      <c r="H110" s="576">
        <f>ROUND(IF(D110&lt;=0,0,8000),2)</f>
        <v>0</v>
      </c>
      <c r="I110" s="566">
        <f t="shared" si="42"/>
        <v>0</v>
      </c>
      <c r="J110" s="573">
        <f>IF(D110&gt;0,'S2'!$BZ$31,0)</f>
        <v>0</v>
      </c>
      <c r="K110" s="567">
        <f t="shared" si="43"/>
        <v>0</v>
      </c>
      <c r="L110" s="567">
        <f t="shared" si="44"/>
        <v>0</v>
      </c>
      <c r="M110" s="568"/>
    </row>
    <row r="111" spans="1:13" x14ac:dyDescent="0.3">
      <c r="A111" s="565"/>
      <c r="B111" s="413" t="s">
        <v>302</v>
      </c>
      <c r="C111" s="379"/>
      <c r="D111" s="570">
        <v>0</v>
      </c>
      <c r="E111" s="421" t="s">
        <v>139</v>
      </c>
      <c r="F111" s="572">
        <f t="shared" si="45"/>
        <v>0</v>
      </c>
      <c r="G111" s="572">
        <f t="shared" si="46"/>
        <v>0</v>
      </c>
      <c r="H111" s="576">
        <f>ROUND(IF(D111&lt;=0,0,215),2)</f>
        <v>0</v>
      </c>
      <c r="I111" s="566">
        <f t="shared" si="42"/>
        <v>0</v>
      </c>
      <c r="J111" s="573">
        <f>IF(D111&gt;0,'S2'!$BZ$31,0)</f>
        <v>0</v>
      </c>
      <c r="K111" s="567">
        <f t="shared" si="43"/>
        <v>0</v>
      </c>
      <c r="L111" s="567">
        <f t="shared" si="44"/>
        <v>0</v>
      </c>
      <c r="M111" s="568"/>
    </row>
    <row r="112" spans="1:13" x14ac:dyDescent="0.3">
      <c r="A112" s="565"/>
      <c r="B112" s="413" t="s">
        <v>303</v>
      </c>
      <c r="C112" s="379"/>
      <c r="D112" s="570">
        <v>0</v>
      </c>
      <c r="E112" s="421" t="s">
        <v>131</v>
      </c>
      <c r="F112" s="572">
        <f t="shared" si="45"/>
        <v>0</v>
      </c>
      <c r="G112" s="572">
        <f t="shared" si="46"/>
        <v>0</v>
      </c>
      <c r="H112" s="576">
        <f>ROUND(IF(D112&lt;=0,0,13270),2)</f>
        <v>0</v>
      </c>
      <c r="I112" s="566">
        <f>D112*H112</f>
        <v>0</v>
      </c>
      <c r="J112" s="573">
        <f>IF(D112&gt;0,'S2'!$BZ$31,0)</f>
        <v>0</v>
      </c>
      <c r="K112" s="567">
        <f>ROUNDDOWN(H112*J112,2)</f>
        <v>0</v>
      </c>
      <c r="L112" s="567">
        <f>D112*K112</f>
        <v>0</v>
      </c>
      <c r="M112" s="568"/>
    </row>
    <row r="113" spans="1:13" x14ac:dyDescent="0.3">
      <c r="A113" s="565"/>
      <c r="B113" s="413" t="s">
        <v>304</v>
      </c>
      <c r="C113" s="379"/>
      <c r="D113" s="570">
        <v>0</v>
      </c>
      <c r="E113" s="421" t="s">
        <v>131</v>
      </c>
      <c r="F113" s="572">
        <f t="shared" si="45"/>
        <v>0</v>
      </c>
      <c r="G113" s="572">
        <f t="shared" si="46"/>
        <v>0</v>
      </c>
      <c r="H113" s="576">
        <f>ROUND(IF(D113&lt;=0,0,5000),2)</f>
        <v>0</v>
      </c>
      <c r="I113" s="566">
        <f t="shared" si="42"/>
        <v>0</v>
      </c>
      <c r="J113" s="573">
        <f>IF(D113&gt;0,'S2'!$BZ$31,0)</f>
        <v>0</v>
      </c>
      <c r="K113" s="567">
        <f t="shared" si="43"/>
        <v>0</v>
      </c>
      <c r="L113" s="567">
        <f t="shared" si="44"/>
        <v>0</v>
      </c>
      <c r="M113" s="568"/>
    </row>
    <row r="114" spans="1:13" x14ac:dyDescent="0.3">
      <c r="A114" s="565"/>
      <c r="B114" s="584" t="s">
        <v>305</v>
      </c>
      <c r="C114" s="585"/>
      <c r="D114" s="570">
        <v>0</v>
      </c>
      <c r="E114" s="421" t="s">
        <v>53</v>
      </c>
      <c r="F114" s="572">
        <f t="shared" si="45"/>
        <v>0</v>
      </c>
      <c r="G114" s="572">
        <f t="shared" si="46"/>
        <v>0</v>
      </c>
      <c r="H114" s="576">
        <f>ROUND(IF(D114&lt;=0,0,810),2)</f>
        <v>0</v>
      </c>
      <c r="I114" s="566">
        <f t="shared" si="42"/>
        <v>0</v>
      </c>
      <c r="J114" s="573">
        <f>IF(D114&gt;0,'S2'!$BZ$31,0)</f>
        <v>0</v>
      </c>
      <c r="K114" s="567">
        <f t="shared" si="43"/>
        <v>0</v>
      </c>
      <c r="L114" s="567">
        <f t="shared" si="44"/>
        <v>0</v>
      </c>
      <c r="M114" s="568"/>
    </row>
    <row r="115" spans="1:13" x14ac:dyDescent="0.3">
      <c r="A115" s="565"/>
      <c r="B115" s="413" t="s">
        <v>306</v>
      </c>
      <c r="C115" s="379"/>
      <c r="D115" s="570">
        <v>0</v>
      </c>
      <c r="E115" s="421" t="s">
        <v>40</v>
      </c>
      <c r="F115" s="572">
        <f>IF(D115&lt;=0,0,)</f>
        <v>0</v>
      </c>
      <c r="G115" s="572">
        <f>IF(D115&lt;=0,0,)</f>
        <v>0</v>
      </c>
      <c r="H115" s="576">
        <f>ROUND(IF(D115&lt;=0,0,10737),2)</f>
        <v>0</v>
      </c>
      <c r="I115" s="566">
        <f>D115*H115</f>
        <v>0</v>
      </c>
      <c r="J115" s="573">
        <v>1.07</v>
      </c>
      <c r="K115" s="567">
        <f>ROUNDDOWN(H115*J115,2)</f>
        <v>0</v>
      </c>
      <c r="L115" s="567">
        <f>D115*K115</f>
        <v>0</v>
      </c>
      <c r="M115" s="568" t="s">
        <v>293</v>
      </c>
    </row>
    <row r="116" spans="1:13" x14ac:dyDescent="0.3">
      <c r="A116" s="565"/>
      <c r="B116" s="413"/>
      <c r="C116" s="413"/>
      <c r="D116" s="575"/>
      <c r="E116" s="421"/>
      <c r="F116" s="572"/>
      <c r="G116" s="572"/>
      <c r="H116" s="576"/>
      <c r="I116" s="566"/>
      <c r="J116" s="573"/>
      <c r="K116" s="567"/>
      <c r="L116" s="567"/>
      <c r="M116" s="568"/>
    </row>
    <row r="117" spans="1:13" x14ac:dyDescent="0.3">
      <c r="A117" s="565">
        <v>6</v>
      </c>
      <c r="B117" s="413" t="s">
        <v>316</v>
      </c>
      <c r="C117" s="413"/>
      <c r="D117" s="575">
        <v>0</v>
      </c>
      <c r="E117" s="421" t="s">
        <v>40</v>
      </c>
      <c r="F117" s="572">
        <f t="shared" ref="F117" si="47">IF(D117&lt;=0,0,)</f>
        <v>0</v>
      </c>
      <c r="G117" s="572">
        <f t="shared" ref="G117" si="48">IF(D117&lt;=0,0,)</f>
        <v>0</v>
      </c>
      <c r="H117" s="576">
        <f>ROUND(IF(D117&lt;=0,0,40000),2)</f>
        <v>0</v>
      </c>
      <c r="I117" s="566">
        <f>D117*H117</f>
        <v>0</v>
      </c>
      <c r="J117" s="573">
        <f>IF(D117&gt;0,'S2'!$BZ$31,0)</f>
        <v>0</v>
      </c>
      <c r="K117" s="567">
        <f>ROUNDDOWN(H117*J117,2)</f>
        <v>0</v>
      </c>
      <c r="L117" s="567">
        <f>D117*K117</f>
        <v>0</v>
      </c>
      <c r="M117" s="568"/>
    </row>
    <row r="118" spans="1:13" x14ac:dyDescent="0.3">
      <c r="A118" s="565"/>
      <c r="B118" s="413" t="s">
        <v>317</v>
      </c>
      <c r="C118" s="413"/>
      <c r="D118" s="575"/>
      <c r="E118" s="421"/>
      <c r="F118" s="572"/>
      <c r="G118" s="572"/>
      <c r="H118" s="576"/>
      <c r="I118" s="566"/>
      <c r="J118" s="567"/>
      <c r="K118" s="567"/>
      <c r="L118" s="567"/>
      <c r="M118" s="568"/>
    </row>
    <row r="119" spans="1:13" x14ac:dyDescent="0.3">
      <c r="A119" s="565"/>
      <c r="B119" s="413" t="s">
        <v>318</v>
      </c>
      <c r="C119" s="413"/>
      <c r="D119" s="575"/>
      <c r="E119" s="421"/>
      <c r="F119" s="572"/>
      <c r="G119" s="572"/>
      <c r="H119" s="576"/>
      <c r="I119" s="566"/>
      <c r="J119" s="567"/>
      <c r="K119" s="567"/>
      <c r="L119" s="567"/>
      <c r="M119" s="568"/>
    </row>
    <row r="120" spans="1:13" x14ac:dyDescent="0.3">
      <c r="A120" s="565"/>
      <c r="B120" s="413" t="s">
        <v>319</v>
      </c>
      <c r="C120" s="413"/>
      <c r="D120" s="575"/>
      <c r="E120" s="421"/>
      <c r="F120" s="572"/>
      <c r="G120" s="572"/>
      <c r="H120" s="576"/>
      <c r="I120" s="566"/>
      <c r="J120" s="567"/>
      <c r="K120" s="567"/>
      <c r="L120" s="567"/>
      <c r="M120" s="568"/>
    </row>
    <row r="121" spans="1:13" x14ac:dyDescent="0.3">
      <c r="A121" s="565"/>
      <c r="B121" s="413" t="s">
        <v>320</v>
      </c>
      <c r="C121" s="413"/>
      <c r="D121" s="575"/>
      <c r="E121" s="421"/>
      <c r="F121" s="572"/>
      <c r="G121" s="572"/>
      <c r="H121" s="576"/>
      <c r="I121" s="566"/>
      <c r="J121" s="567"/>
      <c r="K121" s="567"/>
      <c r="L121" s="567"/>
      <c r="M121" s="568"/>
    </row>
    <row r="122" spans="1:13" x14ac:dyDescent="0.3">
      <c r="A122" s="565"/>
      <c r="B122" s="413" t="s">
        <v>321</v>
      </c>
      <c r="C122" s="413"/>
      <c r="D122" s="575"/>
      <c r="E122" s="421"/>
      <c r="F122" s="572"/>
      <c r="G122" s="572"/>
      <c r="H122" s="576"/>
      <c r="I122" s="566"/>
      <c r="J122" s="567"/>
      <c r="K122" s="567"/>
      <c r="L122" s="567"/>
      <c r="M122" s="568"/>
    </row>
    <row r="123" spans="1:13" x14ac:dyDescent="0.3">
      <c r="A123" s="565"/>
      <c r="B123" s="413" t="s">
        <v>322</v>
      </c>
      <c r="C123" s="413"/>
      <c r="D123" s="575"/>
      <c r="E123" s="421"/>
      <c r="F123" s="572"/>
      <c r="G123" s="572"/>
      <c r="H123" s="576"/>
      <c r="I123" s="566"/>
      <c r="J123" s="567"/>
      <c r="K123" s="567"/>
      <c r="L123" s="567"/>
      <c r="M123" s="568"/>
    </row>
    <row r="124" spans="1:13" x14ac:dyDescent="0.3">
      <c r="A124" s="565"/>
      <c r="B124" s="413" t="s">
        <v>323</v>
      </c>
      <c r="C124" s="379"/>
      <c r="D124" s="569"/>
      <c r="E124" s="571"/>
      <c r="F124" s="572"/>
      <c r="G124" s="572"/>
      <c r="H124" s="566"/>
      <c r="I124" s="566"/>
      <c r="J124" s="567"/>
      <c r="K124" s="567"/>
      <c r="L124" s="567"/>
      <c r="M124" s="568"/>
    </row>
    <row r="125" spans="1:13" x14ac:dyDescent="0.3">
      <c r="A125" s="565"/>
      <c r="B125" s="578" t="s">
        <v>324</v>
      </c>
      <c r="C125" s="379"/>
      <c r="D125" s="569"/>
      <c r="E125" s="571"/>
      <c r="F125" s="572"/>
      <c r="G125" s="572"/>
      <c r="H125" s="566"/>
      <c r="I125" s="566"/>
      <c r="J125" s="567"/>
      <c r="K125" s="567"/>
      <c r="L125" s="567"/>
      <c r="M125" s="568"/>
    </row>
    <row r="126" spans="1:13" x14ac:dyDescent="0.3">
      <c r="A126" s="565"/>
      <c r="B126" s="586"/>
      <c r="C126" s="587"/>
      <c r="D126" s="529"/>
      <c r="E126" s="580"/>
      <c r="F126" s="588"/>
      <c r="G126" s="588"/>
      <c r="H126" s="566"/>
      <c r="I126" s="566"/>
      <c r="J126" s="567"/>
      <c r="K126" s="567"/>
      <c r="L126" s="567"/>
      <c r="M126" s="586"/>
    </row>
    <row r="127" spans="1:13" x14ac:dyDescent="0.3">
      <c r="A127" s="580"/>
      <c r="B127" s="586"/>
      <c r="C127" s="589" t="s">
        <v>30</v>
      </c>
      <c r="D127" s="590"/>
      <c r="E127" s="580"/>
      <c r="F127" s="580"/>
      <c r="G127" s="580"/>
      <c r="H127" s="507"/>
      <c r="I127" s="550">
        <f>SUM(I98:I126)</f>
        <v>21811971.880897</v>
      </c>
      <c r="J127" s="583"/>
      <c r="K127" s="583"/>
      <c r="L127" s="550">
        <f>SUM(L98:L126)</f>
        <v>27205427.000599999</v>
      </c>
      <c r="M127" s="581"/>
    </row>
    <row r="128" spans="1:13" hidden="1" x14ac:dyDescent="0.3">
      <c r="A128" s="379"/>
      <c r="B128" s="379"/>
      <c r="C128" s="591"/>
      <c r="D128" s="592"/>
      <c r="E128" s="379"/>
      <c r="F128" s="379"/>
      <c r="G128" s="379"/>
      <c r="H128" s="379"/>
      <c r="I128" s="593">
        <f>SUM(I98:I114)</f>
        <v>21811971.880897</v>
      </c>
      <c r="J128" s="594"/>
      <c r="K128" s="594"/>
      <c r="L128" s="594"/>
      <c r="M128" s="379"/>
    </row>
    <row r="129" spans="1:13" x14ac:dyDescent="0.3">
      <c r="A129" s="379"/>
      <c r="B129" s="379"/>
      <c r="C129" s="591"/>
      <c r="D129" s="592"/>
      <c r="E129" s="379"/>
      <c r="F129" s="379"/>
      <c r="G129" s="379"/>
      <c r="H129" s="379"/>
      <c r="I129" s="594"/>
      <c r="J129" s="594"/>
      <c r="K129" s="594"/>
      <c r="L129" s="594"/>
      <c r="M129" s="379"/>
    </row>
    <row r="130" spans="1:13" x14ac:dyDescent="0.3">
      <c r="A130" s="379"/>
      <c r="B130" s="379"/>
      <c r="C130" s="379"/>
      <c r="D130" s="426"/>
      <c r="E130" s="379"/>
      <c r="F130" s="379"/>
      <c r="G130" s="379"/>
      <c r="H130" s="379"/>
      <c r="I130" s="379"/>
      <c r="J130" s="379"/>
      <c r="K130" s="379"/>
      <c r="L130" s="379"/>
      <c r="M130" s="379"/>
    </row>
    <row r="131" spans="1:13" x14ac:dyDescent="0.3">
      <c r="A131" s="379"/>
      <c r="B131" s="379"/>
      <c r="C131" s="385"/>
      <c r="D131" s="426"/>
      <c r="E131" s="595"/>
      <c r="F131" s="379"/>
      <c r="G131" s="379"/>
      <c r="H131" s="379"/>
      <c r="I131" s="385"/>
      <c r="J131" s="385"/>
      <c r="K131" s="385"/>
      <c r="L131" s="385"/>
      <c r="M131" s="379"/>
    </row>
    <row r="132" spans="1:13" x14ac:dyDescent="0.3">
      <c r="A132" s="379"/>
      <c r="B132" s="379"/>
      <c r="C132" s="596"/>
      <c r="D132" s="426"/>
      <c r="E132" s="385"/>
      <c r="F132" s="379"/>
      <c r="G132" s="379"/>
      <c r="H132" s="379"/>
      <c r="I132" s="385"/>
      <c r="J132" s="437"/>
      <c r="K132" s="597"/>
      <c r="L132" s="385"/>
      <c r="M132" s="379"/>
    </row>
    <row r="133" spans="1:13" x14ac:dyDescent="0.3">
      <c r="A133" s="379"/>
      <c r="B133" s="379"/>
      <c r="C133" s="379"/>
      <c r="D133" s="426"/>
      <c r="E133" s="379"/>
      <c r="F133" s="437"/>
      <c r="G133" s="598"/>
      <c r="H133" s="385"/>
      <c r="I133" s="385"/>
      <c r="J133" s="385"/>
      <c r="K133" s="385"/>
      <c r="L133" s="385"/>
      <c r="M133" s="379"/>
    </row>
  </sheetData>
  <mergeCells count="21">
    <mergeCell ref="B35:C35"/>
    <mergeCell ref="B43:C43"/>
    <mergeCell ref="B44:C44"/>
    <mergeCell ref="B33:C33"/>
    <mergeCell ref="B18:C18"/>
    <mergeCell ref="A1:M1"/>
    <mergeCell ref="F4:H4"/>
    <mergeCell ref="B16:C16"/>
    <mergeCell ref="B114:C114"/>
    <mergeCell ref="J4:J5"/>
    <mergeCell ref="K4:L4"/>
    <mergeCell ref="J48:J49"/>
    <mergeCell ref="K48:L48"/>
    <mergeCell ref="J96:J97"/>
    <mergeCell ref="K96:L96"/>
    <mergeCell ref="B8:C8"/>
    <mergeCell ref="F96:H96"/>
    <mergeCell ref="A93:M93"/>
    <mergeCell ref="F48:H48"/>
    <mergeCell ref="A45:M45"/>
    <mergeCell ref="B36:C36"/>
  </mergeCells>
  <phoneticPr fontId="0" type="noConversion"/>
  <printOptions horizontalCentered="1"/>
  <pageMargins left="0.15748031496062992" right="0.15748031496062992" top="0.43307086614173229" bottom="0.39370078740157483" header="0" footer="0"/>
  <pageSetup paperSize="9" scale="82" orientation="portrait" blackAndWhite="1" horizontalDpi="360" verticalDpi="360" r:id="rId1"/>
  <headerFooter alignWithMargins="0"/>
  <rowBreaks count="2" manualBreakCount="2">
    <brk id="44" max="16383" man="1"/>
    <brk id="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P43"/>
  <sheetViews>
    <sheetView tabSelected="1" topLeftCell="A19" zoomScaleNormal="100" workbookViewId="0">
      <selection activeCell="F29" sqref="F29"/>
    </sheetView>
  </sheetViews>
  <sheetFormatPr defaultColWidth="9.140625" defaultRowHeight="18.75" x14ac:dyDescent="0.3"/>
  <cols>
    <col min="1" max="1" width="4" style="171" customWidth="1"/>
    <col min="2" max="2" width="11.7109375" style="171" customWidth="1"/>
    <col min="3" max="3" width="7.85546875" style="171" customWidth="1"/>
    <col min="4" max="4" width="7.7109375" style="171" customWidth="1"/>
    <col min="5" max="6" width="9" style="171" customWidth="1"/>
    <col min="7" max="7" width="7.7109375" style="171" customWidth="1"/>
    <col min="8" max="8" width="9.85546875" style="171" customWidth="1"/>
    <col min="9" max="9" width="12.85546875" style="726" customWidth="1"/>
    <col min="10" max="10" width="6.28515625" style="725" customWidth="1"/>
    <col min="11" max="11" width="7.85546875" style="171" customWidth="1"/>
    <col min="12" max="12" width="5.140625" style="171" customWidth="1"/>
    <col min="13" max="13" width="23" style="171" customWidth="1"/>
    <col min="14" max="15" width="9.140625" style="171"/>
    <col min="16" max="16" width="12.85546875" style="171" customWidth="1"/>
    <col min="17" max="17" width="9.140625" style="171"/>
    <col min="18" max="18" width="10" style="171" bestFit="1" customWidth="1"/>
    <col min="19" max="16384" width="9.140625" style="171"/>
  </cols>
  <sheetData>
    <row r="1" spans="1:12" s="517" customFormat="1" ht="23.25" customHeight="1" x14ac:dyDescent="0.3">
      <c r="A1" s="380" t="s">
        <v>1405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2" s="517" customFormat="1" ht="23.25" customHeight="1" x14ac:dyDescent="0.3">
      <c r="A2" s="380" t="str">
        <f>ข้อมูล!$B$2</f>
        <v>องค์การบริหารส่วนจังหวัดพะเยา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</row>
    <row r="3" spans="1:12" x14ac:dyDescent="0.3">
      <c r="D3" s="491"/>
      <c r="E3" s="491"/>
      <c r="F3" s="491"/>
      <c r="G3" s="491"/>
      <c r="I3" s="724" t="str">
        <f>ข้อมูล!$I$3</f>
        <v>วันที่   24  เดือน  กันยายน      พ.ศ. 2567</v>
      </c>
    </row>
    <row r="4" spans="1:12" x14ac:dyDescent="0.3">
      <c r="A4" s="491" t="s">
        <v>1340</v>
      </c>
      <c r="C4" s="171" t="str">
        <f>ข้อมูล!D4</f>
        <v>โครงการปรับปรุงโครงสร้างพื้นฐานเพื่อการท่องเที่ยวเชิงสร้างสรรค์</v>
      </c>
      <c r="D4" s="491"/>
      <c r="E4" s="491"/>
      <c r="F4" s="491"/>
      <c r="G4" s="491"/>
      <c r="I4" s="724"/>
    </row>
    <row r="5" spans="1:12" x14ac:dyDescent="0.3">
      <c r="C5" s="495" t="str">
        <f>ข้อมูล!$D$5</f>
        <v>ซ่อมสร้างและขยายผิวจราจรถนน ทางหลวงหมายเลข 1 ตอนเดิมเข้าเมืองพะเยา  ต.บ้านต๋อม อ.เมืองพะเยา จ.พะเยา</v>
      </c>
    </row>
    <row r="6" spans="1:12" x14ac:dyDescent="0.3">
      <c r="A6" s="491" t="s">
        <v>1341</v>
      </c>
      <c r="C6" s="171" t="str">
        <f>ข้อมูล!$D$6</f>
        <v>องค์การบริหารส่วนจังหวัดพะเยา</v>
      </c>
    </row>
    <row r="7" spans="1:12" x14ac:dyDescent="0.3">
      <c r="A7" s="491" t="s">
        <v>1342</v>
      </c>
      <c r="C7" s="497"/>
      <c r="E7" s="727" t="s">
        <v>179</v>
      </c>
      <c r="F7" s="379" t="str">
        <f>ข้อมูล!F7</f>
        <v>ทางหลวงหมายเลข 1 ตอน ทางเดิมเข้าเมืองพะเยา ต.บ้านต๋อม อ.เมืองพะเยา จ.พะเยา</v>
      </c>
      <c r="G7" s="379"/>
    </row>
    <row r="8" spans="1:12" ht="21.75" customHeight="1" x14ac:dyDescent="0.3">
      <c r="A8" s="491" t="s">
        <v>1343</v>
      </c>
      <c r="C8" s="403" t="str">
        <f>ข้อมูล!$C$8</f>
        <v>ทางหลวงหมายเลข 1 ตอนเดิมเข้าเมืองพะเยา  ต.บ้านต๋อม อ.เมือง จ.พะเยา</v>
      </c>
      <c r="G8" s="728"/>
      <c r="H8" s="725"/>
      <c r="I8" s="171"/>
      <c r="J8" s="171"/>
    </row>
    <row r="9" spans="1:12" x14ac:dyDescent="0.3">
      <c r="A9" s="491" t="s">
        <v>1344</v>
      </c>
      <c r="C9" s="171" t="s">
        <v>180</v>
      </c>
      <c r="E9" s="729" t="s">
        <v>632</v>
      </c>
      <c r="G9" s="494" t="s">
        <v>617</v>
      </c>
      <c r="I9" s="730" t="s">
        <v>618</v>
      </c>
      <c r="J9" s="725" t="s">
        <v>53</v>
      </c>
    </row>
    <row r="10" spans="1:12" x14ac:dyDescent="0.3">
      <c r="E10" s="498"/>
      <c r="H10" s="491"/>
      <c r="I10" s="498"/>
    </row>
    <row r="11" spans="1:12" x14ac:dyDescent="0.3">
      <c r="A11" s="392" t="s">
        <v>628</v>
      </c>
      <c r="B11" s="379"/>
      <c r="D11" s="731"/>
      <c r="E11" s="731">
        <v>2.4</v>
      </c>
      <c r="F11" s="728" t="s">
        <v>44</v>
      </c>
      <c r="G11" s="732" t="s">
        <v>606</v>
      </c>
      <c r="H11" s="732"/>
      <c r="I11" s="498" t="str">
        <f>+I9</f>
        <v>10.50</v>
      </c>
      <c r="J11" s="725" t="s">
        <v>53</v>
      </c>
    </row>
    <row r="12" spans="1:12" x14ac:dyDescent="0.3">
      <c r="A12" s="732" t="s">
        <v>619</v>
      </c>
      <c r="B12" s="732"/>
      <c r="C12" s="733" t="s">
        <v>603</v>
      </c>
      <c r="D12" s="497" t="s">
        <v>181</v>
      </c>
      <c r="E12" s="733" t="s">
        <v>607</v>
      </c>
      <c r="G12" s="732"/>
      <c r="H12" s="732"/>
      <c r="I12" s="734"/>
      <c r="J12" s="735"/>
    </row>
    <row r="13" spans="1:12" x14ac:dyDescent="0.3">
      <c r="C13" s="733" t="s">
        <v>608</v>
      </c>
      <c r="D13" s="497"/>
      <c r="E13" s="733" t="s">
        <v>612</v>
      </c>
      <c r="G13" s="732" t="s">
        <v>609</v>
      </c>
      <c r="H13" s="732"/>
      <c r="I13" s="734">
        <v>1.2</v>
      </c>
      <c r="J13" s="735" t="s">
        <v>44</v>
      </c>
    </row>
    <row r="14" spans="1:12" x14ac:dyDescent="0.3">
      <c r="A14" s="732" t="s">
        <v>620</v>
      </c>
      <c r="B14" s="732"/>
      <c r="C14" s="733" t="s">
        <v>603</v>
      </c>
      <c r="D14" s="497" t="s">
        <v>181</v>
      </c>
      <c r="E14" s="733" t="s">
        <v>610</v>
      </c>
      <c r="I14" s="171"/>
      <c r="J14" s="171"/>
    </row>
    <row r="15" spans="1:12" x14ac:dyDescent="0.3">
      <c r="C15" s="733" t="s">
        <v>611</v>
      </c>
      <c r="D15" s="497"/>
      <c r="E15" s="733" t="s">
        <v>613</v>
      </c>
      <c r="G15" s="732" t="s">
        <v>609</v>
      </c>
      <c r="H15" s="732"/>
      <c r="I15" s="734">
        <v>1.2</v>
      </c>
      <c r="J15" s="735" t="s">
        <v>44</v>
      </c>
    </row>
    <row r="16" spans="1:12" x14ac:dyDescent="0.3">
      <c r="B16" s="736" t="s">
        <v>623</v>
      </c>
      <c r="C16" s="736"/>
      <c r="D16" s="732"/>
      <c r="E16" s="732"/>
      <c r="F16" s="732"/>
      <c r="G16" s="732"/>
      <c r="H16" s="737">
        <f>'0+000-1+200'!E59</f>
        <v>29706</v>
      </c>
      <c r="I16" s="497" t="s">
        <v>329</v>
      </c>
      <c r="J16" s="735"/>
      <c r="K16" s="738"/>
    </row>
    <row r="17" spans="1:16" x14ac:dyDescent="0.3">
      <c r="C17" s="401" t="s">
        <v>334</v>
      </c>
      <c r="E17" s="497"/>
      <c r="H17" s="739"/>
      <c r="I17" s="738"/>
      <c r="J17" s="735"/>
      <c r="K17" s="738"/>
    </row>
    <row r="18" spans="1:16" ht="21.75" customHeight="1" x14ac:dyDescent="0.3">
      <c r="A18" s="502" t="s">
        <v>0</v>
      </c>
      <c r="B18" s="740" t="s">
        <v>333</v>
      </c>
      <c r="C18" s="741"/>
      <c r="D18" s="741"/>
      <c r="E18" s="741"/>
      <c r="F18" s="741"/>
      <c r="G18" s="742"/>
      <c r="H18" s="743" t="s">
        <v>183</v>
      </c>
      <c r="I18" s="744"/>
      <c r="J18" s="745" t="s">
        <v>184</v>
      </c>
      <c r="K18" s="746"/>
      <c r="L18" s="747"/>
      <c r="N18" s="171" t="s">
        <v>636</v>
      </c>
    </row>
    <row r="19" spans="1:16" x14ac:dyDescent="0.3">
      <c r="A19" s="512">
        <v>1</v>
      </c>
      <c r="B19" s="748" t="s">
        <v>290</v>
      </c>
      <c r="C19" s="749"/>
      <c r="D19" s="749"/>
      <c r="E19" s="749"/>
      <c r="F19" s="749"/>
      <c r="G19" s="750"/>
      <c r="H19" s="751">
        <f>ปร.4!L44</f>
        <v>27205427.000599999</v>
      </c>
      <c r="I19" s="752"/>
      <c r="J19" s="753" t="s">
        <v>2</v>
      </c>
      <c r="K19" s="754"/>
      <c r="L19" s="755"/>
    </row>
    <row r="20" spans="1:16" x14ac:dyDescent="0.3">
      <c r="A20" s="512">
        <v>2</v>
      </c>
      <c r="B20" s="756" t="s">
        <v>328</v>
      </c>
      <c r="C20" s="757"/>
      <c r="D20" s="757"/>
      <c r="E20" s="757"/>
      <c r="F20" s="757"/>
      <c r="G20" s="758"/>
      <c r="H20" s="759">
        <v>5900</v>
      </c>
      <c r="I20" s="760"/>
      <c r="J20" s="761" t="s">
        <v>185</v>
      </c>
      <c r="K20" s="493"/>
      <c r="L20" s="762">
        <f>ข้อมูล!$Q$9/100</f>
        <v>0</v>
      </c>
    </row>
    <row r="21" spans="1:16" x14ac:dyDescent="0.3">
      <c r="A21" s="513"/>
      <c r="B21" s="514"/>
      <c r="H21" s="763">
        <v>0</v>
      </c>
      <c r="I21" s="760"/>
      <c r="J21" s="761" t="s">
        <v>186</v>
      </c>
      <c r="K21" s="493"/>
      <c r="L21" s="762">
        <f>ข้อมูล!$Q$8/100</f>
        <v>0.06</v>
      </c>
    </row>
    <row r="22" spans="1:16" x14ac:dyDescent="0.3">
      <c r="A22" s="513"/>
      <c r="B22" s="756"/>
      <c r="C22" s="757"/>
      <c r="D22" s="757"/>
      <c r="E22" s="757"/>
      <c r="F22" s="757"/>
      <c r="G22" s="758"/>
      <c r="H22" s="759"/>
      <c r="I22" s="760"/>
      <c r="J22" s="761" t="s">
        <v>187</v>
      </c>
      <c r="K22" s="493"/>
      <c r="L22" s="762">
        <f>ข้อมูล!$Q$11/100</f>
        <v>0</v>
      </c>
    </row>
    <row r="23" spans="1:16" x14ac:dyDescent="0.3">
      <c r="A23" s="513"/>
      <c r="B23" s="756"/>
      <c r="C23" s="757"/>
      <c r="D23" s="757"/>
      <c r="E23" s="757"/>
      <c r="F23" s="757"/>
      <c r="G23" s="758"/>
      <c r="H23" s="759"/>
      <c r="I23" s="760"/>
      <c r="J23" s="761" t="s">
        <v>188</v>
      </c>
      <c r="K23" s="764" t="str">
        <f>ข้อมูล!$E$168</f>
        <v>ฝนตกปกติ</v>
      </c>
      <c r="L23" s="755"/>
    </row>
    <row r="24" spans="1:16" x14ac:dyDescent="0.3">
      <c r="A24" s="513" t="s">
        <v>189</v>
      </c>
      <c r="B24" s="514" t="s">
        <v>291</v>
      </c>
      <c r="H24" s="765">
        <f>SUM(H19:I23)</f>
        <v>27211327.000599999</v>
      </c>
      <c r="I24" s="766"/>
      <c r="J24" s="767"/>
      <c r="K24" s="754"/>
      <c r="L24" s="768"/>
    </row>
    <row r="25" spans="1:16" ht="19.5" thickBot="1" x14ac:dyDescent="0.35">
      <c r="A25" s="513"/>
      <c r="B25" s="514" t="s">
        <v>292</v>
      </c>
      <c r="H25" s="769">
        <f>IF(H24&lt;10000000,ROUNDDOWN(H24,-0.2),ROUNDDOWN(H24,-0.2))</f>
        <v>27211327</v>
      </c>
      <c r="I25" s="770"/>
      <c r="J25" s="753"/>
      <c r="L25" s="755"/>
      <c r="M25" s="771">
        <v>26120000</v>
      </c>
      <c r="P25" s="772"/>
    </row>
    <row r="26" spans="1:16" ht="19.5" thickTop="1" x14ac:dyDescent="0.3">
      <c r="A26" s="515"/>
      <c r="B26" s="773" t="str">
        <f xml:space="preserve"> "("&amp;BAHTTEXT($H$25)&amp;")"</f>
        <v>(ยี่สิบเจ็ดล้านสองแสนหนึ่งหมื่นหนึ่งพันสามร้อยยี่สิบเจ็ดบาทถ้วน)</v>
      </c>
      <c r="C26" s="510"/>
      <c r="D26" s="516"/>
      <c r="E26" s="516"/>
      <c r="F26" s="516"/>
      <c r="G26" s="516"/>
      <c r="H26" s="516"/>
      <c r="I26" s="774"/>
      <c r="J26" s="775"/>
      <c r="K26" s="516"/>
      <c r="L26" s="776"/>
      <c r="M26" s="772">
        <f>H25-M25</f>
        <v>1091327</v>
      </c>
      <c r="N26" s="171" t="s">
        <v>1256</v>
      </c>
    </row>
    <row r="27" spans="1:16" x14ac:dyDescent="0.3">
      <c r="B27" s="171" t="s">
        <v>190</v>
      </c>
      <c r="D27" s="777">
        <f>I15</f>
        <v>1.2</v>
      </c>
      <c r="E27" s="777"/>
      <c r="F27" s="171" t="s">
        <v>44</v>
      </c>
    </row>
    <row r="28" spans="1:16" x14ac:dyDescent="0.3">
      <c r="B28" s="171" t="s">
        <v>191</v>
      </c>
      <c r="D28" s="778">
        <f>H25/I15</f>
        <v>22676105.833333336</v>
      </c>
      <c r="E28" s="778"/>
      <c r="F28" s="171" t="s">
        <v>47</v>
      </c>
    </row>
    <row r="29" spans="1:16" s="517" customFormat="1" ht="19.5" customHeight="1" x14ac:dyDescent="0.3">
      <c r="B29" s="171"/>
      <c r="C29" s="171"/>
      <c r="D29" s="171"/>
      <c r="E29" s="171"/>
      <c r="F29" s="171"/>
      <c r="G29" s="380"/>
      <c r="H29" s="380"/>
      <c r="I29" s="380"/>
      <c r="J29" s="380"/>
      <c r="K29" s="380"/>
      <c r="L29" s="380"/>
    </row>
    <row r="30" spans="1:16" s="517" customFormat="1" ht="24.95" customHeight="1" x14ac:dyDescent="0.3">
      <c r="B30" s="171"/>
      <c r="C30" s="171"/>
      <c r="D30" s="171"/>
      <c r="E30" s="171"/>
      <c r="F30" s="171"/>
      <c r="G30" s="779" t="s">
        <v>1400</v>
      </c>
      <c r="H30" s="779"/>
      <c r="I30" s="779"/>
      <c r="J30" s="779"/>
      <c r="K30" s="779"/>
      <c r="L30" s="779"/>
    </row>
    <row r="31" spans="1:16" x14ac:dyDescent="0.3">
      <c r="A31" s="517"/>
      <c r="G31" s="779" t="s">
        <v>337</v>
      </c>
      <c r="H31" s="779"/>
      <c r="I31" s="779"/>
      <c r="J31" s="779"/>
      <c r="K31" s="779"/>
      <c r="L31" s="779"/>
    </row>
    <row r="32" spans="1:16" x14ac:dyDescent="0.3">
      <c r="A32" s="517"/>
      <c r="G32" s="779" t="s">
        <v>338</v>
      </c>
      <c r="H32" s="779"/>
      <c r="I32" s="779"/>
      <c r="J32" s="779"/>
      <c r="K32" s="779"/>
      <c r="L32" s="779"/>
    </row>
    <row r="33" spans="2:12" ht="24.95" customHeight="1" x14ac:dyDescent="0.3">
      <c r="G33" s="779" t="s">
        <v>1401</v>
      </c>
      <c r="H33" s="779"/>
      <c r="I33" s="779"/>
      <c r="J33" s="779"/>
      <c r="K33" s="779"/>
      <c r="L33" s="779"/>
    </row>
    <row r="34" spans="2:12" x14ac:dyDescent="0.3">
      <c r="G34" s="779" t="s">
        <v>335</v>
      </c>
      <c r="H34" s="779"/>
      <c r="I34" s="779"/>
      <c r="J34" s="779"/>
      <c r="K34" s="779"/>
      <c r="L34" s="779"/>
    </row>
    <row r="35" spans="2:12" x14ac:dyDescent="0.3">
      <c r="G35" s="779" t="s">
        <v>336</v>
      </c>
      <c r="H35" s="779"/>
      <c r="I35" s="779"/>
      <c r="J35" s="779"/>
      <c r="K35" s="779"/>
      <c r="L35" s="779"/>
    </row>
    <row r="36" spans="2:12" ht="24.95" customHeight="1" x14ac:dyDescent="0.3">
      <c r="C36" s="517"/>
      <c r="D36" s="517"/>
      <c r="E36" s="517"/>
      <c r="F36" s="517"/>
      <c r="G36" s="779" t="s">
        <v>1402</v>
      </c>
      <c r="H36" s="779"/>
      <c r="I36" s="779"/>
      <c r="J36" s="779"/>
      <c r="K36" s="779"/>
      <c r="L36" s="779"/>
    </row>
    <row r="37" spans="2:12" x14ac:dyDescent="0.3">
      <c r="B37" s="517"/>
      <c r="C37" s="517"/>
      <c r="G37" s="779" t="s">
        <v>1403</v>
      </c>
      <c r="H37" s="779"/>
      <c r="I37" s="779"/>
      <c r="J37" s="779"/>
      <c r="K37" s="779"/>
      <c r="L37" s="779"/>
    </row>
    <row r="38" spans="2:12" x14ac:dyDescent="0.3">
      <c r="B38" s="517"/>
      <c r="C38" s="517"/>
      <c r="G38" s="779" t="s">
        <v>1404</v>
      </c>
      <c r="H38" s="779"/>
      <c r="I38" s="779"/>
      <c r="J38" s="779"/>
      <c r="K38" s="779"/>
      <c r="L38" s="779"/>
    </row>
    <row r="39" spans="2:12" x14ac:dyDescent="0.3">
      <c r="I39" s="171"/>
      <c r="J39" s="171"/>
    </row>
    <row r="40" spans="2:12" x14ac:dyDescent="0.3">
      <c r="G40" s="497"/>
      <c r="H40" s="497"/>
      <c r="I40" s="497"/>
      <c r="J40" s="497"/>
      <c r="K40" s="497"/>
      <c r="L40" s="497"/>
    </row>
    <row r="41" spans="2:12" x14ac:dyDescent="0.3">
      <c r="G41" s="497"/>
      <c r="H41" s="497"/>
      <c r="I41" s="497"/>
      <c r="J41" s="497"/>
      <c r="K41" s="497"/>
      <c r="L41" s="497"/>
    </row>
    <row r="42" spans="2:12" x14ac:dyDescent="0.3">
      <c r="G42" s="497"/>
      <c r="H42" s="497"/>
      <c r="I42" s="497"/>
      <c r="J42" s="497"/>
      <c r="K42" s="497"/>
      <c r="L42" s="497"/>
    </row>
    <row r="43" spans="2:12" x14ac:dyDescent="0.3">
      <c r="G43" s="497"/>
      <c r="H43" s="497"/>
      <c r="I43" s="497"/>
      <c r="J43" s="497"/>
      <c r="K43" s="497"/>
      <c r="L43" s="497"/>
    </row>
  </sheetData>
  <mergeCells count="35">
    <mergeCell ref="H25:I25"/>
    <mergeCell ref="H21:I21"/>
    <mergeCell ref="B22:G22"/>
    <mergeCell ref="H22:I22"/>
    <mergeCell ref="B23:G23"/>
    <mergeCell ref="H23:I23"/>
    <mergeCell ref="B19:G19"/>
    <mergeCell ref="H19:I19"/>
    <mergeCell ref="H20:I20"/>
    <mergeCell ref="B20:G20"/>
    <mergeCell ref="H24:I24"/>
    <mergeCell ref="A1:L1"/>
    <mergeCell ref="A2:L2"/>
    <mergeCell ref="J18:L18"/>
    <mergeCell ref="B18:G18"/>
    <mergeCell ref="H18:I18"/>
    <mergeCell ref="G11:H11"/>
    <mergeCell ref="A12:B12"/>
    <mergeCell ref="G12:H12"/>
    <mergeCell ref="A14:B14"/>
    <mergeCell ref="G15:H15"/>
    <mergeCell ref="G13:H13"/>
    <mergeCell ref="B16:G16"/>
    <mergeCell ref="G29:L29"/>
    <mergeCell ref="G36:L36"/>
    <mergeCell ref="D27:E27"/>
    <mergeCell ref="D28:E28"/>
    <mergeCell ref="G34:L34"/>
    <mergeCell ref="G35:L35"/>
    <mergeCell ref="G38:L38"/>
    <mergeCell ref="G33:L33"/>
    <mergeCell ref="G31:L31"/>
    <mergeCell ref="G32:L32"/>
    <mergeCell ref="G30:L30"/>
    <mergeCell ref="G37:L37"/>
  </mergeCells>
  <phoneticPr fontId="0" type="noConversion"/>
  <pageMargins left="0.74803149606299213" right="0.55118110236220474" top="0" bottom="0" header="0.51181102362204722" footer="0.51181102362204722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P92"/>
  <sheetViews>
    <sheetView topLeftCell="A40" zoomScale="89" zoomScaleNormal="89" workbookViewId="0">
      <selection activeCell="H59" sqref="H59"/>
    </sheetView>
  </sheetViews>
  <sheetFormatPr defaultRowHeight="18.75" x14ac:dyDescent="0.3"/>
  <cols>
    <col min="1" max="1" width="19" style="90" customWidth="1"/>
    <col min="2" max="2" width="13" style="91" customWidth="1"/>
    <col min="3" max="3" width="17.7109375" style="91" customWidth="1"/>
    <col min="4" max="5" width="18" style="91" customWidth="1"/>
    <col min="6" max="6" width="13" style="91" customWidth="1"/>
    <col min="7" max="7" width="15.42578125" style="91" customWidth="1"/>
    <col min="8" max="8" width="17.42578125" style="91" customWidth="1"/>
    <col min="9" max="9" width="21" style="91" customWidth="1"/>
    <col min="10" max="10" width="13" style="91" customWidth="1"/>
    <col min="11" max="11" width="12.7109375" style="80" customWidth="1"/>
    <col min="12" max="15" width="16" style="80" customWidth="1"/>
    <col min="16" max="16" width="34.85546875" style="80" customWidth="1"/>
    <col min="17" max="16384" width="9.140625" style="80"/>
  </cols>
  <sheetData>
    <row r="1" spans="1:16" ht="22.5" customHeight="1" x14ac:dyDescent="0.3">
      <c r="A1" s="77" t="s">
        <v>339</v>
      </c>
      <c r="B1" s="78" t="s">
        <v>340</v>
      </c>
      <c r="C1" s="78" t="s">
        <v>588</v>
      </c>
      <c r="D1" s="78" t="s">
        <v>589</v>
      </c>
      <c r="E1" s="78" t="s">
        <v>590</v>
      </c>
      <c r="F1" s="78" t="s">
        <v>342</v>
      </c>
      <c r="G1" s="78" t="s">
        <v>591</v>
      </c>
      <c r="H1" s="78" t="s">
        <v>592</v>
      </c>
      <c r="I1" s="78" t="s">
        <v>590</v>
      </c>
      <c r="J1" s="78" t="s">
        <v>344</v>
      </c>
      <c r="K1" s="79" t="s">
        <v>30</v>
      </c>
      <c r="L1" s="79" t="s">
        <v>373</v>
      </c>
      <c r="M1" s="79" t="s">
        <v>375</v>
      </c>
      <c r="N1" s="79" t="s">
        <v>374</v>
      </c>
      <c r="O1" s="79" t="s">
        <v>372</v>
      </c>
      <c r="P1" s="79"/>
    </row>
    <row r="2" spans="1:16" ht="22.5" customHeight="1" x14ac:dyDescent="0.3">
      <c r="A2" s="81">
        <v>0</v>
      </c>
      <c r="B2" s="82">
        <v>2.7</v>
      </c>
      <c r="C2" s="82">
        <v>9.3000000000000007</v>
      </c>
      <c r="D2" s="82"/>
      <c r="E2" s="82"/>
      <c r="F2" s="82">
        <v>4.4000000000000004</v>
      </c>
      <c r="G2" s="82">
        <v>10.3</v>
      </c>
      <c r="H2" s="82"/>
      <c r="I2" s="82"/>
      <c r="J2" s="82">
        <v>3.8</v>
      </c>
      <c r="K2" s="83">
        <f>+B2+C2+F2+G2+J2</f>
        <v>30.5</v>
      </c>
      <c r="L2" s="83">
        <f>B2+J2</f>
        <v>6.5</v>
      </c>
      <c r="M2" s="83">
        <v>0</v>
      </c>
      <c r="N2" s="83"/>
      <c r="O2" s="83"/>
      <c r="P2" s="84" t="s">
        <v>345</v>
      </c>
    </row>
    <row r="3" spans="1:16" ht="22.5" customHeight="1" x14ac:dyDescent="0.3">
      <c r="A3" s="85">
        <v>25</v>
      </c>
      <c r="B3" s="86">
        <v>4.4000000000000004</v>
      </c>
      <c r="C3" s="86">
        <v>7.7</v>
      </c>
      <c r="D3" s="86">
        <f>(C2+C3)/2</f>
        <v>8.5</v>
      </c>
      <c r="E3" s="86">
        <f>D3*25</f>
        <v>212.5</v>
      </c>
      <c r="F3" s="86">
        <v>4.3</v>
      </c>
      <c r="G3" s="86">
        <v>7.5</v>
      </c>
      <c r="H3" s="86">
        <f>(G2+G3)/2</f>
        <v>8.9</v>
      </c>
      <c r="I3" s="86">
        <f>H3*25</f>
        <v>222.5</v>
      </c>
      <c r="J3" s="86">
        <v>4.0999999999999996</v>
      </c>
      <c r="K3" s="87">
        <f t="shared" ref="K3:K50" si="0">+B3+C3+F3+G3+J3</f>
        <v>28</v>
      </c>
      <c r="L3" s="83">
        <f t="shared" ref="L3:L50" si="1">B3+J3</f>
        <v>8.5</v>
      </c>
      <c r="M3" s="83">
        <f>(L2+L3)/2</f>
        <v>7.5</v>
      </c>
      <c r="N3" s="93">
        <f>M3*25</f>
        <v>187.5</v>
      </c>
      <c r="O3" s="93"/>
      <c r="P3" s="88"/>
    </row>
    <row r="4" spans="1:16" ht="22.5" customHeight="1" x14ac:dyDescent="0.3">
      <c r="A4" s="85">
        <v>50</v>
      </c>
      <c r="B4" s="86">
        <v>4.0999999999999996</v>
      </c>
      <c r="C4" s="86">
        <v>7.65</v>
      </c>
      <c r="D4" s="86">
        <f t="shared" ref="D4:D50" si="2">(C3+C4)/2</f>
        <v>7.6750000000000007</v>
      </c>
      <c r="E4" s="86">
        <f t="shared" ref="E4:E50" si="3">D4*25</f>
        <v>191.87500000000003</v>
      </c>
      <c r="F4" s="86">
        <v>4.3</v>
      </c>
      <c r="G4" s="86">
        <v>7.5</v>
      </c>
      <c r="H4" s="86">
        <f t="shared" ref="H4:H50" si="4">(G3+G4)/2</f>
        <v>7.5</v>
      </c>
      <c r="I4" s="86">
        <f t="shared" ref="I4:I50" si="5">H4*25</f>
        <v>187.5</v>
      </c>
      <c r="J4" s="86">
        <v>4.0999999999999996</v>
      </c>
      <c r="K4" s="87">
        <f t="shared" si="0"/>
        <v>27.65</v>
      </c>
      <c r="L4" s="83">
        <f t="shared" si="1"/>
        <v>8.1999999999999993</v>
      </c>
      <c r="M4" s="83">
        <f>(L3+L4)/2</f>
        <v>8.35</v>
      </c>
      <c r="N4" s="93">
        <f>M4*25</f>
        <v>208.75</v>
      </c>
      <c r="O4" s="93"/>
      <c r="P4" s="88"/>
    </row>
    <row r="5" spans="1:16" ht="22.5" customHeight="1" x14ac:dyDescent="0.3">
      <c r="A5" s="85">
        <v>75</v>
      </c>
      <c r="B5" s="86">
        <v>5.5</v>
      </c>
      <c r="C5" s="86">
        <v>7.7</v>
      </c>
      <c r="D5" s="86">
        <f t="shared" si="2"/>
        <v>7.6750000000000007</v>
      </c>
      <c r="E5" s="86">
        <f t="shared" si="3"/>
        <v>191.87500000000003</v>
      </c>
      <c r="F5" s="86">
        <v>4.3</v>
      </c>
      <c r="G5" s="86">
        <v>7.8</v>
      </c>
      <c r="H5" s="86">
        <f t="shared" si="4"/>
        <v>7.65</v>
      </c>
      <c r="I5" s="86">
        <f t="shared" si="5"/>
        <v>191.25</v>
      </c>
      <c r="J5" s="86">
        <v>5</v>
      </c>
      <c r="K5" s="87">
        <f t="shared" si="0"/>
        <v>30.3</v>
      </c>
      <c r="L5" s="83">
        <f t="shared" si="1"/>
        <v>10.5</v>
      </c>
      <c r="M5" s="83">
        <f t="shared" ref="M5:M50" si="6">(L4+L5)/2</f>
        <v>9.35</v>
      </c>
      <c r="N5" s="93">
        <f t="shared" ref="N5:N49" si="7">M5*25</f>
        <v>233.75</v>
      </c>
      <c r="O5" s="93"/>
      <c r="P5" s="88"/>
    </row>
    <row r="6" spans="1:16" ht="22.5" customHeight="1" x14ac:dyDescent="0.3">
      <c r="A6" s="85">
        <v>100</v>
      </c>
      <c r="B6" s="86">
        <v>5.7</v>
      </c>
      <c r="C6" s="86">
        <v>7.7</v>
      </c>
      <c r="D6" s="86">
        <f t="shared" si="2"/>
        <v>7.7</v>
      </c>
      <c r="E6" s="86">
        <f t="shared" si="3"/>
        <v>192.5</v>
      </c>
      <c r="F6" s="86">
        <v>4.3</v>
      </c>
      <c r="G6" s="86">
        <v>7.75</v>
      </c>
      <c r="H6" s="86">
        <f t="shared" si="4"/>
        <v>7.7750000000000004</v>
      </c>
      <c r="I6" s="86">
        <f t="shared" si="5"/>
        <v>194.375</v>
      </c>
      <c r="J6" s="86">
        <v>5</v>
      </c>
      <c r="K6" s="87">
        <f t="shared" si="0"/>
        <v>30.45</v>
      </c>
      <c r="L6" s="83">
        <f t="shared" si="1"/>
        <v>10.7</v>
      </c>
      <c r="M6" s="83">
        <f t="shared" si="6"/>
        <v>10.6</v>
      </c>
      <c r="N6" s="93">
        <f t="shared" si="7"/>
        <v>265</v>
      </c>
      <c r="O6" s="93"/>
      <c r="P6" s="88"/>
    </row>
    <row r="7" spans="1:16" ht="22.5" customHeight="1" x14ac:dyDescent="0.3">
      <c r="A7" s="85">
        <v>125</v>
      </c>
      <c r="B7" s="86">
        <v>7.7</v>
      </c>
      <c r="C7" s="86">
        <v>7.75</v>
      </c>
      <c r="D7" s="86">
        <f t="shared" si="2"/>
        <v>7.7249999999999996</v>
      </c>
      <c r="E7" s="86">
        <f t="shared" si="3"/>
        <v>193.125</v>
      </c>
      <c r="F7" s="86">
        <v>4.9000000000000004</v>
      </c>
      <c r="G7" s="86">
        <v>7.7</v>
      </c>
      <c r="H7" s="86">
        <f t="shared" si="4"/>
        <v>7.7249999999999996</v>
      </c>
      <c r="I7" s="86">
        <f t="shared" si="5"/>
        <v>193.125</v>
      </c>
      <c r="J7" s="86">
        <v>9.6999999999999993</v>
      </c>
      <c r="K7" s="87">
        <f t="shared" si="0"/>
        <v>37.75</v>
      </c>
      <c r="L7" s="83">
        <f t="shared" si="1"/>
        <v>17.399999999999999</v>
      </c>
      <c r="M7" s="83">
        <f t="shared" si="6"/>
        <v>14.049999999999999</v>
      </c>
      <c r="N7" s="93">
        <f t="shared" si="7"/>
        <v>351.25</v>
      </c>
      <c r="O7" s="93"/>
      <c r="P7" s="88"/>
    </row>
    <row r="8" spans="1:16" ht="22.5" customHeight="1" x14ac:dyDescent="0.3">
      <c r="A8" s="85">
        <v>150</v>
      </c>
      <c r="B8" s="86">
        <v>7.1</v>
      </c>
      <c r="C8" s="86">
        <v>7.75</v>
      </c>
      <c r="D8" s="86">
        <f t="shared" si="2"/>
        <v>7.75</v>
      </c>
      <c r="E8" s="86">
        <f t="shared" si="3"/>
        <v>193.75</v>
      </c>
      <c r="F8" s="86">
        <v>4.9000000000000004</v>
      </c>
      <c r="G8" s="86">
        <v>7.75</v>
      </c>
      <c r="H8" s="86">
        <f t="shared" si="4"/>
        <v>7.7249999999999996</v>
      </c>
      <c r="I8" s="86">
        <f t="shared" si="5"/>
        <v>193.125</v>
      </c>
      <c r="J8" s="86">
        <v>9.1999999999999993</v>
      </c>
      <c r="K8" s="87">
        <f t="shared" si="0"/>
        <v>36.700000000000003</v>
      </c>
      <c r="L8" s="83">
        <f t="shared" si="1"/>
        <v>16.299999999999997</v>
      </c>
      <c r="M8" s="83">
        <f t="shared" si="6"/>
        <v>16.849999999999998</v>
      </c>
      <c r="N8" s="93">
        <f t="shared" si="7"/>
        <v>421.24999999999994</v>
      </c>
      <c r="O8" s="93"/>
      <c r="P8" s="88"/>
    </row>
    <row r="9" spans="1:16" ht="22.5" customHeight="1" x14ac:dyDescent="0.3">
      <c r="A9" s="85">
        <v>175</v>
      </c>
      <c r="B9" s="86">
        <v>7</v>
      </c>
      <c r="C9" s="86">
        <v>7.7</v>
      </c>
      <c r="D9" s="86">
        <f t="shared" si="2"/>
        <v>7.7249999999999996</v>
      </c>
      <c r="E9" s="86">
        <f t="shared" si="3"/>
        <v>193.125</v>
      </c>
      <c r="F9" s="86">
        <v>4.9000000000000004</v>
      </c>
      <c r="G9" s="86">
        <v>7.8</v>
      </c>
      <c r="H9" s="86">
        <f t="shared" si="4"/>
        <v>7.7750000000000004</v>
      </c>
      <c r="I9" s="86">
        <f t="shared" si="5"/>
        <v>194.375</v>
      </c>
      <c r="J9" s="86">
        <v>4.5</v>
      </c>
      <c r="K9" s="87">
        <f t="shared" si="0"/>
        <v>31.900000000000002</v>
      </c>
      <c r="L9" s="83">
        <f t="shared" si="1"/>
        <v>11.5</v>
      </c>
      <c r="M9" s="83">
        <f t="shared" si="6"/>
        <v>13.899999999999999</v>
      </c>
      <c r="N9" s="93">
        <f t="shared" si="7"/>
        <v>347.49999999999994</v>
      </c>
      <c r="O9" s="93"/>
      <c r="P9" s="88"/>
    </row>
    <row r="10" spans="1:16" ht="22.5" customHeight="1" x14ac:dyDescent="0.3">
      <c r="A10" s="85">
        <v>200</v>
      </c>
      <c r="B10" s="86">
        <v>4.5999999999999996</v>
      </c>
      <c r="C10" s="86">
        <v>7.7</v>
      </c>
      <c r="D10" s="86">
        <f t="shared" si="2"/>
        <v>7.7</v>
      </c>
      <c r="E10" s="86">
        <f t="shared" si="3"/>
        <v>192.5</v>
      </c>
      <c r="F10" s="86">
        <v>4.9000000000000004</v>
      </c>
      <c r="G10" s="86">
        <v>7.75</v>
      </c>
      <c r="H10" s="86">
        <f t="shared" si="4"/>
        <v>7.7750000000000004</v>
      </c>
      <c r="I10" s="86">
        <f t="shared" si="5"/>
        <v>194.375</v>
      </c>
      <c r="J10" s="86">
        <v>5</v>
      </c>
      <c r="K10" s="87">
        <f t="shared" si="0"/>
        <v>29.950000000000003</v>
      </c>
      <c r="L10" s="83">
        <f t="shared" si="1"/>
        <v>9.6</v>
      </c>
      <c r="M10" s="83">
        <f t="shared" si="6"/>
        <v>10.55</v>
      </c>
      <c r="N10" s="93">
        <f t="shared" si="7"/>
        <v>263.75</v>
      </c>
      <c r="O10" s="93"/>
      <c r="P10" s="88"/>
    </row>
    <row r="11" spans="1:16" ht="22.5" customHeight="1" x14ac:dyDescent="0.3">
      <c r="A11" s="85">
        <v>225</v>
      </c>
      <c r="B11" s="86">
        <v>4.4000000000000004</v>
      </c>
      <c r="C11" s="86">
        <v>7.7</v>
      </c>
      <c r="D11" s="86">
        <f t="shared" si="2"/>
        <v>7.7</v>
      </c>
      <c r="E11" s="86">
        <f t="shared" si="3"/>
        <v>192.5</v>
      </c>
      <c r="F11" s="86">
        <v>4.9000000000000004</v>
      </c>
      <c r="G11" s="86">
        <v>7.2</v>
      </c>
      <c r="H11" s="86">
        <f t="shared" si="4"/>
        <v>7.4749999999999996</v>
      </c>
      <c r="I11" s="86">
        <f t="shared" si="5"/>
        <v>186.875</v>
      </c>
      <c r="J11" s="86">
        <v>7.2</v>
      </c>
      <c r="K11" s="87">
        <f t="shared" si="0"/>
        <v>31.4</v>
      </c>
      <c r="L11" s="83">
        <f t="shared" si="1"/>
        <v>11.600000000000001</v>
      </c>
      <c r="M11" s="83">
        <f t="shared" si="6"/>
        <v>10.600000000000001</v>
      </c>
      <c r="N11" s="93">
        <f t="shared" si="7"/>
        <v>265.00000000000006</v>
      </c>
      <c r="O11" s="93"/>
      <c r="P11" s="88"/>
    </row>
    <row r="12" spans="1:16" ht="22.5" customHeight="1" x14ac:dyDescent="0.3">
      <c r="A12" s="85">
        <v>250</v>
      </c>
      <c r="B12" s="86">
        <v>4.8</v>
      </c>
      <c r="C12" s="86">
        <v>7.4</v>
      </c>
      <c r="D12" s="86">
        <f t="shared" si="2"/>
        <v>7.5500000000000007</v>
      </c>
      <c r="E12" s="86">
        <f t="shared" si="3"/>
        <v>188.75000000000003</v>
      </c>
      <c r="F12" s="86">
        <v>4.0999999999999996</v>
      </c>
      <c r="G12" s="86">
        <v>7.7</v>
      </c>
      <c r="H12" s="86">
        <f t="shared" si="4"/>
        <v>7.45</v>
      </c>
      <c r="I12" s="86">
        <f t="shared" si="5"/>
        <v>186.25</v>
      </c>
      <c r="J12" s="86">
        <v>6</v>
      </c>
      <c r="K12" s="87">
        <f t="shared" si="0"/>
        <v>29.999999999999996</v>
      </c>
      <c r="L12" s="83">
        <f t="shared" si="1"/>
        <v>10.8</v>
      </c>
      <c r="M12" s="83">
        <f t="shared" si="6"/>
        <v>11.200000000000001</v>
      </c>
      <c r="N12" s="93">
        <f t="shared" si="7"/>
        <v>280</v>
      </c>
      <c r="O12" s="93"/>
      <c r="P12" s="88"/>
    </row>
    <row r="13" spans="1:16" ht="22.5" customHeight="1" x14ac:dyDescent="0.3">
      <c r="A13" s="85">
        <v>275</v>
      </c>
      <c r="B13" s="86">
        <v>6.3</v>
      </c>
      <c r="C13" s="86">
        <v>9.6999999999999993</v>
      </c>
      <c r="D13" s="86">
        <f t="shared" si="2"/>
        <v>8.5500000000000007</v>
      </c>
      <c r="E13" s="86">
        <f t="shared" si="3"/>
        <v>213.75000000000003</v>
      </c>
      <c r="F13" s="86">
        <v>2.6</v>
      </c>
      <c r="G13" s="86">
        <v>8.5</v>
      </c>
      <c r="H13" s="86">
        <f t="shared" si="4"/>
        <v>8.1</v>
      </c>
      <c r="I13" s="86">
        <f t="shared" si="5"/>
        <v>202.5</v>
      </c>
      <c r="J13" s="86">
        <v>4.5</v>
      </c>
      <c r="K13" s="87">
        <f t="shared" si="0"/>
        <v>31.6</v>
      </c>
      <c r="L13" s="83">
        <f t="shared" si="1"/>
        <v>10.8</v>
      </c>
      <c r="M13" s="83">
        <f t="shared" si="6"/>
        <v>10.8</v>
      </c>
      <c r="N13" s="93">
        <f t="shared" si="7"/>
        <v>270</v>
      </c>
      <c r="O13" s="93"/>
      <c r="P13" s="88"/>
    </row>
    <row r="14" spans="1:16" ht="22.5" customHeight="1" x14ac:dyDescent="0.3">
      <c r="A14" s="85">
        <v>300</v>
      </c>
      <c r="B14" s="86">
        <v>6</v>
      </c>
      <c r="C14" s="86">
        <v>10.7</v>
      </c>
      <c r="D14" s="86">
        <f t="shared" si="2"/>
        <v>10.199999999999999</v>
      </c>
      <c r="E14" s="86">
        <f t="shared" si="3"/>
        <v>254.99999999999997</v>
      </c>
      <c r="F14" s="86">
        <v>1.5</v>
      </c>
      <c r="G14" s="86">
        <v>10</v>
      </c>
      <c r="H14" s="86">
        <f t="shared" si="4"/>
        <v>9.25</v>
      </c>
      <c r="I14" s="86">
        <f t="shared" si="5"/>
        <v>231.25</v>
      </c>
      <c r="J14" s="86">
        <v>3.5</v>
      </c>
      <c r="K14" s="87">
        <f t="shared" si="0"/>
        <v>31.7</v>
      </c>
      <c r="L14" s="83">
        <f t="shared" si="1"/>
        <v>9.5</v>
      </c>
      <c r="M14" s="83">
        <f t="shared" si="6"/>
        <v>10.15</v>
      </c>
      <c r="N14" s="93">
        <f t="shared" si="7"/>
        <v>253.75</v>
      </c>
      <c r="O14" s="93"/>
      <c r="P14" s="89" t="s">
        <v>346</v>
      </c>
    </row>
    <row r="15" spans="1:16" ht="22.5" customHeight="1" x14ac:dyDescent="0.3">
      <c r="A15" s="85">
        <v>325</v>
      </c>
      <c r="B15" s="86">
        <v>6.5</v>
      </c>
      <c r="C15" s="86">
        <v>11.1</v>
      </c>
      <c r="D15" s="86">
        <f t="shared" si="2"/>
        <v>10.899999999999999</v>
      </c>
      <c r="E15" s="86">
        <f t="shared" si="3"/>
        <v>272.49999999999994</v>
      </c>
      <c r="F15" s="86">
        <v>1.4</v>
      </c>
      <c r="G15" s="86">
        <v>10.35</v>
      </c>
      <c r="H15" s="86">
        <f t="shared" si="4"/>
        <v>10.175000000000001</v>
      </c>
      <c r="I15" s="86">
        <f t="shared" si="5"/>
        <v>254.37500000000003</v>
      </c>
      <c r="J15" s="86">
        <v>3</v>
      </c>
      <c r="K15" s="87">
        <f t="shared" si="0"/>
        <v>32.35</v>
      </c>
      <c r="L15" s="83">
        <f t="shared" si="1"/>
        <v>9.5</v>
      </c>
      <c r="M15" s="83">
        <f t="shared" si="6"/>
        <v>9.5</v>
      </c>
      <c r="N15" s="93">
        <f t="shared" si="7"/>
        <v>237.5</v>
      </c>
      <c r="O15" s="93"/>
      <c r="P15" s="88"/>
    </row>
    <row r="16" spans="1:16" ht="22.5" customHeight="1" x14ac:dyDescent="0.3">
      <c r="A16" s="85">
        <v>350</v>
      </c>
      <c r="B16" s="86">
        <v>5.4</v>
      </c>
      <c r="C16" s="86">
        <v>10.199999999999999</v>
      </c>
      <c r="D16" s="86">
        <f t="shared" si="2"/>
        <v>10.649999999999999</v>
      </c>
      <c r="E16" s="86">
        <f t="shared" si="3"/>
        <v>266.24999999999994</v>
      </c>
      <c r="F16" s="86">
        <v>0</v>
      </c>
      <c r="G16" s="86">
        <v>11.3</v>
      </c>
      <c r="H16" s="86">
        <f t="shared" si="4"/>
        <v>10.824999999999999</v>
      </c>
      <c r="I16" s="86">
        <f t="shared" si="5"/>
        <v>270.625</v>
      </c>
      <c r="J16" s="86">
        <v>4.8</v>
      </c>
      <c r="K16" s="87">
        <f t="shared" si="0"/>
        <v>31.7</v>
      </c>
      <c r="L16" s="83">
        <f t="shared" si="1"/>
        <v>10.199999999999999</v>
      </c>
      <c r="M16" s="83">
        <f>(L15+L16)/2</f>
        <v>9.85</v>
      </c>
      <c r="N16" s="93">
        <f t="shared" si="7"/>
        <v>246.25</v>
      </c>
      <c r="O16" s="93"/>
      <c r="P16" s="88" t="s">
        <v>347</v>
      </c>
    </row>
    <row r="17" spans="1:16" ht="22.5" customHeight="1" x14ac:dyDescent="0.3">
      <c r="A17" s="85">
        <v>375</v>
      </c>
      <c r="B17" s="86">
        <v>5.3</v>
      </c>
      <c r="C17" s="86">
        <v>10.14</v>
      </c>
      <c r="D17" s="86">
        <f t="shared" si="2"/>
        <v>10.17</v>
      </c>
      <c r="E17" s="86">
        <f t="shared" si="3"/>
        <v>254.25</v>
      </c>
      <c r="F17" s="86">
        <v>1.4</v>
      </c>
      <c r="G17" s="86">
        <v>11.2</v>
      </c>
      <c r="H17" s="86">
        <f t="shared" si="4"/>
        <v>11.25</v>
      </c>
      <c r="I17" s="86">
        <f t="shared" si="5"/>
        <v>281.25</v>
      </c>
      <c r="J17" s="86">
        <v>4.5</v>
      </c>
      <c r="K17" s="87">
        <f t="shared" si="0"/>
        <v>32.54</v>
      </c>
      <c r="L17" s="83">
        <f t="shared" si="1"/>
        <v>9.8000000000000007</v>
      </c>
      <c r="M17" s="83">
        <f t="shared" si="6"/>
        <v>10</v>
      </c>
      <c r="N17" s="93">
        <f t="shared" si="7"/>
        <v>250</v>
      </c>
      <c r="O17" s="93"/>
      <c r="P17" s="88" t="s">
        <v>347</v>
      </c>
    </row>
    <row r="18" spans="1:16" ht="22.5" customHeight="1" x14ac:dyDescent="0.3">
      <c r="A18" s="85">
        <v>400</v>
      </c>
      <c r="B18" s="86">
        <v>6.1</v>
      </c>
      <c r="C18" s="86">
        <v>8.4499999999999993</v>
      </c>
      <c r="D18" s="86">
        <f t="shared" si="2"/>
        <v>9.2949999999999999</v>
      </c>
      <c r="E18" s="86">
        <f t="shared" si="3"/>
        <v>232.375</v>
      </c>
      <c r="F18" s="86">
        <v>1.8</v>
      </c>
      <c r="G18" s="86">
        <v>10.6</v>
      </c>
      <c r="H18" s="86">
        <f t="shared" si="4"/>
        <v>10.899999999999999</v>
      </c>
      <c r="I18" s="86">
        <f t="shared" si="5"/>
        <v>272.49999999999994</v>
      </c>
      <c r="J18" s="86">
        <v>4</v>
      </c>
      <c r="K18" s="87">
        <f t="shared" si="0"/>
        <v>30.949999999999996</v>
      </c>
      <c r="L18" s="83">
        <f t="shared" si="1"/>
        <v>10.1</v>
      </c>
      <c r="M18" s="83">
        <f t="shared" si="6"/>
        <v>9.9499999999999993</v>
      </c>
      <c r="N18" s="93">
        <f t="shared" si="7"/>
        <v>248.74999999999997</v>
      </c>
      <c r="O18" s="93"/>
      <c r="P18" s="88" t="s">
        <v>348</v>
      </c>
    </row>
    <row r="19" spans="1:16" ht="22.5" customHeight="1" x14ac:dyDescent="0.3">
      <c r="A19" s="85">
        <v>425</v>
      </c>
      <c r="B19" s="86">
        <v>8</v>
      </c>
      <c r="C19" s="86">
        <v>7.75</v>
      </c>
      <c r="D19" s="86">
        <f t="shared" si="2"/>
        <v>8.1</v>
      </c>
      <c r="E19" s="86">
        <f t="shared" si="3"/>
        <v>202.5</v>
      </c>
      <c r="F19" s="86">
        <v>3.2</v>
      </c>
      <c r="G19" s="86">
        <v>12.2</v>
      </c>
      <c r="H19" s="86">
        <f t="shared" si="4"/>
        <v>11.399999999999999</v>
      </c>
      <c r="I19" s="86">
        <f t="shared" si="5"/>
        <v>284.99999999999994</v>
      </c>
      <c r="J19" s="86">
        <v>2</v>
      </c>
      <c r="K19" s="87">
        <f t="shared" si="0"/>
        <v>33.15</v>
      </c>
      <c r="L19" s="83">
        <f t="shared" si="1"/>
        <v>10</v>
      </c>
      <c r="M19" s="83">
        <f t="shared" si="6"/>
        <v>10.050000000000001</v>
      </c>
      <c r="N19" s="93">
        <f t="shared" si="7"/>
        <v>251.25000000000003</v>
      </c>
      <c r="O19" s="93"/>
      <c r="P19" s="88"/>
    </row>
    <row r="20" spans="1:16" ht="22.5" customHeight="1" x14ac:dyDescent="0.3">
      <c r="A20" s="85">
        <v>450</v>
      </c>
      <c r="B20" s="86">
        <v>11</v>
      </c>
      <c r="C20" s="86">
        <v>7.78</v>
      </c>
      <c r="D20" s="86">
        <f t="shared" si="2"/>
        <v>7.7650000000000006</v>
      </c>
      <c r="E20" s="86">
        <f t="shared" si="3"/>
        <v>194.125</v>
      </c>
      <c r="F20" s="86">
        <v>4.5</v>
      </c>
      <c r="G20" s="86">
        <v>8</v>
      </c>
      <c r="H20" s="86">
        <f t="shared" si="4"/>
        <v>10.1</v>
      </c>
      <c r="I20" s="86">
        <f t="shared" si="5"/>
        <v>252.5</v>
      </c>
      <c r="J20" s="86">
        <v>1.2</v>
      </c>
      <c r="K20" s="87">
        <f t="shared" si="0"/>
        <v>32.480000000000004</v>
      </c>
      <c r="L20" s="83">
        <f t="shared" si="1"/>
        <v>12.2</v>
      </c>
      <c r="M20" s="83">
        <f t="shared" si="6"/>
        <v>11.1</v>
      </c>
      <c r="N20" s="93">
        <f>M20*25</f>
        <v>277.5</v>
      </c>
      <c r="O20" s="93"/>
      <c r="P20" s="88" t="s">
        <v>349</v>
      </c>
    </row>
    <row r="21" spans="1:16" ht="22.5" customHeight="1" x14ac:dyDescent="0.3">
      <c r="A21" s="85">
        <v>475</v>
      </c>
      <c r="B21" s="86">
        <v>8.6999999999999993</v>
      </c>
      <c r="C21" s="86">
        <v>8</v>
      </c>
      <c r="D21" s="86">
        <f t="shared" si="2"/>
        <v>7.8900000000000006</v>
      </c>
      <c r="E21" s="86">
        <f t="shared" si="3"/>
        <v>197.25</v>
      </c>
      <c r="F21" s="86">
        <v>4.4000000000000004</v>
      </c>
      <c r="G21" s="86">
        <v>7.75</v>
      </c>
      <c r="H21" s="86">
        <f t="shared" si="4"/>
        <v>7.875</v>
      </c>
      <c r="I21" s="86">
        <f t="shared" si="5"/>
        <v>196.875</v>
      </c>
      <c r="J21" s="86">
        <v>3.4</v>
      </c>
      <c r="K21" s="87">
        <f t="shared" si="0"/>
        <v>32.25</v>
      </c>
      <c r="L21" s="83">
        <f t="shared" si="1"/>
        <v>12.1</v>
      </c>
      <c r="M21" s="83">
        <f t="shared" si="6"/>
        <v>12.149999999999999</v>
      </c>
      <c r="N21" s="93">
        <f t="shared" si="7"/>
        <v>303.74999999999994</v>
      </c>
      <c r="O21" s="93"/>
      <c r="P21" s="88" t="s">
        <v>350</v>
      </c>
    </row>
    <row r="22" spans="1:16" ht="22.5" customHeight="1" x14ac:dyDescent="0.3">
      <c r="A22" s="85">
        <v>500</v>
      </c>
      <c r="B22" s="86">
        <v>5.6</v>
      </c>
      <c r="C22" s="86">
        <v>13.15</v>
      </c>
      <c r="D22" s="86">
        <f t="shared" si="2"/>
        <v>10.574999999999999</v>
      </c>
      <c r="E22" s="86">
        <f t="shared" si="3"/>
        <v>264.375</v>
      </c>
      <c r="F22" s="86">
        <v>3.1</v>
      </c>
      <c r="G22" s="86">
        <v>7.5</v>
      </c>
      <c r="H22" s="86">
        <f t="shared" si="4"/>
        <v>7.625</v>
      </c>
      <c r="I22" s="86">
        <f t="shared" si="5"/>
        <v>190.625</v>
      </c>
      <c r="J22" s="86">
        <v>4.5</v>
      </c>
      <c r="K22" s="87">
        <f t="shared" si="0"/>
        <v>33.85</v>
      </c>
      <c r="L22" s="83">
        <f t="shared" si="1"/>
        <v>10.1</v>
      </c>
      <c r="M22" s="83">
        <f t="shared" si="6"/>
        <v>11.1</v>
      </c>
      <c r="N22" s="93">
        <f t="shared" si="7"/>
        <v>277.5</v>
      </c>
      <c r="O22" s="93"/>
      <c r="P22" s="88" t="s">
        <v>351</v>
      </c>
    </row>
    <row r="23" spans="1:16" ht="22.5" customHeight="1" x14ac:dyDescent="0.3">
      <c r="A23" s="85">
        <v>525</v>
      </c>
      <c r="B23" s="86">
        <v>4.9000000000000004</v>
      </c>
      <c r="C23" s="86">
        <v>14.5</v>
      </c>
      <c r="D23" s="86">
        <f t="shared" si="2"/>
        <v>13.824999999999999</v>
      </c>
      <c r="E23" s="86">
        <f t="shared" si="3"/>
        <v>345.625</v>
      </c>
      <c r="F23" s="86">
        <v>1.9</v>
      </c>
      <c r="G23" s="86">
        <v>10.1</v>
      </c>
      <c r="H23" s="86">
        <f t="shared" si="4"/>
        <v>8.8000000000000007</v>
      </c>
      <c r="I23" s="86">
        <f t="shared" si="5"/>
        <v>220.00000000000003</v>
      </c>
      <c r="J23" s="86">
        <v>2.2000000000000002</v>
      </c>
      <c r="K23" s="87">
        <f t="shared" si="0"/>
        <v>33.6</v>
      </c>
      <c r="L23" s="83">
        <f t="shared" si="1"/>
        <v>7.1000000000000005</v>
      </c>
      <c r="M23" s="83">
        <f t="shared" si="6"/>
        <v>8.6</v>
      </c>
      <c r="N23" s="93">
        <f t="shared" si="7"/>
        <v>215</v>
      </c>
      <c r="O23" s="93"/>
      <c r="P23" s="88" t="s">
        <v>352</v>
      </c>
    </row>
    <row r="24" spans="1:16" ht="22.5" customHeight="1" x14ac:dyDescent="0.3">
      <c r="A24" s="85">
        <v>550</v>
      </c>
      <c r="B24" s="86">
        <v>9</v>
      </c>
      <c r="C24" s="86">
        <v>11.2</v>
      </c>
      <c r="D24" s="86">
        <f t="shared" si="2"/>
        <v>12.85</v>
      </c>
      <c r="E24" s="86">
        <f t="shared" si="3"/>
        <v>321.25</v>
      </c>
      <c r="F24" s="86">
        <v>1.3</v>
      </c>
      <c r="G24" s="86">
        <v>10.1</v>
      </c>
      <c r="H24" s="86">
        <f t="shared" si="4"/>
        <v>10.1</v>
      </c>
      <c r="I24" s="86">
        <f t="shared" si="5"/>
        <v>252.5</v>
      </c>
      <c r="J24" s="86">
        <v>2.2000000000000002</v>
      </c>
      <c r="K24" s="87">
        <f t="shared" si="0"/>
        <v>33.800000000000004</v>
      </c>
      <c r="L24" s="83">
        <f t="shared" si="1"/>
        <v>11.2</v>
      </c>
      <c r="M24" s="83">
        <f t="shared" si="6"/>
        <v>9.15</v>
      </c>
      <c r="N24" s="93">
        <f t="shared" si="7"/>
        <v>228.75</v>
      </c>
      <c r="O24" s="93"/>
      <c r="P24" s="88" t="s">
        <v>353</v>
      </c>
    </row>
    <row r="25" spans="1:16" ht="22.5" customHeight="1" x14ac:dyDescent="0.3">
      <c r="A25" s="85">
        <v>575</v>
      </c>
      <c r="B25" s="86">
        <v>6.8</v>
      </c>
      <c r="C25" s="86">
        <v>10.6</v>
      </c>
      <c r="D25" s="86">
        <f t="shared" si="2"/>
        <v>10.899999999999999</v>
      </c>
      <c r="E25" s="86">
        <f t="shared" si="3"/>
        <v>272.49999999999994</v>
      </c>
      <c r="F25" s="86">
        <v>0</v>
      </c>
      <c r="G25" s="86">
        <v>11.45</v>
      </c>
      <c r="H25" s="86">
        <f t="shared" si="4"/>
        <v>10.774999999999999</v>
      </c>
      <c r="I25" s="86">
        <f t="shared" si="5"/>
        <v>269.37499999999994</v>
      </c>
      <c r="J25" s="86">
        <v>2.8</v>
      </c>
      <c r="K25" s="87">
        <f t="shared" si="0"/>
        <v>31.65</v>
      </c>
      <c r="L25" s="83">
        <f t="shared" si="1"/>
        <v>9.6</v>
      </c>
      <c r="M25" s="83">
        <f t="shared" si="6"/>
        <v>10.399999999999999</v>
      </c>
      <c r="N25" s="93">
        <f t="shared" si="7"/>
        <v>259.99999999999994</v>
      </c>
      <c r="O25" s="93"/>
      <c r="P25" s="88" t="s">
        <v>354</v>
      </c>
    </row>
    <row r="26" spans="1:16" ht="22.5" customHeight="1" x14ac:dyDescent="0.3">
      <c r="A26" s="85">
        <v>600</v>
      </c>
      <c r="B26" s="86">
        <v>8</v>
      </c>
      <c r="C26" s="86">
        <v>10.15</v>
      </c>
      <c r="D26" s="86">
        <f t="shared" si="2"/>
        <v>10.375</v>
      </c>
      <c r="E26" s="86">
        <f t="shared" si="3"/>
        <v>259.375</v>
      </c>
      <c r="F26" s="86">
        <v>1.2</v>
      </c>
      <c r="G26" s="86">
        <v>11.25</v>
      </c>
      <c r="H26" s="86">
        <f t="shared" si="4"/>
        <v>11.35</v>
      </c>
      <c r="I26" s="86">
        <f t="shared" si="5"/>
        <v>283.75</v>
      </c>
      <c r="J26" s="86">
        <v>5</v>
      </c>
      <c r="K26" s="87">
        <f t="shared" si="0"/>
        <v>35.599999999999994</v>
      </c>
      <c r="L26" s="83">
        <f t="shared" si="1"/>
        <v>13</v>
      </c>
      <c r="M26" s="83">
        <f t="shared" si="6"/>
        <v>11.3</v>
      </c>
      <c r="N26" s="93">
        <f t="shared" si="7"/>
        <v>282.5</v>
      </c>
      <c r="O26" s="93"/>
      <c r="P26" s="88" t="s">
        <v>354</v>
      </c>
    </row>
    <row r="27" spans="1:16" ht="22.5" customHeight="1" x14ac:dyDescent="0.3">
      <c r="A27" s="85">
        <v>625</v>
      </c>
      <c r="B27" s="86">
        <v>8.1</v>
      </c>
      <c r="C27" s="86">
        <v>10.199999999999999</v>
      </c>
      <c r="D27" s="86">
        <f t="shared" si="2"/>
        <v>10.175000000000001</v>
      </c>
      <c r="E27" s="86">
        <f t="shared" si="3"/>
        <v>254.37500000000003</v>
      </c>
      <c r="F27" s="86">
        <v>1.9</v>
      </c>
      <c r="G27" s="86">
        <v>10.6</v>
      </c>
      <c r="H27" s="86">
        <f t="shared" si="4"/>
        <v>10.925000000000001</v>
      </c>
      <c r="I27" s="86">
        <f t="shared" si="5"/>
        <v>273.125</v>
      </c>
      <c r="J27" s="86">
        <v>5</v>
      </c>
      <c r="K27" s="87">
        <f t="shared" si="0"/>
        <v>35.799999999999997</v>
      </c>
      <c r="L27" s="83">
        <f t="shared" si="1"/>
        <v>13.1</v>
      </c>
      <c r="M27" s="83">
        <f t="shared" si="6"/>
        <v>13.05</v>
      </c>
      <c r="N27" s="93">
        <f t="shared" si="7"/>
        <v>326.25</v>
      </c>
      <c r="O27" s="93"/>
      <c r="P27" s="88" t="s">
        <v>354</v>
      </c>
    </row>
    <row r="28" spans="1:16" ht="22.5" customHeight="1" x14ac:dyDescent="0.3">
      <c r="A28" s="85">
        <v>650</v>
      </c>
      <c r="B28" s="86">
        <v>8.5</v>
      </c>
      <c r="C28" s="86">
        <v>10.3</v>
      </c>
      <c r="D28" s="86">
        <f t="shared" si="2"/>
        <v>10.25</v>
      </c>
      <c r="E28" s="86">
        <f>D28*25</f>
        <v>256.25</v>
      </c>
      <c r="F28" s="86">
        <v>3.1</v>
      </c>
      <c r="G28" s="86">
        <v>9.1999999999999993</v>
      </c>
      <c r="H28" s="86">
        <f t="shared" si="4"/>
        <v>9.8999999999999986</v>
      </c>
      <c r="I28" s="86">
        <f t="shared" si="5"/>
        <v>247.49999999999997</v>
      </c>
      <c r="J28" s="86">
        <v>5</v>
      </c>
      <c r="K28" s="87">
        <f t="shared" si="0"/>
        <v>36.1</v>
      </c>
      <c r="L28" s="83">
        <f t="shared" si="1"/>
        <v>13.5</v>
      </c>
      <c r="M28" s="83">
        <f>(L27+L28)/2</f>
        <v>13.3</v>
      </c>
      <c r="N28" s="93">
        <f t="shared" si="7"/>
        <v>332.5</v>
      </c>
      <c r="O28" s="93"/>
      <c r="P28" s="88" t="s">
        <v>355</v>
      </c>
    </row>
    <row r="29" spans="1:16" ht="22.5" customHeight="1" x14ac:dyDescent="0.3">
      <c r="A29" s="85">
        <v>675</v>
      </c>
      <c r="B29" s="86">
        <v>8.6</v>
      </c>
      <c r="C29" s="86">
        <v>10.65</v>
      </c>
      <c r="D29" s="86">
        <f t="shared" si="2"/>
        <v>10.475000000000001</v>
      </c>
      <c r="E29" s="86">
        <f t="shared" si="3"/>
        <v>261.87500000000006</v>
      </c>
      <c r="F29" s="86">
        <v>4.4000000000000004</v>
      </c>
      <c r="G29" s="86">
        <v>8.0500000000000007</v>
      </c>
      <c r="H29" s="86">
        <f t="shared" si="4"/>
        <v>8.625</v>
      </c>
      <c r="I29" s="86">
        <f t="shared" si="5"/>
        <v>215.625</v>
      </c>
      <c r="J29" s="86">
        <v>5</v>
      </c>
      <c r="K29" s="87">
        <f t="shared" si="0"/>
        <v>36.700000000000003</v>
      </c>
      <c r="L29" s="83">
        <f t="shared" si="1"/>
        <v>13.6</v>
      </c>
      <c r="M29" s="83">
        <f t="shared" si="6"/>
        <v>13.55</v>
      </c>
      <c r="N29" s="93">
        <f t="shared" si="7"/>
        <v>338.75</v>
      </c>
      <c r="O29" s="93"/>
      <c r="P29" s="88" t="s">
        <v>356</v>
      </c>
    </row>
    <row r="30" spans="1:16" ht="22.5" customHeight="1" x14ac:dyDescent="0.3">
      <c r="A30" s="85">
        <v>700</v>
      </c>
      <c r="B30" s="86">
        <v>11.7</v>
      </c>
      <c r="C30" s="86">
        <v>7.75</v>
      </c>
      <c r="D30" s="86">
        <f t="shared" si="2"/>
        <v>9.1999999999999993</v>
      </c>
      <c r="E30" s="86">
        <f t="shared" si="3"/>
        <v>229.99999999999997</v>
      </c>
      <c r="F30" s="86">
        <v>4.7</v>
      </c>
      <c r="G30" s="86">
        <v>7.8</v>
      </c>
      <c r="H30" s="86">
        <f t="shared" si="4"/>
        <v>7.9250000000000007</v>
      </c>
      <c r="I30" s="86">
        <f t="shared" si="5"/>
        <v>198.12500000000003</v>
      </c>
      <c r="J30" s="86">
        <v>5</v>
      </c>
      <c r="K30" s="87">
        <f t="shared" si="0"/>
        <v>36.950000000000003</v>
      </c>
      <c r="L30" s="83">
        <f>B30+J30</f>
        <v>16.7</v>
      </c>
      <c r="M30" s="83">
        <f t="shared" si="6"/>
        <v>15.149999999999999</v>
      </c>
      <c r="N30" s="93">
        <f t="shared" si="7"/>
        <v>378.74999999999994</v>
      </c>
      <c r="O30" s="93"/>
      <c r="P30" s="88" t="s">
        <v>357</v>
      </c>
    </row>
    <row r="31" spans="1:16" ht="22.5" customHeight="1" x14ac:dyDescent="0.3">
      <c r="A31" s="85">
        <v>725</v>
      </c>
      <c r="B31" s="86">
        <v>12.1</v>
      </c>
      <c r="C31" s="86">
        <v>7.7</v>
      </c>
      <c r="D31" s="86">
        <f t="shared" si="2"/>
        <v>7.7249999999999996</v>
      </c>
      <c r="E31" s="86">
        <f t="shared" si="3"/>
        <v>193.125</v>
      </c>
      <c r="F31" s="86">
        <v>4.8</v>
      </c>
      <c r="G31" s="86">
        <v>7.75</v>
      </c>
      <c r="H31" s="86">
        <f t="shared" si="4"/>
        <v>7.7750000000000004</v>
      </c>
      <c r="I31" s="86">
        <f t="shared" si="5"/>
        <v>194.375</v>
      </c>
      <c r="J31" s="86">
        <v>5</v>
      </c>
      <c r="K31" s="87">
        <f t="shared" si="0"/>
        <v>37.35</v>
      </c>
      <c r="L31" s="83">
        <f t="shared" si="1"/>
        <v>17.100000000000001</v>
      </c>
      <c r="M31" s="83">
        <f t="shared" si="6"/>
        <v>16.899999999999999</v>
      </c>
      <c r="N31" s="93">
        <f t="shared" si="7"/>
        <v>422.49999999999994</v>
      </c>
      <c r="O31" s="93"/>
      <c r="P31" s="88"/>
    </row>
    <row r="32" spans="1:16" ht="22.5" customHeight="1" x14ac:dyDescent="0.3">
      <c r="A32" s="85">
        <v>750</v>
      </c>
      <c r="B32" s="86">
        <v>10.3</v>
      </c>
      <c r="C32" s="86">
        <v>7.6</v>
      </c>
      <c r="D32" s="86">
        <f t="shared" si="2"/>
        <v>7.65</v>
      </c>
      <c r="E32" s="86">
        <f t="shared" si="3"/>
        <v>191.25</v>
      </c>
      <c r="F32" s="86">
        <v>4.7</v>
      </c>
      <c r="G32" s="86">
        <v>7.8</v>
      </c>
      <c r="H32" s="86">
        <f t="shared" si="4"/>
        <v>7.7750000000000004</v>
      </c>
      <c r="I32" s="86">
        <f t="shared" si="5"/>
        <v>194.375</v>
      </c>
      <c r="J32" s="86">
        <v>5</v>
      </c>
      <c r="K32" s="87">
        <f t="shared" si="0"/>
        <v>35.4</v>
      </c>
      <c r="L32" s="83">
        <f t="shared" si="1"/>
        <v>15.3</v>
      </c>
      <c r="M32" s="83">
        <f t="shared" si="6"/>
        <v>16.200000000000003</v>
      </c>
      <c r="N32" s="93">
        <f t="shared" si="7"/>
        <v>405.00000000000006</v>
      </c>
      <c r="O32" s="93"/>
      <c r="P32" s="88" t="s">
        <v>358</v>
      </c>
    </row>
    <row r="33" spans="1:16" ht="22.5" customHeight="1" x14ac:dyDescent="0.3">
      <c r="A33" s="85">
        <v>775</v>
      </c>
      <c r="B33" s="86">
        <v>6</v>
      </c>
      <c r="C33" s="86">
        <v>7.6</v>
      </c>
      <c r="D33" s="86">
        <f t="shared" si="2"/>
        <v>7.6</v>
      </c>
      <c r="E33" s="86">
        <f t="shared" si="3"/>
        <v>190</v>
      </c>
      <c r="F33" s="86">
        <v>4.8</v>
      </c>
      <c r="G33" s="86">
        <v>7.75</v>
      </c>
      <c r="H33" s="86">
        <f t="shared" si="4"/>
        <v>7.7750000000000004</v>
      </c>
      <c r="I33" s="86">
        <f t="shared" si="5"/>
        <v>194.375</v>
      </c>
      <c r="J33" s="86">
        <v>5</v>
      </c>
      <c r="K33" s="87">
        <f t="shared" si="0"/>
        <v>31.15</v>
      </c>
      <c r="L33" s="83">
        <f t="shared" si="1"/>
        <v>11</v>
      </c>
      <c r="M33" s="83">
        <f t="shared" si="6"/>
        <v>13.15</v>
      </c>
      <c r="N33" s="93">
        <f t="shared" si="7"/>
        <v>328.75</v>
      </c>
      <c r="O33" s="93"/>
      <c r="P33" s="88"/>
    </row>
    <row r="34" spans="1:16" ht="22.5" customHeight="1" x14ac:dyDescent="0.3">
      <c r="A34" s="85">
        <v>800</v>
      </c>
      <c r="B34" s="86">
        <v>7.4</v>
      </c>
      <c r="C34" s="86">
        <v>7.65</v>
      </c>
      <c r="D34" s="86">
        <f t="shared" si="2"/>
        <v>7.625</v>
      </c>
      <c r="E34" s="86">
        <f t="shared" si="3"/>
        <v>190.625</v>
      </c>
      <c r="F34" s="86">
        <v>4.7</v>
      </c>
      <c r="G34" s="86">
        <v>7.7</v>
      </c>
      <c r="H34" s="86">
        <f t="shared" si="4"/>
        <v>7.7249999999999996</v>
      </c>
      <c r="I34" s="86">
        <f t="shared" si="5"/>
        <v>193.125</v>
      </c>
      <c r="J34" s="86">
        <v>5</v>
      </c>
      <c r="K34" s="87">
        <f t="shared" si="0"/>
        <v>32.450000000000003</v>
      </c>
      <c r="L34" s="83">
        <f t="shared" si="1"/>
        <v>12.4</v>
      </c>
      <c r="M34" s="83">
        <f t="shared" si="6"/>
        <v>11.7</v>
      </c>
      <c r="N34" s="93">
        <f>M34*25</f>
        <v>292.5</v>
      </c>
      <c r="O34" s="93"/>
      <c r="P34" s="88"/>
    </row>
    <row r="35" spans="1:16" ht="22.5" customHeight="1" x14ac:dyDescent="0.3">
      <c r="A35" s="85">
        <v>825</v>
      </c>
      <c r="B35" s="86">
        <v>9.9499999999999993</v>
      </c>
      <c r="C35" s="86">
        <v>7.7</v>
      </c>
      <c r="D35" s="86">
        <f t="shared" si="2"/>
        <v>7.6750000000000007</v>
      </c>
      <c r="E35" s="86">
        <f t="shared" si="3"/>
        <v>191.87500000000003</v>
      </c>
      <c r="F35" s="86">
        <v>4.7</v>
      </c>
      <c r="G35" s="86">
        <v>7.7</v>
      </c>
      <c r="H35" s="86">
        <f t="shared" si="4"/>
        <v>7.7</v>
      </c>
      <c r="I35" s="86">
        <f t="shared" si="5"/>
        <v>192.5</v>
      </c>
      <c r="J35" s="86">
        <v>5</v>
      </c>
      <c r="K35" s="87">
        <f t="shared" si="0"/>
        <v>35.049999999999997</v>
      </c>
      <c r="L35" s="83">
        <f t="shared" si="1"/>
        <v>14.95</v>
      </c>
      <c r="M35" s="83">
        <f t="shared" si="6"/>
        <v>13.675000000000001</v>
      </c>
      <c r="N35" s="93">
        <f t="shared" si="7"/>
        <v>341.875</v>
      </c>
      <c r="O35" s="93"/>
      <c r="P35" s="88"/>
    </row>
    <row r="36" spans="1:16" ht="22.5" customHeight="1" x14ac:dyDescent="0.3">
      <c r="A36" s="85">
        <v>850</v>
      </c>
      <c r="B36" s="86">
        <v>9.1999999999999993</v>
      </c>
      <c r="C36" s="86">
        <v>7.75</v>
      </c>
      <c r="D36" s="86">
        <f t="shared" si="2"/>
        <v>7.7249999999999996</v>
      </c>
      <c r="E36" s="86">
        <f t="shared" si="3"/>
        <v>193.125</v>
      </c>
      <c r="F36" s="86">
        <v>4.7</v>
      </c>
      <c r="G36" s="86">
        <v>7.7</v>
      </c>
      <c r="H36" s="86">
        <f t="shared" si="4"/>
        <v>7.7</v>
      </c>
      <c r="I36" s="86">
        <f t="shared" si="5"/>
        <v>192.5</v>
      </c>
      <c r="J36" s="86">
        <v>5</v>
      </c>
      <c r="K36" s="87">
        <f t="shared" si="0"/>
        <v>34.349999999999994</v>
      </c>
      <c r="L36" s="83">
        <f t="shared" si="1"/>
        <v>14.2</v>
      </c>
      <c r="M36" s="83">
        <f t="shared" si="6"/>
        <v>14.574999999999999</v>
      </c>
      <c r="N36" s="93">
        <f t="shared" si="7"/>
        <v>364.375</v>
      </c>
      <c r="O36" s="93"/>
      <c r="P36" s="88"/>
    </row>
    <row r="37" spans="1:16" ht="22.5" customHeight="1" x14ac:dyDescent="0.3">
      <c r="A37" s="85">
        <v>875</v>
      </c>
      <c r="B37" s="86">
        <v>9.3000000000000007</v>
      </c>
      <c r="C37" s="86">
        <v>7.65</v>
      </c>
      <c r="D37" s="86">
        <f t="shared" si="2"/>
        <v>7.7</v>
      </c>
      <c r="E37" s="86">
        <f t="shared" si="3"/>
        <v>192.5</v>
      </c>
      <c r="F37" s="86">
        <v>4.7</v>
      </c>
      <c r="G37" s="86">
        <v>7.7</v>
      </c>
      <c r="H37" s="86">
        <f t="shared" si="4"/>
        <v>7.7</v>
      </c>
      <c r="I37" s="86">
        <f t="shared" si="5"/>
        <v>192.5</v>
      </c>
      <c r="J37" s="86">
        <v>5</v>
      </c>
      <c r="K37" s="87">
        <f t="shared" si="0"/>
        <v>34.35</v>
      </c>
      <c r="L37" s="83">
        <f t="shared" si="1"/>
        <v>14.3</v>
      </c>
      <c r="M37" s="83">
        <f t="shared" si="6"/>
        <v>14.25</v>
      </c>
      <c r="N37" s="93">
        <f t="shared" si="7"/>
        <v>356.25</v>
      </c>
      <c r="O37" s="93"/>
      <c r="P37" s="88"/>
    </row>
    <row r="38" spans="1:16" ht="22.5" customHeight="1" x14ac:dyDescent="0.3">
      <c r="A38" s="85">
        <v>900</v>
      </c>
      <c r="B38" s="86">
        <v>9</v>
      </c>
      <c r="C38" s="86">
        <v>7.5</v>
      </c>
      <c r="D38" s="86">
        <f t="shared" si="2"/>
        <v>7.5750000000000002</v>
      </c>
      <c r="E38" s="86">
        <f t="shared" si="3"/>
        <v>189.375</v>
      </c>
      <c r="F38" s="86">
        <v>4.7</v>
      </c>
      <c r="G38" s="86">
        <v>7.7</v>
      </c>
      <c r="H38" s="86">
        <f t="shared" si="4"/>
        <v>7.7</v>
      </c>
      <c r="I38" s="86">
        <f t="shared" si="5"/>
        <v>192.5</v>
      </c>
      <c r="J38" s="86">
        <v>3.5</v>
      </c>
      <c r="K38" s="87">
        <f t="shared" si="0"/>
        <v>32.4</v>
      </c>
      <c r="L38" s="83">
        <f t="shared" si="1"/>
        <v>12.5</v>
      </c>
      <c r="M38" s="83">
        <f t="shared" si="6"/>
        <v>13.4</v>
      </c>
      <c r="N38" s="93">
        <f t="shared" si="7"/>
        <v>335</v>
      </c>
      <c r="O38" s="93"/>
      <c r="P38" s="88"/>
    </row>
    <row r="39" spans="1:16" ht="22.5" customHeight="1" x14ac:dyDescent="0.3">
      <c r="A39" s="85">
        <v>925</v>
      </c>
      <c r="B39" s="86">
        <v>9.8000000000000007</v>
      </c>
      <c r="C39" s="86">
        <v>7.8</v>
      </c>
      <c r="D39" s="86">
        <f>(C38+C39)/2</f>
        <v>7.65</v>
      </c>
      <c r="E39" s="86">
        <f t="shared" si="3"/>
        <v>191.25</v>
      </c>
      <c r="F39" s="86">
        <v>4.7</v>
      </c>
      <c r="G39" s="86">
        <v>7.6</v>
      </c>
      <c r="H39" s="86">
        <f t="shared" si="4"/>
        <v>7.65</v>
      </c>
      <c r="I39" s="86">
        <f t="shared" si="5"/>
        <v>191.25</v>
      </c>
      <c r="J39" s="86">
        <v>2</v>
      </c>
      <c r="K39" s="87">
        <f t="shared" si="0"/>
        <v>31.9</v>
      </c>
      <c r="L39" s="83">
        <f t="shared" si="1"/>
        <v>11.8</v>
      </c>
      <c r="M39" s="83">
        <f t="shared" si="6"/>
        <v>12.15</v>
      </c>
      <c r="N39" s="93">
        <f t="shared" si="7"/>
        <v>303.75</v>
      </c>
      <c r="O39" s="93"/>
      <c r="P39" s="88"/>
    </row>
    <row r="40" spans="1:16" ht="22.5" customHeight="1" x14ac:dyDescent="0.3">
      <c r="A40" s="85">
        <v>950</v>
      </c>
      <c r="B40" s="86">
        <v>6.2</v>
      </c>
      <c r="C40" s="86">
        <v>7.7</v>
      </c>
      <c r="D40" s="86">
        <f t="shared" si="2"/>
        <v>7.75</v>
      </c>
      <c r="E40" s="86">
        <f t="shared" si="3"/>
        <v>193.75</v>
      </c>
      <c r="F40" s="86">
        <v>4.7</v>
      </c>
      <c r="G40" s="86">
        <v>7.7</v>
      </c>
      <c r="H40" s="86">
        <f t="shared" si="4"/>
        <v>7.65</v>
      </c>
      <c r="I40" s="86">
        <f t="shared" si="5"/>
        <v>191.25</v>
      </c>
      <c r="J40" s="86">
        <v>3</v>
      </c>
      <c r="K40" s="87">
        <f t="shared" si="0"/>
        <v>29.3</v>
      </c>
      <c r="L40" s="83">
        <f t="shared" si="1"/>
        <v>9.1999999999999993</v>
      </c>
      <c r="M40" s="83">
        <f>(L39+L40)/2</f>
        <v>10.5</v>
      </c>
      <c r="N40" s="93">
        <f t="shared" si="7"/>
        <v>262.5</v>
      </c>
      <c r="O40" s="93"/>
      <c r="P40" s="88"/>
    </row>
    <row r="41" spans="1:16" ht="22.5" customHeight="1" x14ac:dyDescent="0.3">
      <c r="A41" s="85">
        <v>975</v>
      </c>
      <c r="B41" s="86">
        <v>7.3</v>
      </c>
      <c r="C41" s="86">
        <v>7.75</v>
      </c>
      <c r="D41" s="86">
        <f t="shared" si="2"/>
        <v>7.7249999999999996</v>
      </c>
      <c r="E41" s="86">
        <f t="shared" si="3"/>
        <v>193.125</v>
      </c>
      <c r="F41" s="86">
        <v>4.7</v>
      </c>
      <c r="G41" s="86">
        <v>7.3</v>
      </c>
      <c r="H41" s="86">
        <f t="shared" si="4"/>
        <v>7.5</v>
      </c>
      <c r="I41" s="86">
        <f t="shared" si="5"/>
        <v>187.5</v>
      </c>
      <c r="J41" s="86">
        <v>2</v>
      </c>
      <c r="K41" s="87">
        <f t="shared" si="0"/>
        <v>29.05</v>
      </c>
      <c r="L41" s="83">
        <f t="shared" si="1"/>
        <v>9.3000000000000007</v>
      </c>
      <c r="M41" s="83">
        <f t="shared" si="6"/>
        <v>9.25</v>
      </c>
      <c r="N41" s="93">
        <f t="shared" si="7"/>
        <v>231.25</v>
      </c>
      <c r="O41" s="93"/>
      <c r="P41" s="88"/>
    </row>
    <row r="42" spans="1:16" ht="22.5" customHeight="1" x14ac:dyDescent="0.3">
      <c r="A42" s="85">
        <v>1000</v>
      </c>
      <c r="B42" s="86">
        <v>5.6</v>
      </c>
      <c r="C42" s="86">
        <v>7.6</v>
      </c>
      <c r="D42" s="86">
        <f t="shared" si="2"/>
        <v>7.6749999999999998</v>
      </c>
      <c r="E42" s="86">
        <f t="shared" si="3"/>
        <v>191.875</v>
      </c>
      <c r="F42" s="86">
        <v>4.7</v>
      </c>
      <c r="G42" s="86">
        <v>7.7</v>
      </c>
      <c r="H42" s="86">
        <f t="shared" si="4"/>
        <v>7.5</v>
      </c>
      <c r="I42" s="86">
        <f t="shared" si="5"/>
        <v>187.5</v>
      </c>
      <c r="J42" s="86">
        <v>4.5</v>
      </c>
      <c r="K42" s="87">
        <f t="shared" si="0"/>
        <v>30.099999999999998</v>
      </c>
      <c r="L42" s="83">
        <f t="shared" si="1"/>
        <v>10.1</v>
      </c>
      <c r="M42" s="83">
        <f t="shared" si="6"/>
        <v>9.6999999999999993</v>
      </c>
      <c r="N42" s="93">
        <f t="shared" si="7"/>
        <v>242.49999999999997</v>
      </c>
      <c r="O42" s="93"/>
      <c r="P42" s="88"/>
    </row>
    <row r="43" spans="1:16" ht="22.5" customHeight="1" x14ac:dyDescent="0.3">
      <c r="A43" s="85">
        <v>1025</v>
      </c>
      <c r="B43" s="86">
        <v>4.55</v>
      </c>
      <c r="C43" s="86">
        <v>7.5</v>
      </c>
      <c r="D43" s="86">
        <f t="shared" si="2"/>
        <v>7.55</v>
      </c>
      <c r="E43" s="86">
        <f t="shared" si="3"/>
        <v>188.75</v>
      </c>
      <c r="F43" s="86">
        <v>4.7</v>
      </c>
      <c r="G43" s="86">
        <v>7.8</v>
      </c>
      <c r="H43" s="86">
        <f t="shared" si="4"/>
        <v>7.75</v>
      </c>
      <c r="I43" s="86">
        <f t="shared" si="5"/>
        <v>193.75</v>
      </c>
      <c r="J43" s="86">
        <v>4.7</v>
      </c>
      <c r="K43" s="87">
        <f t="shared" si="0"/>
        <v>29.25</v>
      </c>
      <c r="L43" s="83">
        <f t="shared" si="1"/>
        <v>9.25</v>
      </c>
      <c r="M43" s="83">
        <f>(L42+L43)/2</f>
        <v>9.6750000000000007</v>
      </c>
      <c r="N43" s="93">
        <f t="shared" si="7"/>
        <v>241.87500000000003</v>
      </c>
      <c r="O43" s="93"/>
      <c r="P43" s="88"/>
    </row>
    <row r="44" spans="1:16" ht="22.5" customHeight="1" x14ac:dyDescent="0.3">
      <c r="A44" s="85">
        <v>1050</v>
      </c>
      <c r="B44" s="86">
        <v>8.3000000000000007</v>
      </c>
      <c r="C44" s="86">
        <v>7.7</v>
      </c>
      <c r="D44" s="86">
        <f t="shared" si="2"/>
        <v>7.6</v>
      </c>
      <c r="E44" s="86">
        <f t="shared" si="3"/>
        <v>190</v>
      </c>
      <c r="F44" s="86">
        <v>4.7</v>
      </c>
      <c r="G44" s="86">
        <v>7.7</v>
      </c>
      <c r="H44" s="86">
        <f t="shared" si="4"/>
        <v>7.75</v>
      </c>
      <c r="I44" s="86">
        <f t="shared" si="5"/>
        <v>193.75</v>
      </c>
      <c r="J44" s="86">
        <v>4</v>
      </c>
      <c r="K44" s="87">
        <f t="shared" si="0"/>
        <v>32.4</v>
      </c>
      <c r="L44" s="83">
        <f t="shared" si="1"/>
        <v>12.3</v>
      </c>
      <c r="M44" s="83">
        <f t="shared" si="6"/>
        <v>10.775</v>
      </c>
      <c r="N44" s="93">
        <f t="shared" si="7"/>
        <v>269.375</v>
      </c>
      <c r="O44" s="93"/>
      <c r="P44" s="88"/>
    </row>
    <row r="45" spans="1:16" ht="22.5" customHeight="1" x14ac:dyDescent="0.3">
      <c r="A45" s="85">
        <v>1075</v>
      </c>
      <c r="B45" s="86">
        <v>2.6</v>
      </c>
      <c r="C45" s="86">
        <v>7.75</v>
      </c>
      <c r="D45" s="86">
        <f t="shared" si="2"/>
        <v>7.7249999999999996</v>
      </c>
      <c r="E45" s="86">
        <f t="shared" si="3"/>
        <v>193.125</v>
      </c>
      <c r="F45" s="86">
        <v>4.7</v>
      </c>
      <c r="G45" s="86">
        <v>7.7</v>
      </c>
      <c r="H45" s="86">
        <f t="shared" si="4"/>
        <v>7.7</v>
      </c>
      <c r="I45" s="86">
        <f t="shared" si="5"/>
        <v>192.5</v>
      </c>
      <c r="J45" s="86">
        <v>4</v>
      </c>
      <c r="K45" s="87">
        <f t="shared" si="0"/>
        <v>26.75</v>
      </c>
      <c r="L45" s="83">
        <f t="shared" si="1"/>
        <v>6.6</v>
      </c>
      <c r="M45" s="83">
        <f t="shared" si="6"/>
        <v>9.4499999999999993</v>
      </c>
      <c r="N45" s="93">
        <f t="shared" si="7"/>
        <v>236.24999999999997</v>
      </c>
      <c r="O45" s="93"/>
      <c r="P45" s="88"/>
    </row>
    <row r="46" spans="1:16" ht="22.5" customHeight="1" x14ac:dyDescent="0.3">
      <c r="A46" s="85">
        <v>1100</v>
      </c>
      <c r="B46" s="86">
        <v>2.9</v>
      </c>
      <c r="C46" s="86">
        <v>7.75</v>
      </c>
      <c r="D46" s="86">
        <f t="shared" si="2"/>
        <v>7.75</v>
      </c>
      <c r="E46" s="86">
        <f t="shared" si="3"/>
        <v>193.75</v>
      </c>
      <c r="F46" s="86">
        <v>4.8</v>
      </c>
      <c r="G46" s="86">
        <v>7.7</v>
      </c>
      <c r="H46" s="86">
        <f t="shared" si="4"/>
        <v>7.7</v>
      </c>
      <c r="I46" s="86">
        <f t="shared" si="5"/>
        <v>192.5</v>
      </c>
      <c r="J46" s="86">
        <v>4</v>
      </c>
      <c r="K46" s="87">
        <f t="shared" si="0"/>
        <v>27.15</v>
      </c>
      <c r="L46" s="83">
        <f t="shared" si="1"/>
        <v>6.9</v>
      </c>
      <c r="M46" s="83">
        <f t="shared" si="6"/>
        <v>6.75</v>
      </c>
      <c r="N46" s="93">
        <f t="shared" si="7"/>
        <v>168.75</v>
      </c>
      <c r="O46" s="93"/>
      <c r="P46" s="88" t="s">
        <v>359</v>
      </c>
    </row>
    <row r="47" spans="1:16" ht="22.5" customHeight="1" x14ac:dyDescent="0.3">
      <c r="A47" s="85">
        <v>1125</v>
      </c>
      <c r="B47" s="86">
        <v>4</v>
      </c>
      <c r="C47" s="86">
        <v>7.95</v>
      </c>
      <c r="D47" s="86">
        <f t="shared" si="2"/>
        <v>7.85</v>
      </c>
      <c r="E47" s="86">
        <f t="shared" si="3"/>
        <v>196.25</v>
      </c>
      <c r="F47" s="86">
        <v>4.4000000000000004</v>
      </c>
      <c r="G47" s="86">
        <v>7.4</v>
      </c>
      <c r="H47" s="86">
        <f t="shared" si="4"/>
        <v>7.5500000000000007</v>
      </c>
      <c r="I47" s="86">
        <f t="shared" si="5"/>
        <v>188.75000000000003</v>
      </c>
      <c r="J47" s="86">
        <v>2</v>
      </c>
      <c r="K47" s="87">
        <f t="shared" si="0"/>
        <v>25.75</v>
      </c>
      <c r="L47" s="83">
        <f t="shared" si="1"/>
        <v>6</v>
      </c>
      <c r="M47" s="83">
        <f t="shared" si="6"/>
        <v>6.45</v>
      </c>
      <c r="N47" s="93">
        <f t="shared" si="7"/>
        <v>161.25</v>
      </c>
      <c r="O47" s="93"/>
      <c r="P47" s="88"/>
    </row>
    <row r="48" spans="1:16" ht="22.5" customHeight="1" x14ac:dyDescent="0.3">
      <c r="A48" s="85">
        <v>1150</v>
      </c>
      <c r="B48" s="86">
        <v>5.3</v>
      </c>
      <c r="C48" s="86">
        <v>7.5</v>
      </c>
      <c r="D48" s="86">
        <f t="shared" si="2"/>
        <v>7.7249999999999996</v>
      </c>
      <c r="E48" s="86">
        <f t="shared" si="3"/>
        <v>193.125</v>
      </c>
      <c r="F48" s="86">
        <v>4.5999999999999996</v>
      </c>
      <c r="G48" s="86">
        <v>7.5</v>
      </c>
      <c r="H48" s="86">
        <f t="shared" si="4"/>
        <v>7.45</v>
      </c>
      <c r="I48" s="86">
        <f t="shared" si="5"/>
        <v>186.25</v>
      </c>
      <c r="J48" s="86">
        <v>2</v>
      </c>
      <c r="K48" s="87">
        <f t="shared" si="0"/>
        <v>26.9</v>
      </c>
      <c r="L48" s="83">
        <f t="shared" si="1"/>
        <v>7.3</v>
      </c>
      <c r="M48" s="83">
        <f t="shared" si="6"/>
        <v>6.65</v>
      </c>
      <c r="N48" s="93">
        <f t="shared" si="7"/>
        <v>166.25</v>
      </c>
      <c r="O48" s="93"/>
      <c r="P48" s="88"/>
    </row>
    <row r="49" spans="1:16" ht="22.5" customHeight="1" x14ac:dyDescent="0.3">
      <c r="A49" s="85">
        <v>1175</v>
      </c>
      <c r="B49" s="86">
        <v>4.7</v>
      </c>
      <c r="C49" s="86">
        <v>7.7</v>
      </c>
      <c r="D49" s="86">
        <f t="shared" si="2"/>
        <v>7.6</v>
      </c>
      <c r="E49" s="86">
        <f t="shared" si="3"/>
        <v>190</v>
      </c>
      <c r="F49" s="86">
        <v>4.7</v>
      </c>
      <c r="G49" s="86">
        <v>7.6</v>
      </c>
      <c r="H49" s="86">
        <f t="shared" si="4"/>
        <v>7.55</v>
      </c>
      <c r="I49" s="86">
        <f t="shared" si="5"/>
        <v>188.75</v>
      </c>
      <c r="J49" s="86">
        <v>2</v>
      </c>
      <c r="K49" s="87">
        <f t="shared" si="0"/>
        <v>26.700000000000003</v>
      </c>
      <c r="L49" s="83">
        <f t="shared" si="1"/>
        <v>6.7</v>
      </c>
      <c r="M49" s="83">
        <f t="shared" si="6"/>
        <v>7</v>
      </c>
      <c r="N49" s="93">
        <f t="shared" si="7"/>
        <v>175</v>
      </c>
      <c r="O49" s="93"/>
      <c r="P49" s="88"/>
    </row>
    <row r="50" spans="1:16" ht="22.5" customHeight="1" x14ac:dyDescent="0.3">
      <c r="A50" s="85">
        <v>1200</v>
      </c>
      <c r="B50" s="86">
        <v>3.4</v>
      </c>
      <c r="C50" s="86">
        <v>7.6</v>
      </c>
      <c r="D50" s="86">
        <f t="shared" si="2"/>
        <v>7.65</v>
      </c>
      <c r="E50" s="86">
        <f t="shared" si="3"/>
        <v>191.25</v>
      </c>
      <c r="F50" s="86">
        <v>4.9000000000000004</v>
      </c>
      <c r="G50" s="86">
        <v>7.7</v>
      </c>
      <c r="H50" s="86">
        <f t="shared" si="4"/>
        <v>7.65</v>
      </c>
      <c r="I50" s="86">
        <f t="shared" si="5"/>
        <v>191.25</v>
      </c>
      <c r="J50" s="86">
        <v>2</v>
      </c>
      <c r="K50" s="87">
        <f t="shared" si="0"/>
        <v>25.6</v>
      </c>
      <c r="L50" s="83">
        <f t="shared" si="1"/>
        <v>5.4</v>
      </c>
      <c r="M50" s="83">
        <f t="shared" si="6"/>
        <v>6.0500000000000007</v>
      </c>
      <c r="N50" s="93">
        <f>M50*25</f>
        <v>151.25000000000003</v>
      </c>
      <c r="O50" s="93"/>
      <c r="P50" s="88"/>
    </row>
    <row r="51" spans="1:16" ht="22.5" customHeight="1" x14ac:dyDescent="0.3">
      <c r="A51" s="90" t="s">
        <v>30</v>
      </c>
      <c r="E51" s="91">
        <f>SUM(E3:E50)</f>
        <v>10334.25</v>
      </c>
      <c r="I51" s="91">
        <f>SUM(I3:I50)</f>
        <v>10172.5</v>
      </c>
      <c r="L51" s="92">
        <f>SUM(L2:L50)</f>
        <v>536.30000000000007</v>
      </c>
      <c r="M51" s="92">
        <f>SUM(M2:M50)</f>
        <v>530.3499999999998</v>
      </c>
      <c r="N51" s="92">
        <f>SUM(N3:N50)</f>
        <v>13258.75</v>
      </c>
      <c r="O51" s="92">
        <f>3*2400</f>
        <v>7200</v>
      </c>
    </row>
    <row r="52" spans="1:16" ht="22.5" customHeight="1" x14ac:dyDescent="0.3">
      <c r="A52" s="90" t="s">
        <v>593</v>
      </c>
      <c r="B52" s="91" t="s">
        <v>6</v>
      </c>
      <c r="C52" s="91">
        <f>E51+I51</f>
        <v>20506.75</v>
      </c>
    </row>
    <row r="53" spans="1:16" ht="22.5" customHeight="1" x14ac:dyDescent="0.3">
      <c r="A53" s="90" t="s">
        <v>594</v>
      </c>
      <c r="B53" s="91" t="s">
        <v>6</v>
      </c>
      <c r="C53" s="91">
        <f>5*100*4</f>
        <v>2000</v>
      </c>
    </row>
    <row r="54" spans="1:16" ht="22.5" customHeight="1" x14ac:dyDescent="0.3">
      <c r="A54" s="90" t="s">
        <v>615</v>
      </c>
      <c r="B54" s="91" t="s">
        <v>6</v>
      </c>
      <c r="C54" s="91">
        <f>SUM(C52:C53)</f>
        <v>22506.75</v>
      </c>
    </row>
    <row r="55" spans="1:16" ht="22.5" customHeight="1" x14ac:dyDescent="0.3">
      <c r="A55" s="90" t="s">
        <v>615</v>
      </c>
      <c r="B55" s="91" t="s">
        <v>6</v>
      </c>
      <c r="C55" s="91" t="s">
        <v>590</v>
      </c>
      <c r="D55" s="91" t="s">
        <v>15</v>
      </c>
      <c r="E55" s="91">
        <f>1200*7.5*2</f>
        <v>18000</v>
      </c>
    </row>
    <row r="56" spans="1:16" ht="22.5" customHeight="1" x14ac:dyDescent="0.3">
      <c r="A56" s="221" t="s">
        <v>616</v>
      </c>
      <c r="B56" s="91" t="s">
        <v>6</v>
      </c>
      <c r="C56" s="91" t="s">
        <v>590</v>
      </c>
      <c r="D56" s="91" t="s">
        <v>15</v>
      </c>
      <c r="E56" s="91">
        <f>C54-E55</f>
        <v>4506.75</v>
      </c>
      <c r="F56" s="91">
        <f>E55+E56</f>
        <v>22506.75</v>
      </c>
    </row>
    <row r="57" spans="1:16" ht="22.5" customHeight="1" x14ac:dyDescent="0.3">
      <c r="C57" s="91" t="s">
        <v>625</v>
      </c>
      <c r="D57" s="91" t="s">
        <v>15</v>
      </c>
      <c r="E57" s="91">
        <f>FLOOR(SUM(E55:E56),2)</f>
        <v>22506</v>
      </c>
      <c r="H57" s="91">
        <v>29200</v>
      </c>
    </row>
    <row r="58" spans="1:16" ht="22.5" customHeight="1" x14ac:dyDescent="0.3">
      <c r="C58" s="91" t="s">
        <v>626</v>
      </c>
      <c r="D58" s="91" t="s">
        <v>15</v>
      </c>
      <c r="E58" s="91">
        <f>1200*3*2</f>
        <v>7200</v>
      </c>
      <c r="H58" s="91">
        <f>H57+(4.5*100*3)</f>
        <v>30550</v>
      </c>
    </row>
    <row r="59" spans="1:16" ht="22.5" customHeight="1" x14ac:dyDescent="0.3">
      <c r="C59" s="91" t="s">
        <v>627</v>
      </c>
      <c r="D59" s="91" t="s">
        <v>15</v>
      </c>
      <c r="E59" s="91">
        <f>E57+E58</f>
        <v>29706</v>
      </c>
    </row>
    <row r="60" spans="1:16" ht="22.5" customHeight="1" x14ac:dyDescent="0.3"/>
    <row r="61" spans="1:16" ht="22.5" customHeight="1" x14ac:dyDescent="0.3"/>
    <row r="62" spans="1:16" ht="22.5" customHeight="1" x14ac:dyDescent="0.3"/>
    <row r="63" spans="1:16" ht="22.5" customHeight="1" x14ac:dyDescent="0.3"/>
    <row r="64" spans="1:16" ht="22.5" customHeight="1" x14ac:dyDescent="0.3"/>
    <row r="65" ht="22.5" customHeight="1" x14ac:dyDescent="0.3"/>
    <row r="66" ht="22.5" customHeight="1" x14ac:dyDescent="0.3"/>
    <row r="67" ht="22.5" customHeight="1" x14ac:dyDescent="0.3"/>
    <row r="68" ht="22.5" customHeight="1" x14ac:dyDescent="0.3"/>
    <row r="69" ht="22.5" customHeight="1" x14ac:dyDescent="0.3"/>
    <row r="70" ht="22.5" customHeight="1" x14ac:dyDescent="0.3"/>
    <row r="71" ht="22.5" customHeight="1" x14ac:dyDescent="0.3"/>
    <row r="72" ht="22.5" customHeight="1" x14ac:dyDescent="0.3"/>
    <row r="73" ht="22.5" customHeight="1" x14ac:dyDescent="0.3"/>
    <row r="74" ht="22.5" customHeight="1" x14ac:dyDescent="0.3"/>
    <row r="75" ht="22.5" customHeight="1" x14ac:dyDescent="0.3"/>
    <row r="76" ht="22.5" customHeight="1" x14ac:dyDescent="0.3"/>
    <row r="77" ht="22.5" customHeight="1" x14ac:dyDescent="0.3"/>
    <row r="78" ht="22.5" customHeight="1" x14ac:dyDescent="0.3"/>
    <row r="79" ht="22.5" customHeight="1" x14ac:dyDescent="0.3"/>
    <row r="80" ht="22.5" customHeight="1" x14ac:dyDescent="0.3"/>
    <row r="81" ht="22.5" customHeight="1" x14ac:dyDescent="0.3"/>
    <row r="82" ht="22.5" customHeight="1" x14ac:dyDescent="0.3"/>
    <row r="83" ht="22.5" customHeight="1" x14ac:dyDescent="0.3"/>
    <row r="84" ht="22.5" customHeight="1" x14ac:dyDescent="0.3"/>
    <row r="85" ht="22.5" customHeight="1" x14ac:dyDescent="0.3"/>
    <row r="86" ht="22.5" customHeight="1" x14ac:dyDescent="0.3"/>
    <row r="87" ht="22.5" customHeight="1" x14ac:dyDescent="0.3"/>
    <row r="88" ht="22.5" customHeight="1" x14ac:dyDescent="0.3"/>
    <row r="89" ht="22.5" customHeight="1" x14ac:dyDescent="0.3"/>
    <row r="90" ht="22.5" customHeight="1" x14ac:dyDescent="0.3"/>
    <row r="91" ht="22.5" customHeight="1" x14ac:dyDescent="0.3"/>
    <row r="92" ht="22.5" customHeight="1" x14ac:dyDescent="0.3"/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E17"/>
  <sheetViews>
    <sheetView view="pageBreakPreview" zoomScale="60" zoomScaleNormal="100" workbookViewId="0">
      <selection activeCell="O12" sqref="O12"/>
    </sheetView>
  </sheetViews>
  <sheetFormatPr defaultRowHeight="18.75" x14ac:dyDescent="0.3"/>
  <cols>
    <col min="1" max="1" width="5" style="171" customWidth="1"/>
    <col min="2" max="2" width="37.140625" style="171" customWidth="1"/>
    <col min="3" max="3" width="14.7109375" style="171" customWidth="1"/>
    <col min="4" max="4" width="20.85546875" style="171" customWidth="1"/>
    <col min="5" max="5" width="26.28515625" style="171" customWidth="1"/>
    <col min="6" max="16384" width="9.140625" style="171"/>
  </cols>
  <sheetData>
    <row r="1" spans="1:5" ht="23.25" x14ac:dyDescent="0.35">
      <c r="A1" s="816" t="s">
        <v>377</v>
      </c>
      <c r="B1" s="816"/>
      <c r="C1" s="816"/>
      <c r="D1" s="816"/>
      <c r="E1" s="816"/>
    </row>
    <row r="2" spans="1:5" x14ac:dyDescent="0.3">
      <c r="A2" s="491" t="s">
        <v>1345</v>
      </c>
    </row>
    <row r="3" spans="1:5" x14ac:dyDescent="0.3">
      <c r="A3" s="491" t="s">
        <v>379</v>
      </c>
      <c r="C3" s="171" t="s">
        <v>332</v>
      </c>
    </row>
    <row r="4" spans="1:5" x14ac:dyDescent="0.3">
      <c r="A4" s="491" t="s">
        <v>380</v>
      </c>
      <c r="C4" s="171" t="s">
        <v>381</v>
      </c>
      <c r="E4" s="491"/>
    </row>
    <row r="5" spans="1:5" x14ac:dyDescent="0.3">
      <c r="A5" s="491" t="s">
        <v>382</v>
      </c>
      <c r="C5" s="171" t="s">
        <v>383</v>
      </c>
    </row>
    <row r="6" spans="1:5" x14ac:dyDescent="0.3">
      <c r="A6" s="491" t="s">
        <v>488</v>
      </c>
      <c r="C6" s="772" t="str">
        <f>+ข้อมูล!I3</f>
        <v>วันที่   24  เดือน  กันยายน      พ.ศ. 2567</v>
      </c>
    </row>
    <row r="7" spans="1:5" x14ac:dyDescent="0.3">
      <c r="A7" s="499" t="s">
        <v>386</v>
      </c>
      <c r="B7" s="499" t="s">
        <v>1</v>
      </c>
      <c r="C7" s="499"/>
      <c r="D7" s="499"/>
      <c r="E7" s="511" t="s">
        <v>20</v>
      </c>
    </row>
    <row r="8" spans="1:5" x14ac:dyDescent="0.3">
      <c r="A8" s="501" t="s">
        <v>0</v>
      </c>
      <c r="B8" s="515"/>
      <c r="C8" s="515"/>
      <c r="D8" s="515"/>
      <c r="E8" s="362"/>
    </row>
    <row r="9" spans="1:5" x14ac:dyDescent="0.3">
      <c r="A9" s="807"/>
      <c r="B9" s="808"/>
      <c r="C9" s="515"/>
      <c r="D9" s="515"/>
      <c r="E9" s="530"/>
    </row>
    <row r="10" spans="1:5" x14ac:dyDescent="0.3">
      <c r="A10" s="502"/>
      <c r="B10" s="809" t="s">
        <v>1257</v>
      </c>
      <c r="C10" s="810">
        <v>1</v>
      </c>
      <c r="D10" s="502" t="s">
        <v>461</v>
      </c>
      <c r="E10" s="811" t="s">
        <v>1259</v>
      </c>
    </row>
    <row r="11" spans="1:5" x14ac:dyDescent="0.3">
      <c r="A11" s="502"/>
      <c r="B11" s="809" t="s">
        <v>1260</v>
      </c>
      <c r="C11" s="812">
        <f>29.2*2*3</f>
        <v>175.2</v>
      </c>
      <c r="D11" s="502" t="s">
        <v>1258</v>
      </c>
      <c r="E11" s="811"/>
    </row>
    <row r="12" spans="1:5" x14ac:dyDescent="0.3">
      <c r="A12" s="502"/>
      <c r="B12" s="809" t="s">
        <v>1262</v>
      </c>
      <c r="C12" s="812">
        <f>2*12*3</f>
        <v>72</v>
      </c>
      <c r="D12" s="502" t="s">
        <v>1258</v>
      </c>
      <c r="E12" s="811"/>
    </row>
    <row r="13" spans="1:5" x14ac:dyDescent="0.3">
      <c r="A13" s="502"/>
      <c r="B13" s="809" t="s">
        <v>1261</v>
      </c>
      <c r="C13" s="812">
        <v>400</v>
      </c>
      <c r="D13" s="502" t="s">
        <v>1258</v>
      </c>
      <c r="E13" s="811"/>
    </row>
    <row r="14" spans="1:5" x14ac:dyDescent="0.3">
      <c r="A14" s="502"/>
      <c r="B14" s="809" t="s">
        <v>1263</v>
      </c>
      <c r="C14" s="813">
        <v>400</v>
      </c>
      <c r="D14" s="502" t="s">
        <v>1258</v>
      </c>
      <c r="E14" s="811"/>
    </row>
    <row r="15" spans="1:5" x14ac:dyDescent="0.3">
      <c r="A15" s="813"/>
      <c r="B15" s="505" t="s">
        <v>404</v>
      </c>
      <c r="C15" s="814">
        <f>SUM(C10:C14)</f>
        <v>1048.2</v>
      </c>
      <c r="D15" s="502" t="s">
        <v>1258</v>
      </c>
      <c r="E15" s="811"/>
    </row>
    <row r="16" spans="1:5" x14ac:dyDescent="0.3">
      <c r="A16" s="813"/>
      <c r="B16" s="505"/>
      <c r="C16" s="814"/>
      <c r="D16" s="502"/>
      <c r="E16" s="811"/>
    </row>
    <row r="17" spans="1:5" x14ac:dyDescent="0.3">
      <c r="A17" s="809"/>
      <c r="B17" s="503" t="s">
        <v>687</v>
      </c>
      <c r="C17" s="814">
        <f>FLOOR(C15,100)</f>
        <v>1000</v>
      </c>
      <c r="D17" s="502" t="s">
        <v>1258</v>
      </c>
      <c r="E17" s="815" t="s">
        <v>689</v>
      </c>
    </row>
  </sheetData>
  <mergeCells count="2">
    <mergeCell ref="A1:E1"/>
    <mergeCell ref="E7:E8"/>
  </mergeCells>
  <pageMargins left="0.7" right="0.7" top="0.75" bottom="0.75" header="0.3" footer="0.3"/>
  <pageSetup paperSize="9" scale="91" orientation="portrait" horizontalDpi="0" verticalDpi="0" r:id="rId1"/>
  <colBreaks count="1" manualBreakCount="1">
    <brk id="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G22"/>
  <sheetViews>
    <sheetView view="pageBreakPreview" zoomScale="60" zoomScaleNormal="100" workbookViewId="0">
      <selection activeCell="K14" sqref="K14"/>
    </sheetView>
  </sheetViews>
  <sheetFormatPr defaultRowHeight="18.75" x14ac:dyDescent="0.3"/>
  <cols>
    <col min="1" max="1" width="5" style="171" customWidth="1"/>
    <col min="2" max="2" width="30.28515625" style="171" customWidth="1"/>
    <col min="3" max="3" width="14.7109375" style="171" customWidth="1"/>
    <col min="4" max="4" width="20.85546875" style="171" customWidth="1"/>
    <col min="5" max="5" width="26.28515625" style="171" customWidth="1"/>
    <col min="6" max="16384" width="9.140625" style="171"/>
  </cols>
  <sheetData>
    <row r="1" spans="1:5" ht="23.25" x14ac:dyDescent="0.35">
      <c r="A1" s="816" t="s">
        <v>1283</v>
      </c>
      <c r="B1" s="816"/>
      <c r="C1" s="816"/>
      <c r="D1" s="816"/>
      <c r="E1" s="816"/>
    </row>
    <row r="2" spans="1:5" x14ac:dyDescent="0.3">
      <c r="A2" s="491" t="s">
        <v>1345</v>
      </c>
    </row>
    <row r="3" spans="1:5" x14ac:dyDescent="0.3">
      <c r="A3" s="491" t="s">
        <v>379</v>
      </c>
      <c r="C3" s="171" t="s">
        <v>332</v>
      </c>
    </row>
    <row r="4" spans="1:5" x14ac:dyDescent="0.3">
      <c r="A4" s="491" t="s">
        <v>380</v>
      </c>
      <c r="C4" s="171" t="s">
        <v>381</v>
      </c>
      <c r="E4" s="491"/>
    </row>
    <row r="5" spans="1:5" x14ac:dyDescent="0.3">
      <c r="A5" s="491" t="s">
        <v>382</v>
      </c>
      <c r="C5" s="171" t="s">
        <v>383</v>
      </c>
    </row>
    <row r="6" spans="1:5" x14ac:dyDescent="0.3">
      <c r="A6" s="491" t="str">
        <f>+ย้ายเสาไฟกิ่ง!A6</f>
        <v>กำหนดราคากลางเมื่อ</v>
      </c>
      <c r="C6" s="772" t="str">
        <f>+ย้ายเสาไฟกิ่ง!C6</f>
        <v>วันที่   24  เดือน  กันยายน      พ.ศ. 2567</v>
      </c>
    </row>
    <row r="7" spans="1:5" x14ac:dyDescent="0.3">
      <c r="A7" s="499" t="s">
        <v>386</v>
      </c>
      <c r="B7" s="499" t="s">
        <v>1</v>
      </c>
      <c r="C7" s="499"/>
      <c r="D7" s="499"/>
      <c r="E7" s="511" t="s">
        <v>20</v>
      </c>
    </row>
    <row r="8" spans="1:5" x14ac:dyDescent="0.3">
      <c r="A8" s="501" t="s">
        <v>0</v>
      </c>
      <c r="B8" s="515"/>
      <c r="C8" s="515"/>
      <c r="D8" s="515"/>
      <c r="E8" s="362"/>
    </row>
    <row r="9" spans="1:5" x14ac:dyDescent="0.3">
      <c r="A9" s="502"/>
      <c r="B9" s="503" t="s">
        <v>1274</v>
      </c>
      <c r="C9" s="817">
        <v>1</v>
      </c>
      <c r="D9" s="502" t="s">
        <v>1275</v>
      </c>
      <c r="E9" s="811"/>
    </row>
    <row r="10" spans="1:5" x14ac:dyDescent="0.3">
      <c r="A10" s="502"/>
      <c r="B10" s="809" t="s">
        <v>1279</v>
      </c>
      <c r="C10" s="811">
        <v>450</v>
      </c>
      <c r="D10" s="502" t="s">
        <v>47</v>
      </c>
      <c r="E10" s="811"/>
    </row>
    <row r="11" spans="1:5" x14ac:dyDescent="0.3">
      <c r="A11" s="502"/>
      <c r="B11" s="809" t="s">
        <v>1280</v>
      </c>
      <c r="C11" s="811">
        <v>1700</v>
      </c>
      <c r="D11" s="502" t="s">
        <v>47</v>
      </c>
      <c r="E11" s="811" t="s">
        <v>1281</v>
      </c>
    </row>
    <row r="12" spans="1:5" x14ac:dyDescent="0.3">
      <c r="A12" s="502"/>
      <c r="B12" s="809" t="s">
        <v>1276</v>
      </c>
      <c r="C12" s="811">
        <v>400</v>
      </c>
      <c r="D12" s="502" t="s">
        <v>47</v>
      </c>
      <c r="E12" s="811" t="s">
        <v>1281</v>
      </c>
    </row>
    <row r="13" spans="1:5" x14ac:dyDescent="0.3">
      <c r="A13" s="502"/>
      <c r="B13" s="809" t="s">
        <v>1277</v>
      </c>
      <c r="C13" s="811">
        <v>70</v>
      </c>
      <c r="D13" s="502" t="s">
        <v>47</v>
      </c>
      <c r="E13" s="811" t="s">
        <v>1281</v>
      </c>
    </row>
    <row r="14" spans="1:5" x14ac:dyDescent="0.3">
      <c r="A14" s="502"/>
      <c r="B14" s="809" t="s">
        <v>1278</v>
      </c>
      <c r="C14" s="811">
        <v>407</v>
      </c>
      <c r="D14" s="502" t="s">
        <v>47</v>
      </c>
      <c r="E14" s="811" t="s">
        <v>1282</v>
      </c>
    </row>
    <row r="15" spans="1:5" x14ac:dyDescent="0.3">
      <c r="A15" s="813"/>
      <c r="B15" s="505" t="s">
        <v>404</v>
      </c>
      <c r="C15" s="815">
        <f>SUM(C10:C14)</f>
        <v>3027</v>
      </c>
      <c r="D15" s="502" t="s">
        <v>47</v>
      </c>
      <c r="E15" s="811"/>
    </row>
    <row r="16" spans="1:5" x14ac:dyDescent="0.3">
      <c r="A16" s="813"/>
      <c r="B16" s="505"/>
      <c r="C16" s="815"/>
      <c r="D16" s="502"/>
      <c r="E16" s="811"/>
    </row>
    <row r="17" spans="1:7" x14ac:dyDescent="0.3">
      <c r="A17" s="809"/>
      <c r="B17" s="503" t="s">
        <v>687</v>
      </c>
      <c r="C17" s="815">
        <f>FLOOR(C15,100)</f>
        <v>3000</v>
      </c>
      <c r="D17" s="502" t="s">
        <v>47</v>
      </c>
      <c r="E17" s="815" t="s">
        <v>689</v>
      </c>
    </row>
    <row r="20" spans="1:7" x14ac:dyDescent="0.3">
      <c r="B20" s="779"/>
      <c r="C20" s="779"/>
      <c r="D20" s="779"/>
      <c r="E20" s="779"/>
      <c r="F20" s="779"/>
      <c r="G20" s="779"/>
    </row>
    <row r="21" spans="1:7" x14ac:dyDescent="0.3">
      <c r="B21" s="779"/>
      <c r="C21" s="779"/>
      <c r="D21" s="779"/>
      <c r="E21" s="779"/>
      <c r="F21" s="779"/>
      <c r="G21" s="779"/>
    </row>
    <row r="22" spans="1:7" x14ac:dyDescent="0.3">
      <c r="B22" s="779"/>
      <c r="C22" s="779"/>
      <c r="D22" s="779"/>
      <c r="E22" s="779"/>
      <c r="F22" s="779"/>
      <c r="G22" s="779"/>
    </row>
  </sheetData>
  <mergeCells count="5">
    <mergeCell ref="A1:E1"/>
    <mergeCell ref="B20:G20"/>
    <mergeCell ref="B21:G21"/>
    <mergeCell ref="B22:G22"/>
    <mergeCell ref="E7:E8"/>
  </mergeCell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E17"/>
  <sheetViews>
    <sheetView view="pageBreakPreview" topLeftCell="A4" zoomScale="60" zoomScaleNormal="100" workbookViewId="0">
      <selection activeCell="I14" sqref="I14"/>
    </sheetView>
  </sheetViews>
  <sheetFormatPr defaultRowHeight="18.75" x14ac:dyDescent="0.3"/>
  <cols>
    <col min="1" max="1" width="5" style="171" customWidth="1"/>
    <col min="2" max="2" width="39.5703125" style="171" customWidth="1"/>
    <col min="3" max="3" width="14.7109375" style="171" customWidth="1"/>
    <col min="4" max="4" width="20.85546875" style="171" customWidth="1"/>
    <col min="5" max="5" width="26.28515625" style="171" customWidth="1"/>
    <col min="6" max="16384" width="9.140625" style="171"/>
  </cols>
  <sheetData>
    <row r="1" spans="1:5" ht="23.25" x14ac:dyDescent="0.35">
      <c r="A1" s="816" t="s">
        <v>377</v>
      </c>
      <c r="B1" s="816"/>
      <c r="C1" s="816"/>
      <c r="D1" s="816"/>
      <c r="E1" s="816"/>
    </row>
    <row r="2" spans="1:5" x14ac:dyDescent="0.3">
      <c r="A2" s="491" t="s">
        <v>1345</v>
      </c>
    </row>
    <row r="3" spans="1:5" x14ac:dyDescent="0.3">
      <c r="A3" s="491" t="s">
        <v>379</v>
      </c>
      <c r="C3" s="171" t="s">
        <v>332</v>
      </c>
    </row>
    <row r="4" spans="1:5" x14ac:dyDescent="0.3">
      <c r="A4" s="491" t="s">
        <v>380</v>
      </c>
      <c r="C4" s="171" t="s">
        <v>381</v>
      </c>
      <c r="E4" s="491"/>
    </row>
    <row r="5" spans="1:5" x14ac:dyDescent="0.3">
      <c r="A5" s="491" t="s">
        <v>382</v>
      </c>
      <c r="C5" s="171" t="s">
        <v>383</v>
      </c>
    </row>
    <row r="6" spans="1:5" x14ac:dyDescent="0.3">
      <c r="A6" s="491" t="str">
        <f>+ค่ารื้อย้ายยกประตูน้ำ!A6</f>
        <v>กำหนดราคากลางเมื่อ</v>
      </c>
      <c r="C6" s="772" t="str">
        <f>+ย้ายเสาไฟกิ่ง!C6</f>
        <v>วันที่   24  เดือน  กันยายน      พ.ศ. 2567</v>
      </c>
    </row>
    <row r="7" spans="1:5" x14ac:dyDescent="0.3">
      <c r="A7" s="499" t="s">
        <v>386</v>
      </c>
      <c r="B7" s="499" t="s">
        <v>1</v>
      </c>
      <c r="C7" s="499"/>
      <c r="D7" s="499"/>
      <c r="E7" s="502" t="s">
        <v>20</v>
      </c>
    </row>
    <row r="8" spans="1:5" x14ac:dyDescent="0.3">
      <c r="A8" s="501" t="s">
        <v>0</v>
      </c>
      <c r="B8" s="515"/>
      <c r="C8" s="515"/>
      <c r="D8" s="515"/>
      <c r="E8" s="530"/>
    </row>
    <row r="9" spans="1:5" x14ac:dyDescent="0.3">
      <c r="A9" s="807"/>
      <c r="B9" s="808"/>
      <c r="C9" s="515"/>
      <c r="D9" s="515"/>
      <c r="E9" s="530"/>
    </row>
    <row r="10" spans="1:5" x14ac:dyDescent="0.3">
      <c r="A10" s="502"/>
      <c r="B10" s="809" t="s">
        <v>1264</v>
      </c>
      <c r="C10" s="810">
        <v>1</v>
      </c>
      <c r="D10" s="502" t="s">
        <v>1265</v>
      </c>
      <c r="E10" s="811"/>
    </row>
    <row r="11" spans="1:5" x14ac:dyDescent="0.3">
      <c r="A11" s="502"/>
      <c r="B11" s="809" t="s">
        <v>1266</v>
      </c>
      <c r="C11" s="812">
        <v>60</v>
      </c>
      <c r="D11" s="502" t="s">
        <v>1267</v>
      </c>
      <c r="E11" s="811"/>
    </row>
    <row r="12" spans="1:5" x14ac:dyDescent="0.3">
      <c r="A12" s="502"/>
      <c r="B12" s="809" t="s">
        <v>1268</v>
      </c>
      <c r="C12" s="811">
        <v>10050</v>
      </c>
      <c r="D12" s="502" t="s">
        <v>1258</v>
      </c>
      <c r="E12" s="811" t="s">
        <v>1271</v>
      </c>
    </row>
    <row r="13" spans="1:5" x14ac:dyDescent="0.3">
      <c r="A13" s="502"/>
      <c r="B13" s="809" t="s">
        <v>1269</v>
      </c>
      <c r="C13" s="811"/>
      <c r="D13" s="502" t="s">
        <v>1258</v>
      </c>
      <c r="E13" s="811"/>
    </row>
    <row r="14" spans="1:5" x14ac:dyDescent="0.3">
      <c r="A14" s="502"/>
      <c r="B14" s="809" t="s">
        <v>1270</v>
      </c>
      <c r="C14" s="811"/>
      <c r="D14" s="502" t="s">
        <v>1258</v>
      </c>
      <c r="E14" s="811"/>
    </row>
    <row r="15" spans="1:5" x14ac:dyDescent="0.3">
      <c r="A15" s="813"/>
      <c r="B15" s="505" t="s">
        <v>404</v>
      </c>
      <c r="C15" s="815">
        <f>C12</f>
        <v>10050</v>
      </c>
      <c r="D15" s="502" t="s">
        <v>1258</v>
      </c>
      <c r="E15" s="811"/>
    </row>
    <row r="16" spans="1:5" x14ac:dyDescent="0.3">
      <c r="A16" s="813"/>
      <c r="B16" s="505"/>
      <c r="C16" s="815"/>
      <c r="D16" s="502"/>
      <c r="E16" s="811"/>
    </row>
    <row r="17" spans="1:5" x14ac:dyDescent="0.3">
      <c r="A17" s="809"/>
      <c r="B17" s="503" t="s">
        <v>687</v>
      </c>
      <c r="C17" s="815">
        <f>FLOOR(C15,100)</f>
        <v>10000</v>
      </c>
      <c r="D17" s="502" t="s">
        <v>4</v>
      </c>
      <c r="E17" s="815" t="s">
        <v>689</v>
      </c>
    </row>
  </sheetData>
  <mergeCells count="1">
    <mergeCell ref="A1:E1"/>
  </mergeCells>
  <pageMargins left="0.7" right="0.7" top="0.75" bottom="0.75" header="0.3" footer="0.3"/>
  <pageSetup paperSize="9" scale="89" orientation="portrait" horizontalDpi="0" verticalDpi="0" r:id="rId1"/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29</vt:i4>
      </vt:variant>
      <vt:variant>
        <vt:lpstr>ช่วงที่มีชื่อ</vt:lpstr>
      </vt:variant>
      <vt:variant>
        <vt:i4>8</vt:i4>
      </vt:variant>
    </vt:vector>
  </HeadingPairs>
  <TitlesOfParts>
    <vt:vector size="37" baseType="lpstr">
      <vt:lpstr>S2</vt:lpstr>
      <vt:lpstr>S3</vt:lpstr>
      <vt:lpstr>ข้อมูล</vt:lpstr>
      <vt:lpstr>ปร.4</vt:lpstr>
      <vt:lpstr>ปร.5</vt:lpstr>
      <vt:lpstr>0+000-1+200</vt:lpstr>
      <vt:lpstr>ย้ายเสาไฟกิ่ง</vt:lpstr>
      <vt:lpstr>ค่ารื้อย้ายยกประตูน้ำ</vt:lpstr>
      <vt:lpstr>รื้อย้ายป้ายเดิม</vt:lpstr>
      <vt:lpstr>รื้อคันหินเดิม</vt:lpstr>
      <vt:lpstr>ทาสีคันหิน</vt:lpstr>
      <vt:lpstr>บ่อพักใหม่</vt:lpstr>
      <vt:lpstr>รื้อทางเท้าเดิม 10 ซม.</vt:lpstr>
      <vt:lpstr>รื้อคอนกรีตบ่อพัก+ฝาเดิม</vt:lpstr>
      <vt:lpstr>คันหินปิดหลังทางเท้า</vt:lpstr>
      <vt:lpstr>ก่อสร้างคันหินเตี้ย</vt:lpstr>
      <vt:lpstr>ก่อสร้างคันหิน คสล.</vt:lpstr>
      <vt:lpstr>ฝาตะแกรงบ่อพัก</vt:lpstr>
      <vt:lpstr>ดิน,ทราย,คสล.</vt:lpstr>
      <vt:lpstr>ไม้แบบ</vt:lpstr>
      <vt:lpstr>ราคาวัสดุ</vt:lpstr>
      <vt:lpstr>รายละเอียดพิกัด</vt:lpstr>
      <vt:lpstr>ต่อขอบบ่อพัก</vt:lpstr>
      <vt:lpstr>ฝาตะแกรงเหล็ก</vt:lpstr>
      <vt:lpstr>เต็มพื้นที่</vt:lpstr>
      <vt:lpstr>ซ้ายทาง</vt:lpstr>
      <vt:lpstr>ขวาทาง </vt:lpstr>
      <vt:lpstr>ข้อมูลราคาวัสดุ</vt:lpstr>
      <vt:lpstr>ชี้แจงเบร็คดาว</vt:lpstr>
      <vt:lpstr>ค่ารื้อย้ายยกประตูน้ำ!Print_Area</vt:lpstr>
      <vt:lpstr>'ดิน,ทราย,คสล.'!Print_Area</vt:lpstr>
      <vt:lpstr>ปร.4!Print_Area</vt:lpstr>
      <vt:lpstr>ย้ายเสาไฟกิ่ง!Print_Area</vt:lpstr>
      <vt:lpstr>ราคาวัสดุ!Print_Area</vt:lpstr>
      <vt:lpstr>'รื้อทางเท้าเดิม 10 ซม.'!Print_Area</vt:lpstr>
      <vt:lpstr>รื้อย้ายป้ายเดิม!Print_Area</vt:lpstr>
      <vt:lpstr>ซ้ายทาง!Print_Titles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Pitsanu Chaipun</cp:lastModifiedBy>
  <cp:lastPrinted>2024-09-24T08:40:32Z</cp:lastPrinted>
  <dcterms:created xsi:type="dcterms:W3CDTF">1999-01-11T08:20:28Z</dcterms:created>
  <dcterms:modified xsi:type="dcterms:W3CDTF">2024-09-24T08:41:27Z</dcterms:modified>
</cp:coreProperties>
</file>