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New folder\"/>
    </mc:Choice>
  </mc:AlternateContent>
  <xr:revisionPtr revIDLastSave="0" documentId="13_ncr:1_{7836A028-FE25-4CC1-8D04-575C58BB5B58}" xr6:coauthVersionLast="45" xr6:coauthVersionMax="45" xr10:uidLastSave="{00000000-0000-0000-0000-000000000000}"/>
  <bookViews>
    <workbookView xWindow="2964" yWindow="2964" windowWidth="17280" windowHeight="8964" xr2:uid="{8E85D736-737C-4DA3-9ADC-12CE37AA66B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1" i="1" l="1"/>
  <c r="K231" i="1"/>
  <c r="L231" i="1" s="1"/>
  <c r="J231" i="1"/>
  <c r="K230" i="1"/>
  <c r="L230" i="1" s="1"/>
  <c r="M230" i="1" s="1"/>
  <c r="J230" i="1"/>
  <c r="L229" i="1"/>
  <c r="M229" i="1" s="1"/>
  <c r="M232" i="1" s="1"/>
  <c r="K229" i="1"/>
  <c r="J229" i="1"/>
  <c r="J232" i="1" s="1"/>
  <c r="I229" i="1"/>
  <c r="H229" i="1"/>
  <c r="K226" i="1"/>
  <c r="I226" i="1"/>
  <c r="H226" i="1"/>
  <c r="E226" i="1"/>
  <c r="C226" i="1"/>
  <c r="I225" i="1"/>
  <c r="J225" i="1" s="1"/>
  <c r="E225" i="1"/>
  <c r="K225" i="1" s="1"/>
  <c r="K224" i="1"/>
  <c r="H224" i="1"/>
  <c r="G224" i="1"/>
  <c r="K223" i="1"/>
  <c r="I223" i="1"/>
  <c r="J223" i="1" s="1"/>
  <c r="H223" i="1"/>
  <c r="G223" i="1"/>
  <c r="K222" i="1"/>
  <c r="H222" i="1"/>
  <c r="G222" i="1"/>
  <c r="I222" i="1" s="1"/>
  <c r="J222" i="1" s="1"/>
  <c r="K221" i="1"/>
  <c r="I221" i="1"/>
  <c r="J221" i="1" s="1"/>
  <c r="K220" i="1"/>
  <c r="I220" i="1"/>
  <c r="J220" i="1" s="1"/>
  <c r="K219" i="1"/>
  <c r="L219" i="1" s="1"/>
  <c r="M219" i="1" s="1"/>
  <c r="I219" i="1"/>
  <c r="J219" i="1" s="1"/>
  <c r="K218" i="1"/>
  <c r="I218" i="1"/>
  <c r="E218" i="1"/>
  <c r="K217" i="1"/>
  <c r="I217" i="1"/>
  <c r="J217" i="1" s="1"/>
  <c r="J215" i="1"/>
  <c r="E215" i="1"/>
  <c r="I215" i="1" s="1"/>
  <c r="C215" i="1"/>
  <c r="C225" i="1" s="1"/>
  <c r="E214" i="1"/>
  <c r="K212" i="1"/>
  <c r="L212" i="1" s="1"/>
  <c r="M212" i="1" s="1"/>
  <c r="J212" i="1"/>
  <c r="I212" i="1"/>
  <c r="K211" i="1"/>
  <c r="E211" i="1"/>
  <c r="H211" i="1" s="1"/>
  <c r="N210" i="1"/>
  <c r="N214" i="1" s="1"/>
  <c r="E210" i="1"/>
  <c r="G210" i="1" s="1"/>
  <c r="K208" i="1"/>
  <c r="E208" i="1"/>
  <c r="E207" i="1"/>
  <c r="K207" i="1" s="1"/>
  <c r="K206" i="1"/>
  <c r="H206" i="1"/>
  <c r="G206" i="1"/>
  <c r="E206" i="1"/>
  <c r="E213" i="1" s="1"/>
  <c r="K213" i="1" s="1"/>
  <c r="L203" i="1"/>
  <c r="M203" i="1" s="1"/>
  <c r="K203" i="1"/>
  <c r="J203" i="1"/>
  <c r="I203" i="1"/>
  <c r="K202" i="1"/>
  <c r="L202" i="1" s="1"/>
  <c r="M202" i="1" s="1"/>
  <c r="I202" i="1"/>
  <c r="J202" i="1" s="1"/>
  <c r="K201" i="1"/>
  <c r="H201" i="1"/>
  <c r="I201" i="1" s="1"/>
  <c r="J201" i="1" s="1"/>
  <c r="G201" i="1"/>
  <c r="K200" i="1"/>
  <c r="I200" i="1"/>
  <c r="L200" i="1" s="1"/>
  <c r="M200" i="1" s="1"/>
  <c r="K199" i="1"/>
  <c r="I199" i="1"/>
  <c r="J199" i="1" s="1"/>
  <c r="K198" i="1"/>
  <c r="H198" i="1"/>
  <c r="G198" i="1"/>
  <c r="N197" i="1"/>
  <c r="K197" i="1"/>
  <c r="L197" i="1" s="1"/>
  <c r="M197" i="1" s="1"/>
  <c r="J197" i="1"/>
  <c r="I197" i="1"/>
  <c r="K196" i="1"/>
  <c r="K195" i="1"/>
  <c r="I195" i="1"/>
  <c r="K194" i="1"/>
  <c r="I194" i="1"/>
  <c r="J194" i="1" s="1"/>
  <c r="C194" i="1"/>
  <c r="K193" i="1"/>
  <c r="I193" i="1"/>
  <c r="J193" i="1" s="1"/>
  <c r="C193" i="1"/>
  <c r="K192" i="1"/>
  <c r="I192" i="1"/>
  <c r="J192" i="1" s="1"/>
  <c r="C192" i="1"/>
  <c r="K191" i="1"/>
  <c r="I191" i="1"/>
  <c r="J191" i="1" s="1"/>
  <c r="C191" i="1"/>
  <c r="K190" i="1"/>
  <c r="I190" i="1"/>
  <c r="J190" i="1" s="1"/>
  <c r="C190" i="1"/>
  <c r="K189" i="1"/>
  <c r="L189" i="1" s="1"/>
  <c r="M189" i="1" s="1"/>
  <c r="I189" i="1"/>
  <c r="J189" i="1" s="1"/>
  <c r="C189" i="1"/>
  <c r="L188" i="1"/>
  <c r="M188" i="1" s="1"/>
  <c r="K188" i="1"/>
  <c r="I188" i="1"/>
  <c r="J188" i="1" s="1"/>
  <c r="C188" i="1"/>
  <c r="L187" i="1"/>
  <c r="M187" i="1" s="1"/>
  <c r="K187" i="1"/>
  <c r="I187" i="1"/>
  <c r="J187" i="1" s="1"/>
  <c r="C187" i="1"/>
  <c r="K186" i="1"/>
  <c r="I186" i="1"/>
  <c r="J186" i="1" s="1"/>
  <c r="C186" i="1"/>
  <c r="K185" i="1"/>
  <c r="L185" i="1" s="1"/>
  <c r="M185" i="1" s="1"/>
  <c r="I185" i="1"/>
  <c r="J185" i="1" s="1"/>
  <c r="C185" i="1"/>
  <c r="K184" i="1"/>
  <c r="I184" i="1"/>
  <c r="J184" i="1" s="1"/>
  <c r="C184" i="1"/>
  <c r="K183" i="1"/>
  <c r="L183" i="1" s="1"/>
  <c r="M183" i="1" s="1"/>
  <c r="I183" i="1"/>
  <c r="J183" i="1" s="1"/>
  <c r="C183" i="1"/>
  <c r="A178" i="1"/>
  <c r="K174" i="1"/>
  <c r="I174" i="1"/>
  <c r="J174" i="1" s="1"/>
  <c r="K173" i="1"/>
  <c r="I173" i="1"/>
  <c r="J173" i="1" s="1"/>
  <c r="C173" i="1"/>
  <c r="K172" i="1"/>
  <c r="I172" i="1"/>
  <c r="J172" i="1" s="1"/>
  <c r="C172" i="1"/>
  <c r="K171" i="1"/>
  <c r="I171" i="1"/>
  <c r="J171" i="1" s="1"/>
  <c r="C171" i="1"/>
  <c r="K170" i="1"/>
  <c r="L170" i="1" s="1"/>
  <c r="M170" i="1" s="1"/>
  <c r="J170" i="1"/>
  <c r="I170" i="1"/>
  <c r="C170" i="1"/>
  <c r="K169" i="1"/>
  <c r="I169" i="1"/>
  <c r="J169" i="1" s="1"/>
  <c r="K168" i="1"/>
  <c r="I168" i="1"/>
  <c r="J168" i="1" s="1"/>
  <c r="K167" i="1"/>
  <c r="I167" i="1"/>
  <c r="J167" i="1" s="1"/>
  <c r="K166" i="1"/>
  <c r="I166" i="1"/>
  <c r="J166" i="1" s="1"/>
  <c r="K165" i="1"/>
  <c r="I165" i="1"/>
  <c r="J165" i="1" s="1"/>
  <c r="C165" i="1"/>
  <c r="K164" i="1"/>
  <c r="I164" i="1"/>
  <c r="C164" i="1"/>
  <c r="K163" i="1"/>
  <c r="I163" i="1"/>
  <c r="J163" i="1" s="1"/>
  <c r="C163" i="1"/>
  <c r="K162" i="1"/>
  <c r="I162" i="1"/>
  <c r="C162" i="1"/>
  <c r="K161" i="1"/>
  <c r="L161" i="1" s="1"/>
  <c r="M161" i="1" s="1"/>
  <c r="I161" i="1"/>
  <c r="J161" i="1" s="1"/>
  <c r="C161" i="1"/>
  <c r="M160" i="1"/>
  <c r="K160" i="1"/>
  <c r="I160" i="1"/>
  <c r="L160" i="1" s="1"/>
  <c r="C160" i="1"/>
  <c r="K159" i="1"/>
  <c r="I159" i="1"/>
  <c r="J159" i="1" s="1"/>
  <c r="C159" i="1"/>
  <c r="K158" i="1"/>
  <c r="I158" i="1"/>
  <c r="C158" i="1"/>
  <c r="K157" i="1"/>
  <c r="I157" i="1"/>
  <c r="J157" i="1" s="1"/>
  <c r="K156" i="1"/>
  <c r="I156" i="1"/>
  <c r="J156" i="1" s="1"/>
  <c r="K155" i="1"/>
  <c r="I155" i="1"/>
  <c r="J155" i="1" s="1"/>
  <c r="D155" i="1"/>
  <c r="K154" i="1"/>
  <c r="K153" i="1"/>
  <c r="H153" i="1"/>
  <c r="G153" i="1" s="1"/>
  <c r="I153" i="1" s="1"/>
  <c r="J153" i="1" s="1"/>
  <c r="K152" i="1"/>
  <c r="H152" i="1"/>
  <c r="G152" i="1" s="1"/>
  <c r="I152" i="1" s="1"/>
  <c r="J152" i="1" s="1"/>
  <c r="K151" i="1"/>
  <c r="L151" i="1" s="1"/>
  <c r="M151" i="1" s="1"/>
  <c r="J151" i="1"/>
  <c r="H151" i="1"/>
  <c r="K150" i="1"/>
  <c r="L150" i="1" s="1"/>
  <c r="M150" i="1" s="1"/>
  <c r="J150" i="1"/>
  <c r="H150" i="1"/>
  <c r="K149" i="1"/>
  <c r="I149" i="1"/>
  <c r="J149" i="1" s="1"/>
  <c r="C149" i="1"/>
  <c r="K148" i="1"/>
  <c r="L148" i="1" s="1"/>
  <c r="M148" i="1" s="1"/>
  <c r="I148" i="1"/>
  <c r="J148" i="1" s="1"/>
  <c r="C148" i="1"/>
  <c r="K147" i="1"/>
  <c r="I147" i="1"/>
  <c r="J147" i="1" s="1"/>
  <c r="C147" i="1"/>
  <c r="K146" i="1"/>
  <c r="L146" i="1" s="1"/>
  <c r="M146" i="1" s="1"/>
  <c r="J146" i="1"/>
  <c r="I146" i="1"/>
  <c r="C146" i="1"/>
  <c r="K145" i="1"/>
  <c r="I145" i="1"/>
  <c r="J145" i="1" s="1"/>
  <c r="C145" i="1"/>
  <c r="K144" i="1"/>
  <c r="K143" i="1"/>
  <c r="L143" i="1" s="1"/>
  <c r="M143" i="1" s="1"/>
  <c r="I143" i="1"/>
  <c r="J143" i="1" s="1"/>
  <c r="K142" i="1"/>
  <c r="L142" i="1" s="1"/>
  <c r="M142" i="1" s="1"/>
  <c r="I142" i="1"/>
  <c r="J142" i="1" s="1"/>
  <c r="K141" i="1"/>
  <c r="I141" i="1"/>
  <c r="J141" i="1" s="1"/>
  <c r="K140" i="1"/>
  <c r="I140" i="1"/>
  <c r="L140" i="1" s="1"/>
  <c r="M140" i="1" s="1"/>
  <c r="K139" i="1"/>
  <c r="I139" i="1"/>
  <c r="J139" i="1" s="1"/>
  <c r="K136" i="1"/>
  <c r="L136" i="1" s="1"/>
  <c r="M136" i="1" s="1"/>
  <c r="J136" i="1"/>
  <c r="I136" i="1"/>
  <c r="H136" i="1"/>
  <c r="G136" i="1"/>
  <c r="K135" i="1"/>
  <c r="L135" i="1" s="1"/>
  <c r="M135" i="1" s="1"/>
  <c r="I135" i="1"/>
  <c r="J135" i="1" s="1"/>
  <c r="H135" i="1"/>
  <c r="G135" i="1"/>
  <c r="K134" i="1"/>
  <c r="I134" i="1"/>
  <c r="L134" i="1" s="1"/>
  <c r="M134" i="1" s="1"/>
  <c r="H134" i="1"/>
  <c r="G134" i="1"/>
  <c r="K133" i="1"/>
  <c r="L133" i="1" s="1"/>
  <c r="M133" i="1" s="1"/>
  <c r="J133" i="1"/>
  <c r="I133" i="1"/>
  <c r="H133" i="1"/>
  <c r="G133" i="1"/>
  <c r="D133" i="1"/>
  <c r="K132" i="1"/>
  <c r="L132" i="1" s="1"/>
  <c r="M132" i="1" s="1"/>
  <c r="J132" i="1"/>
  <c r="I132" i="1"/>
  <c r="H132" i="1"/>
  <c r="G132" i="1"/>
  <c r="K131" i="1"/>
  <c r="L131" i="1" s="1"/>
  <c r="M131" i="1" s="1"/>
  <c r="I131" i="1"/>
  <c r="J131" i="1" s="1"/>
  <c r="H131" i="1"/>
  <c r="G131" i="1"/>
  <c r="K130" i="1"/>
  <c r="I130" i="1"/>
  <c r="J130" i="1" s="1"/>
  <c r="H130" i="1"/>
  <c r="G130" i="1"/>
  <c r="K129" i="1"/>
  <c r="I129" i="1"/>
  <c r="J129" i="1" s="1"/>
  <c r="H129" i="1"/>
  <c r="G129" i="1"/>
  <c r="K128" i="1"/>
  <c r="L128" i="1" s="1"/>
  <c r="M128" i="1" s="1"/>
  <c r="J128" i="1"/>
  <c r="H128" i="1"/>
  <c r="G128" i="1"/>
  <c r="K127" i="1"/>
  <c r="L127" i="1" s="1"/>
  <c r="M127" i="1" s="1"/>
  <c r="J127" i="1"/>
  <c r="I127" i="1"/>
  <c r="H127" i="1"/>
  <c r="G127" i="1"/>
  <c r="K126" i="1"/>
  <c r="I126" i="1"/>
  <c r="J126" i="1" s="1"/>
  <c r="H126" i="1"/>
  <c r="G126" i="1"/>
  <c r="K125" i="1"/>
  <c r="I125" i="1"/>
  <c r="H125" i="1"/>
  <c r="G125" i="1"/>
  <c r="D125" i="1"/>
  <c r="K124" i="1"/>
  <c r="L124" i="1" s="1"/>
  <c r="M124" i="1" s="1"/>
  <c r="J124" i="1"/>
  <c r="H124" i="1"/>
  <c r="G124" i="1"/>
  <c r="K123" i="1"/>
  <c r="L123" i="1" s="1"/>
  <c r="M123" i="1" s="1"/>
  <c r="I123" i="1"/>
  <c r="J123" i="1" s="1"/>
  <c r="H123" i="1"/>
  <c r="G123" i="1"/>
  <c r="D123" i="1"/>
  <c r="N122" i="1"/>
  <c r="K122" i="1"/>
  <c r="I122" i="1"/>
  <c r="J122" i="1" s="1"/>
  <c r="H122" i="1"/>
  <c r="G122" i="1"/>
  <c r="D122" i="1"/>
  <c r="N114" i="1"/>
  <c r="K114" i="1"/>
  <c r="I114" i="1"/>
  <c r="J114" i="1" s="1"/>
  <c r="H114" i="1"/>
  <c r="G114" i="1"/>
  <c r="D114" i="1"/>
  <c r="N113" i="1"/>
  <c r="K113" i="1"/>
  <c r="J113" i="1"/>
  <c r="I113" i="1"/>
  <c r="H113" i="1"/>
  <c r="G113" i="1"/>
  <c r="D113" i="1"/>
  <c r="N112" i="1"/>
  <c r="K112" i="1"/>
  <c r="I112" i="1"/>
  <c r="J112" i="1" s="1"/>
  <c r="H112" i="1"/>
  <c r="G112" i="1"/>
  <c r="D112" i="1"/>
  <c r="N111" i="1"/>
  <c r="K111" i="1"/>
  <c r="I111" i="1"/>
  <c r="J111" i="1" s="1"/>
  <c r="H111" i="1"/>
  <c r="G111" i="1"/>
  <c r="D111" i="1"/>
  <c r="N110" i="1"/>
  <c r="K110" i="1"/>
  <c r="I110" i="1"/>
  <c r="J110" i="1" s="1"/>
  <c r="H110" i="1"/>
  <c r="G110" i="1"/>
  <c r="D110" i="1"/>
  <c r="N109" i="1"/>
  <c r="K109" i="1"/>
  <c r="I109" i="1"/>
  <c r="J109" i="1" s="1"/>
  <c r="H109" i="1"/>
  <c r="G109" i="1"/>
  <c r="D109" i="1"/>
  <c r="N108" i="1"/>
  <c r="K108" i="1"/>
  <c r="I108" i="1"/>
  <c r="J108" i="1" s="1"/>
  <c r="H108" i="1"/>
  <c r="G108" i="1"/>
  <c r="D108" i="1"/>
  <c r="N107" i="1"/>
  <c r="K107" i="1"/>
  <c r="I107" i="1"/>
  <c r="J107" i="1" s="1"/>
  <c r="H107" i="1"/>
  <c r="G107" i="1"/>
  <c r="D107" i="1"/>
  <c r="N106" i="1"/>
  <c r="K106" i="1"/>
  <c r="I106" i="1"/>
  <c r="J106" i="1" s="1"/>
  <c r="H106" i="1"/>
  <c r="G106" i="1"/>
  <c r="D106" i="1"/>
  <c r="N105" i="1"/>
  <c r="K105" i="1"/>
  <c r="I105" i="1"/>
  <c r="J105" i="1" s="1"/>
  <c r="H105" i="1"/>
  <c r="G105" i="1"/>
  <c r="D105" i="1"/>
  <c r="N104" i="1"/>
  <c r="K104" i="1"/>
  <c r="I104" i="1"/>
  <c r="H104" i="1"/>
  <c r="G104" i="1"/>
  <c r="D104" i="1"/>
  <c r="N103" i="1"/>
  <c r="K103" i="1"/>
  <c r="I103" i="1"/>
  <c r="J103" i="1" s="1"/>
  <c r="H103" i="1"/>
  <c r="G103" i="1"/>
  <c r="D103" i="1"/>
  <c r="N102" i="1"/>
  <c r="K102" i="1"/>
  <c r="L102" i="1" s="1"/>
  <c r="M102" i="1" s="1"/>
  <c r="I102" i="1"/>
  <c r="J102" i="1" s="1"/>
  <c r="H102" i="1"/>
  <c r="G102" i="1"/>
  <c r="D102" i="1"/>
  <c r="N101" i="1"/>
  <c r="K101" i="1"/>
  <c r="I101" i="1"/>
  <c r="L101" i="1" s="1"/>
  <c r="M101" i="1" s="1"/>
  <c r="H101" i="1"/>
  <c r="G101" i="1"/>
  <c r="D101" i="1"/>
  <c r="N100" i="1"/>
  <c r="L100" i="1"/>
  <c r="M100" i="1" s="1"/>
  <c r="K100" i="1"/>
  <c r="I100" i="1"/>
  <c r="J100" i="1" s="1"/>
  <c r="H100" i="1"/>
  <c r="G100" i="1"/>
  <c r="D100" i="1"/>
  <c r="N99" i="1"/>
  <c r="K99" i="1"/>
  <c r="I99" i="1"/>
  <c r="J99" i="1" s="1"/>
  <c r="H99" i="1"/>
  <c r="G99" i="1"/>
  <c r="D99" i="1"/>
  <c r="N98" i="1"/>
  <c r="K98" i="1"/>
  <c r="I98" i="1"/>
  <c r="J98" i="1" s="1"/>
  <c r="H98" i="1"/>
  <c r="G98" i="1"/>
  <c r="D98" i="1"/>
  <c r="N97" i="1"/>
  <c r="K97" i="1"/>
  <c r="I97" i="1"/>
  <c r="J97" i="1" s="1"/>
  <c r="H97" i="1"/>
  <c r="G97" i="1"/>
  <c r="D97" i="1"/>
  <c r="N96" i="1"/>
  <c r="K96" i="1"/>
  <c r="I96" i="1"/>
  <c r="J96" i="1" s="1"/>
  <c r="H96" i="1"/>
  <c r="G96" i="1"/>
  <c r="D96" i="1"/>
  <c r="N95" i="1"/>
  <c r="K95" i="1"/>
  <c r="L95" i="1" s="1"/>
  <c r="M95" i="1" s="1"/>
  <c r="I95" i="1"/>
  <c r="J95" i="1" s="1"/>
  <c r="H95" i="1"/>
  <c r="G95" i="1"/>
  <c r="D95" i="1"/>
  <c r="N94" i="1"/>
  <c r="K94" i="1"/>
  <c r="I94" i="1"/>
  <c r="J94" i="1" s="1"/>
  <c r="H94" i="1"/>
  <c r="G94" i="1"/>
  <c r="D94" i="1"/>
  <c r="N93" i="1"/>
  <c r="K93" i="1"/>
  <c r="L93" i="1" s="1"/>
  <c r="M93" i="1" s="1"/>
  <c r="I93" i="1"/>
  <c r="J93" i="1" s="1"/>
  <c r="H93" i="1"/>
  <c r="G93" i="1"/>
  <c r="D93" i="1"/>
  <c r="N92" i="1"/>
  <c r="K92" i="1"/>
  <c r="L92" i="1" s="1"/>
  <c r="M92" i="1" s="1"/>
  <c r="J92" i="1"/>
  <c r="H92" i="1"/>
  <c r="G92" i="1"/>
  <c r="D92" i="1"/>
  <c r="N91" i="1"/>
  <c r="K91" i="1"/>
  <c r="L91" i="1" s="1"/>
  <c r="M91" i="1" s="1"/>
  <c r="I91" i="1"/>
  <c r="J91" i="1" s="1"/>
  <c r="H91" i="1"/>
  <c r="G91" i="1"/>
  <c r="D91" i="1"/>
  <c r="N90" i="1"/>
  <c r="K90" i="1"/>
  <c r="L90" i="1" s="1"/>
  <c r="M90" i="1" s="1"/>
  <c r="J90" i="1"/>
  <c r="I90" i="1"/>
  <c r="H90" i="1"/>
  <c r="G90" i="1"/>
  <c r="D90" i="1"/>
  <c r="N89" i="1"/>
  <c r="K89" i="1"/>
  <c r="I89" i="1"/>
  <c r="J89" i="1" s="1"/>
  <c r="H89" i="1"/>
  <c r="G89" i="1"/>
  <c r="D89" i="1"/>
  <c r="N88" i="1"/>
  <c r="K88" i="1"/>
  <c r="I88" i="1"/>
  <c r="L88" i="1" s="1"/>
  <c r="M88" i="1" s="1"/>
  <c r="H88" i="1"/>
  <c r="G88" i="1"/>
  <c r="D88" i="1"/>
  <c r="N87" i="1"/>
  <c r="K87" i="1"/>
  <c r="I87" i="1"/>
  <c r="J87" i="1" s="1"/>
  <c r="H87" i="1"/>
  <c r="G87" i="1"/>
  <c r="D87" i="1"/>
  <c r="N86" i="1"/>
  <c r="K86" i="1"/>
  <c r="I86" i="1"/>
  <c r="J86" i="1" s="1"/>
  <c r="H86" i="1"/>
  <c r="G86" i="1"/>
  <c r="D86" i="1"/>
  <c r="N85" i="1"/>
  <c r="K85" i="1"/>
  <c r="I85" i="1"/>
  <c r="J85" i="1" s="1"/>
  <c r="H85" i="1"/>
  <c r="G85" i="1"/>
  <c r="D85" i="1"/>
  <c r="N84" i="1"/>
  <c r="K84" i="1"/>
  <c r="I84" i="1"/>
  <c r="J84" i="1" s="1"/>
  <c r="H84" i="1"/>
  <c r="G84" i="1"/>
  <c r="D84" i="1"/>
  <c r="N83" i="1"/>
  <c r="K83" i="1"/>
  <c r="I83" i="1"/>
  <c r="J83" i="1" s="1"/>
  <c r="H83" i="1"/>
  <c r="G83" i="1"/>
  <c r="D83" i="1"/>
  <c r="N82" i="1"/>
  <c r="K82" i="1"/>
  <c r="L82" i="1" s="1"/>
  <c r="M82" i="1" s="1"/>
  <c r="J82" i="1"/>
  <c r="I82" i="1"/>
  <c r="H82" i="1"/>
  <c r="G82" i="1"/>
  <c r="D82" i="1"/>
  <c r="N81" i="1"/>
  <c r="K81" i="1"/>
  <c r="L81" i="1" s="1"/>
  <c r="M81" i="1" s="1"/>
  <c r="I81" i="1"/>
  <c r="J81" i="1" s="1"/>
  <c r="H81" i="1"/>
  <c r="G81" i="1"/>
  <c r="D81" i="1"/>
  <c r="N80" i="1"/>
  <c r="K80" i="1"/>
  <c r="I80" i="1"/>
  <c r="J80" i="1" s="1"/>
  <c r="H80" i="1"/>
  <c r="G80" i="1"/>
  <c r="D80" i="1"/>
  <c r="N79" i="1"/>
  <c r="K79" i="1"/>
  <c r="I79" i="1"/>
  <c r="J79" i="1" s="1"/>
  <c r="H79" i="1"/>
  <c r="G79" i="1"/>
  <c r="D79" i="1"/>
  <c r="N78" i="1"/>
  <c r="K78" i="1"/>
  <c r="L78" i="1" s="1"/>
  <c r="M78" i="1" s="1"/>
  <c r="J78" i="1"/>
  <c r="I78" i="1"/>
  <c r="H78" i="1"/>
  <c r="G78" i="1"/>
  <c r="D78" i="1"/>
  <c r="N77" i="1"/>
  <c r="K77" i="1"/>
  <c r="L77" i="1" s="1"/>
  <c r="M77" i="1" s="1"/>
  <c r="I77" i="1"/>
  <c r="J77" i="1" s="1"/>
  <c r="H77" i="1"/>
  <c r="G77" i="1"/>
  <c r="D77" i="1"/>
  <c r="N76" i="1"/>
  <c r="K76" i="1"/>
  <c r="I76" i="1"/>
  <c r="J76" i="1" s="1"/>
  <c r="H76" i="1"/>
  <c r="G76" i="1"/>
  <c r="D76" i="1"/>
  <c r="N75" i="1"/>
  <c r="K75" i="1"/>
  <c r="I75" i="1"/>
  <c r="J75" i="1" s="1"/>
  <c r="H75" i="1"/>
  <c r="G75" i="1"/>
  <c r="D75" i="1"/>
  <c r="N74" i="1"/>
  <c r="K74" i="1"/>
  <c r="L74" i="1" s="1"/>
  <c r="M74" i="1" s="1"/>
  <c r="I74" i="1"/>
  <c r="J74" i="1" s="1"/>
  <c r="H74" i="1"/>
  <c r="G74" i="1"/>
  <c r="D74" i="1"/>
  <c r="N73" i="1"/>
  <c r="K73" i="1"/>
  <c r="I73" i="1"/>
  <c r="J73" i="1" s="1"/>
  <c r="H73" i="1"/>
  <c r="G73" i="1"/>
  <c r="D73" i="1"/>
  <c r="N72" i="1"/>
  <c r="K72" i="1"/>
  <c r="I72" i="1"/>
  <c r="L72" i="1" s="1"/>
  <c r="M72" i="1" s="1"/>
  <c r="H72" i="1"/>
  <c r="G72" i="1"/>
  <c r="D72" i="1"/>
  <c r="N71" i="1"/>
  <c r="K71" i="1"/>
  <c r="I71" i="1"/>
  <c r="J71" i="1" s="1"/>
  <c r="H71" i="1"/>
  <c r="G71" i="1"/>
  <c r="D71" i="1"/>
  <c r="N70" i="1"/>
  <c r="K70" i="1"/>
  <c r="I70" i="1"/>
  <c r="J70" i="1" s="1"/>
  <c r="H70" i="1"/>
  <c r="G70" i="1"/>
  <c r="D70" i="1"/>
  <c r="N69" i="1"/>
  <c r="K69" i="1"/>
  <c r="L69" i="1" s="1"/>
  <c r="M69" i="1" s="1"/>
  <c r="I69" i="1"/>
  <c r="J69" i="1" s="1"/>
  <c r="H69" i="1"/>
  <c r="G69" i="1"/>
  <c r="D69" i="1"/>
  <c r="N68" i="1"/>
  <c r="K68" i="1"/>
  <c r="L68" i="1" s="1"/>
  <c r="M68" i="1" s="1"/>
  <c r="J68" i="1"/>
  <c r="I68" i="1"/>
  <c r="H68" i="1"/>
  <c r="G68" i="1"/>
  <c r="D68" i="1"/>
  <c r="N67" i="1"/>
  <c r="K67" i="1"/>
  <c r="I67" i="1"/>
  <c r="J67" i="1" s="1"/>
  <c r="H67" i="1"/>
  <c r="G67" i="1"/>
  <c r="D67" i="1"/>
  <c r="N66" i="1"/>
  <c r="K66" i="1"/>
  <c r="L66" i="1" s="1"/>
  <c r="M66" i="1" s="1"/>
  <c r="J66" i="1"/>
  <c r="H66" i="1"/>
  <c r="G66" i="1"/>
  <c r="D66" i="1"/>
  <c r="N65" i="1"/>
  <c r="K65" i="1"/>
  <c r="J65" i="1"/>
  <c r="I65" i="1"/>
  <c r="L65" i="1" s="1"/>
  <c r="M65" i="1" s="1"/>
  <c r="H65" i="1"/>
  <c r="G65" i="1"/>
  <c r="D65" i="1"/>
  <c r="N64" i="1"/>
  <c r="K64" i="1"/>
  <c r="I64" i="1"/>
  <c r="J64" i="1" s="1"/>
  <c r="H64" i="1"/>
  <c r="G64" i="1"/>
  <c r="D64" i="1"/>
  <c r="N63" i="1"/>
  <c r="K63" i="1"/>
  <c r="I63" i="1"/>
  <c r="J63" i="1" s="1"/>
  <c r="H63" i="1"/>
  <c r="G63" i="1"/>
  <c r="D63" i="1"/>
  <c r="A59" i="1"/>
  <c r="A118" i="1" s="1"/>
  <c r="E58" i="1"/>
  <c r="E117" i="1" s="1"/>
  <c r="E177" i="1" s="1"/>
  <c r="N55" i="1"/>
  <c r="K55" i="1"/>
  <c r="I55" i="1"/>
  <c r="H55" i="1"/>
  <c r="G55" i="1"/>
  <c r="D55" i="1"/>
  <c r="N54" i="1"/>
  <c r="K54" i="1"/>
  <c r="I54" i="1"/>
  <c r="J54" i="1" s="1"/>
  <c r="H54" i="1"/>
  <c r="G54" i="1"/>
  <c r="D54" i="1"/>
  <c r="N53" i="1"/>
  <c r="K53" i="1"/>
  <c r="I53" i="1"/>
  <c r="J53" i="1" s="1"/>
  <c r="H53" i="1"/>
  <c r="G53" i="1"/>
  <c r="D53" i="1"/>
  <c r="N52" i="1"/>
  <c r="K52" i="1"/>
  <c r="L52" i="1" s="1"/>
  <c r="M52" i="1" s="1"/>
  <c r="J52" i="1"/>
  <c r="H52" i="1"/>
  <c r="G52" i="1"/>
  <c r="D52" i="1"/>
  <c r="K51" i="1"/>
  <c r="J51" i="1"/>
  <c r="I51" i="1"/>
  <c r="H51" i="1"/>
  <c r="G51" i="1"/>
  <c r="D51" i="1"/>
  <c r="K49" i="1"/>
  <c r="L49" i="1" s="1"/>
  <c r="M49" i="1" s="1"/>
  <c r="H49" i="1"/>
  <c r="G49" i="1"/>
  <c r="I49" i="1" s="1"/>
  <c r="J49" i="1" s="1"/>
  <c r="K48" i="1"/>
  <c r="H48" i="1"/>
  <c r="G48" i="1"/>
  <c r="I48" i="1" s="1"/>
  <c r="J48" i="1" s="1"/>
  <c r="K47" i="1"/>
  <c r="H47" i="1"/>
  <c r="I47" i="1" s="1"/>
  <c r="J47" i="1" s="1"/>
  <c r="G47" i="1"/>
  <c r="K46" i="1"/>
  <c r="H46" i="1"/>
  <c r="G46" i="1"/>
  <c r="I46" i="1" s="1"/>
  <c r="J46" i="1" s="1"/>
  <c r="K43" i="1"/>
  <c r="L43" i="1" s="1"/>
  <c r="M43" i="1" s="1"/>
  <c r="J43" i="1"/>
  <c r="I43" i="1"/>
  <c r="H43" i="1"/>
  <c r="G43" i="1"/>
  <c r="K42" i="1"/>
  <c r="I42" i="1"/>
  <c r="J42" i="1" s="1"/>
  <c r="H42" i="1"/>
  <c r="G42" i="1"/>
  <c r="L41" i="1"/>
  <c r="M41" i="1" s="1"/>
  <c r="K41" i="1"/>
  <c r="J41" i="1"/>
  <c r="I41" i="1"/>
  <c r="H41" i="1"/>
  <c r="G41" i="1"/>
  <c r="E40" i="1"/>
  <c r="O38" i="1"/>
  <c r="I38" i="1"/>
  <c r="J38" i="1" s="1"/>
  <c r="E38" i="1"/>
  <c r="K38" i="1" s="1"/>
  <c r="L38" i="1" s="1"/>
  <c r="M38" i="1" s="1"/>
  <c r="C38" i="1"/>
  <c r="E37" i="1"/>
  <c r="C37" i="1"/>
  <c r="K36" i="1"/>
  <c r="I36" i="1"/>
  <c r="J36" i="1" s="1"/>
  <c r="H36" i="1"/>
  <c r="G36" i="1"/>
  <c r="K35" i="1"/>
  <c r="H35" i="1"/>
  <c r="G35" i="1"/>
  <c r="I35" i="1" s="1"/>
  <c r="N33" i="1"/>
  <c r="N32" i="1"/>
  <c r="N38" i="1" s="1"/>
  <c r="E32" i="1"/>
  <c r="E30" i="1"/>
  <c r="H30" i="1" s="1"/>
  <c r="K29" i="1"/>
  <c r="H29" i="1"/>
  <c r="I29" i="1" s="1"/>
  <c r="J29" i="1" s="1"/>
  <c r="E29" i="1"/>
  <c r="G29" i="1" s="1"/>
  <c r="N27" i="1"/>
  <c r="C27" i="1"/>
  <c r="C33" i="1" s="1"/>
  <c r="N26" i="1"/>
  <c r="C26" i="1"/>
  <c r="C32" i="1" s="1"/>
  <c r="C25" i="1"/>
  <c r="C31" i="1" s="1"/>
  <c r="E24" i="1"/>
  <c r="E27" i="1" s="1"/>
  <c r="E23" i="1"/>
  <c r="H23" i="1" s="1"/>
  <c r="N21" i="1"/>
  <c r="C21" i="1" s="1"/>
  <c r="K21" i="1"/>
  <c r="H21" i="1"/>
  <c r="I21" i="1" s="1"/>
  <c r="J21" i="1" s="1"/>
  <c r="N20" i="1"/>
  <c r="E20" i="1"/>
  <c r="K20" i="1" s="1"/>
  <c r="C20" i="1"/>
  <c r="K19" i="1"/>
  <c r="H19" i="1"/>
  <c r="G19" i="1"/>
  <c r="K18" i="1"/>
  <c r="I18" i="1"/>
  <c r="J18" i="1" s="1"/>
  <c r="F18" i="1"/>
  <c r="C18" i="1"/>
  <c r="E17" i="1"/>
  <c r="G17" i="1" s="1"/>
  <c r="I17" i="1" s="1"/>
  <c r="J17" i="1" s="1"/>
  <c r="K16" i="1"/>
  <c r="H16" i="1"/>
  <c r="G16" i="1"/>
  <c r="I16" i="1" s="1"/>
  <c r="J16" i="1" s="1"/>
  <c r="K15" i="1"/>
  <c r="H15" i="1"/>
  <c r="G15" i="1"/>
  <c r="K14" i="1"/>
  <c r="H14" i="1"/>
  <c r="G14" i="1"/>
  <c r="K13" i="1"/>
  <c r="H13" i="1"/>
  <c r="G13" i="1"/>
  <c r="K12" i="1"/>
  <c r="H12" i="1"/>
  <c r="G12" i="1"/>
  <c r="K11" i="1"/>
  <c r="H11" i="1"/>
  <c r="I11" i="1" s="1"/>
  <c r="G11" i="1"/>
  <c r="E10" i="1"/>
  <c r="H10" i="1" s="1"/>
  <c r="K9" i="1"/>
  <c r="H9" i="1"/>
  <c r="G9" i="1"/>
  <c r="I9" i="1" s="1"/>
  <c r="J9" i="1" s="1"/>
  <c r="C9" i="1"/>
  <c r="K8" i="1"/>
  <c r="H8" i="1"/>
  <c r="I8" i="1" s="1"/>
  <c r="J8" i="1" s="1"/>
  <c r="G8" i="1"/>
  <c r="C8" i="1"/>
  <c r="K7" i="1"/>
  <c r="H7" i="1"/>
  <c r="G7" i="1"/>
  <c r="C7" i="1"/>
  <c r="L3" i="1"/>
  <c r="L59" i="1" s="1"/>
  <c r="L118" i="1" s="1"/>
  <c r="L178" i="1" s="1"/>
  <c r="K3" i="1"/>
  <c r="K59" i="1" s="1"/>
  <c r="K118" i="1" s="1"/>
  <c r="K178" i="1" s="1"/>
  <c r="J3" i="1"/>
  <c r="J59" i="1" s="1"/>
  <c r="J118" i="1" s="1"/>
  <c r="J178" i="1" s="1"/>
  <c r="H3" i="1"/>
  <c r="H59" i="1" s="1"/>
  <c r="H118" i="1" s="1"/>
  <c r="H178" i="1" s="1"/>
  <c r="D3" i="1"/>
  <c r="D59" i="1" s="1"/>
  <c r="D118" i="1" s="1"/>
  <c r="D178" i="1" s="1"/>
  <c r="F2" i="1"/>
  <c r="F58" i="1" s="1"/>
  <c r="F117" i="1" s="1"/>
  <c r="F177" i="1" s="1"/>
  <c r="D2" i="1"/>
  <c r="D58" i="1" s="1"/>
  <c r="D117" i="1" s="1"/>
  <c r="D177" i="1" s="1"/>
  <c r="A2" i="1"/>
  <c r="A58" i="1" s="1"/>
  <c r="A117" i="1" s="1"/>
  <c r="A177" i="1" s="1"/>
  <c r="A1" i="1"/>
  <c r="A57" i="1" s="1"/>
  <c r="A116" i="1" s="1"/>
  <c r="A176" i="1" s="1"/>
  <c r="L112" i="1" l="1"/>
  <c r="M112" i="1" s="1"/>
  <c r="L226" i="1"/>
  <c r="M226" i="1" s="1"/>
  <c r="L84" i="1"/>
  <c r="M84" i="1" s="1"/>
  <c r="L110" i="1"/>
  <c r="M110" i="1" s="1"/>
  <c r="L130" i="1"/>
  <c r="M130" i="1" s="1"/>
  <c r="L54" i="1"/>
  <c r="M54" i="1" s="1"/>
  <c r="L64" i="1"/>
  <c r="M64" i="1" s="1"/>
  <c r="L86" i="1"/>
  <c r="M86" i="1" s="1"/>
  <c r="J88" i="1"/>
  <c r="L8" i="1"/>
  <c r="M8" i="1" s="1"/>
  <c r="I12" i="1"/>
  <c r="J12" i="1" s="1"/>
  <c r="L75" i="1"/>
  <c r="M75" i="1" s="1"/>
  <c r="L125" i="1"/>
  <c r="M125" i="1" s="1"/>
  <c r="L141" i="1"/>
  <c r="M141" i="1" s="1"/>
  <c r="L162" i="1"/>
  <c r="M162" i="1" s="1"/>
  <c r="L173" i="1"/>
  <c r="M173" i="1" s="1"/>
  <c r="L29" i="1"/>
  <c r="M29" i="1" s="1"/>
  <c r="G20" i="1"/>
  <c r="I20" i="1" s="1"/>
  <c r="L20" i="1" s="1"/>
  <c r="M20" i="1" s="1"/>
  <c r="L223" i="1"/>
  <c r="M223" i="1" s="1"/>
  <c r="L155" i="1"/>
  <c r="M155" i="1" s="1"/>
  <c r="K17" i="1"/>
  <c r="L17" i="1" s="1"/>
  <c r="M17" i="1" s="1"/>
  <c r="J20" i="1"/>
  <c r="L70" i="1"/>
  <c r="M70" i="1" s="1"/>
  <c r="L105" i="1"/>
  <c r="M105" i="1" s="1"/>
  <c r="L107" i="1"/>
  <c r="M107" i="1" s="1"/>
  <c r="L109" i="1"/>
  <c r="M109" i="1" s="1"/>
  <c r="L163" i="1"/>
  <c r="M163" i="1" s="1"/>
  <c r="L193" i="1"/>
  <c r="M193" i="1" s="1"/>
  <c r="I224" i="1"/>
  <c r="J224" i="1" s="1"/>
  <c r="L156" i="1"/>
  <c r="M156" i="1" s="1"/>
  <c r="J160" i="1"/>
  <c r="L171" i="1"/>
  <c r="M171" i="1" s="1"/>
  <c r="H210" i="1"/>
  <c r="I210" i="1" s="1"/>
  <c r="J210" i="1" s="1"/>
  <c r="L220" i="1"/>
  <c r="M220" i="1" s="1"/>
  <c r="L36" i="1"/>
  <c r="M36" i="1" s="1"/>
  <c r="L97" i="1"/>
  <c r="M97" i="1" s="1"/>
  <c r="G10" i="1"/>
  <c r="I14" i="1"/>
  <c r="J14" i="1" s="1"/>
  <c r="L51" i="1"/>
  <c r="M51" i="1" s="1"/>
  <c r="L94" i="1"/>
  <c r="M94" i="1" s="1"/>
  <c r="L129" i="1"/>
  <c r="M129" i="1" s="1"/>
  <c r="L164" i="1"/>
  <c r="M164" i="1" s="1"/>
  <c r="L168" i="1"/>
  <c r="M168" i="1" s="1"/>
  <c r="L21" i="1"/>
  <c r="M21" i="1" s="1"/>
  <c r="L79" i="1"/>
  <c r="M79" i="1" s="1"/>
  <c r="L159" i="1"/>
  <c r="M159" i="1" s="1"/>
  <c r="L174" i="1"/>
  <c r="M174" i="1" s="1"/>
  <c r="K10" i="1"/>
  <c r="K210" i="1"/>
  <c r="I19" i="1"/>
  <c r="J19" i="1" s="1"/>
  <c r="L167" i="1"/>
  <c r="M167" i="1" s="1"/>
  <c r="H20" i="1"/>
  <c r="L103" i="1"/>
  <c r="M103" i="1" s="1"/>
  <c r="I15" i="1"/>
  <c r="L15" i="1" s="1"/>
  <c r="M15" i="1" s="1"/>
  <c r="L18" i="1"/>
  <c r="M18" i="1" s="1"/>
  <c r="L98" i="1"/>
  <c r="M98" i="1" s="1"/>
  <c r="L104" i="1"/>
  <c r="M104" i="1" s="1"/>
  <c r="L122" i="1"/>
  <c r="M122" i="1" s="1"/>
  <c r="L158" i="1"/>
  <c r="M158" i="1" s="1"/>
  <c r="L169" i="1"/>
  <c r="M169" i="1" s="1"/>
  <c r="L191" i="1"/>
  <c r="M191" i="1" s="1"/>
  <c r="I206" i="1"/>
  <c r="L206" i="1" s="1"/>
  <c r="M206" i="1" s="1"/>
  <c r="L218" i="1"/>
  <c r="M218" i="1" s="1"/>
  <c r="L222" i="1"/>
  <c r="M222" i="1" s="1"/>
  <c r="L7" i="1"/>
  <c r="M7" i="1" s="1"/>
  <c r="L11" i="1"/>
  <c r="M11" i="1" s="1"/>
  <c r="J11" i="1"/>
  <c r="L76" i="1"/>
  <c r="M76" i="1" s="1"/>
  <c r="L165" i="1"/>
  <c r="M165" i="1" s="1"/>
  <c r="L71" i="1"/>
  <c r="M71" i="1" s="1"/>
  <c r="J27" i="1"/>
  <c r="J40" i="1"/>
  <c r="L47" i="1"/>
  <c r="M47" i="1" s="1"/>
  <c r="L73" i="1"/>
  <c r="M73" i="1" s="1"/>
  <c r="J200" i="1"/>
  <c r="L213" i="1"/>
  <c r="M213" i="1" s="1"/>
  <c r="L27" i="1"/>
  <c r="M27" i="1" s="1"/>
  <c r="L53" i="1"/>
  <c r="M53" i="1" s="1"/>
  <c r="L152" i="1"/>
  <c r="M152" i="1" s="1"/>
  <c r="L35" i="1"/>
  <c r="M35" i="1" s="1"/>
  <c r="J35" i="1"/>
  <c r="K30" i="1"/>
  <c r="E33" i="1"/>
  <c r="G30" i="1"/>
  <c r="I30" i="1" s="1"/>
  <c r="J30" i="1" s="1"/>
  <c r="L40" i="1"/>
  <c r="M40" i="1" s="1"/>
  <c r="J134" i="1"/>
  <c r="J195" i="1"/>
  <c r="L195" i="1"/>
  <c r="M195" i="1" s="1"/>
  <c r="L9" i="1"/>
  <c r="M9" i="1" s="1"/>
  <c r="L16" i="1"/>
  <c r="M16" i="1" s="1"/>
  <c r="L10" i="1"/>
  <c r="M10" i="1" s="1"/>
  <c r="I37" i="1"/>
  <c r="J37" i="1" s="1"/>
  <c r="K37" i="1"/>
  <c r="L149" i="1"/>
  <c r="M149" i="1" s="1"/>
  <c r="L14" i="1"/>
  <c r="M14" i="1" s="1"/>
  <c r="L63" i="1"/>
  <c r="M63" i="1" s="1"/>
  <c r="L83" i="1"/>
  <c r="M83" i="1" s="1"/>
  <c r="L114" i="1"/>
  <c r="M114" i="1" s="1"/>
  <c r="L221" i="1"/>
  <c r="M221" i="1" s="1"/>
  <c r="L224" i="1"/>
  <c r="M224" i="1" s="1"/>
  <c r="I32" i="1"/>
  <c r="J32" i="1" s="1"/>
  <c r="L42" i="1"/>
  <c r="M42" i="1" s="1"/>
  <c r="L111" i="1"/>
  <c r="M111" i="1" s="1"/>
  <c r="L157" i="1"/>
  <c r="M157" i="1" s="1"/>
  <c r="I213" i="1"/>
  <c r="K32" i="1"/>
  <c r="L80" i="1"/>
  <c r="M80" i="1" s="1"/>
  <c r="L106" i="1"/>
  <c r="M106" i="1" s="1"/>
  <c r="J140" i="1"/>
  <c r="J213" i="1"/>
  <c r="L19" i="1"/>
  <c r="M19" i="1" s="1"/>
  <c r="J55" i="1"/>
  <c r="L55" i="1"/>
  <c r="M55" i="1" s="1"/>
  <c r="L99" i="1"/>
  <c r="M99" i="1" s="1"/>
  <c r="L153" i="1"/>
  <c r="M153" i="1" s="1"/>
  <c r="L190" i="1"/>
  <c r="M190" i="1" s="1"/>
  <c r="L108" i="1"/>
  <c r="M108" i="1" s="1"/>
  <c r="L126" i="1"/>
  <c r="M126" i="1" s="1"/>
  <c r="L147" i="1"/>
  <c r="M147" i="1" s="1"/>
  <c r="L172" i="1"/>
  <c r="M172" i="1" s="1"/>
  <c r="L198" i="1"/>
  <c r="M198" i="1" s="1"/>
  <c r="I214" i="1"/>
  <c r="J214" i="1" s="1"/>
  <c r="K214" i="1"/>
  <c r="L214" i="1" s="1"/>
  <c r="M214" i="1" s="1"/>
  <c r="I7" i="1"/>
  <c r="J7" i="1" s="1"/>
  <c r="I13" i="1"/>
  <c r="J13" i="1" s="1"/>
  <c r="G23" i="1"/>
  <c r="I23" i="1" s="1"/>
  <c r="K23" i="1"/>
  <c r="L23" i="1" s="1"/>
  <c r="M23" i="1" s="1"/>
  <c r="E26" i="1"/>
  <c r="J23" i="1"/>
  <c r="L87" i="1"/>
  <c r="M87" i="1" s="1"/>
  <c r="L96" i="1"/>
  <c r="M96" i="1" s="1"/>
  <c r="I208" i="1"/>
  <c r="J208" i="1" s="1"/>
  <c r="E209" i="1"/>
  <c r="J211" i="1"/>
  <c r="L166" i="1"/>
  <c r="M166" i="1" s="1"/>
  <c r="J72" i="1"/>
  <c r="L89" i="1"/>
  <c r="M89" i="1" s="1"/>
  <c r="J101" i="1"/>
  <c r="J104" i="1"/>
  <c r="J164" i="1"/>
  <c r="L186" i="1"/>
  <c r="M186" i="1" s="1"/>
  <c r="L201" i="1"/>
  <c r="M201" i="1" s="1"/>
  <c r="J226" i="1"/>
  <c r="L13" i="1"/>
  <c r="M13" i="1" s="1"/>
  <c r="J125" i="1"/>
  <c r="L145" i="1"/>
  <c r="M145" i="1" s="1"/>
  <c r="J162" i="1"/>
  <c r="L192" i="1"/>
  <c r="M192" i="1" s="1"/>
  <c r="C202" i="1"/>
  <c r="I10" i="1"/>
  <c r="J10" i="1" s="1"/>
  <c r="L46" i="1"/>
  <c r="M46" i="1" s="1"/>
  <c r="L48" i="1"/>
  <c r="M48" i="1" s="1"/>
  <c r="L85" i="1"/>
  <c r="M85" i="1" s="1"/>
  <c r="L113" i="1"/>
  <c r="M113" i="1" s="1"/>
  <c r="L139" i="1"/>
  <c r="M139" i="1" s="1"/>
  <c r="J158" i="1"/>
  <c r="L184" i="1"/>
  <c r="M184" i="1" s="1"/>
  <c r="L199" i="1"/>
  <c r="M199" i="1" s="1"/>
  <c r="K215" i="1"/>
  <c r="L215" i="1" s="1"/>
  <c r="M215" i="1" s="1"/>
  <c r="L67" i="1"/>
  <c r="M67" i="1" s="1"/>
  <c r="L217" i="1"/>
  <c r="M217" i="1" s="1"/>
  <c r="L194" i="1"/>
  <c r="M194" i="1" s="1"/>
  <c r="I198" i="1"/>
  <c r="J198" i="1" s="1"/>
  <c r="I207" i="1"/>
  <c r="J207" i="1" s="1"/>
  <c r="J218" i="1"/>
  <c r="L225" i="1"/>
  <c r="M225" i="1" s="1"/>
  <c r="G211" i="1"/>
  <c r="I211" i="1" s="1"/>
  <c r="L211" i="1" s="1"/>
  <c r="M211" i="1" s="1"/>
  <c r="L208" i="1" l="1"/>
  <c r="M208" i="1" s="1"/>
  <c r="J15" i="1"/>
  <c r="L12" i="1"/>
  <c r="M12" i="1" s="1"/>
  <c r="J206" i="1"/>
  <c r="L210" i="1"/>
  <c r="M210" i="1" s="1"/>
  <c r="L37" i="1"/>
  <c r="M37" i="1" s="1"/>
  <c r="L24" i="1"/>
  <c r="M24" i="1" s="1"/>
  <c r="K209" i="1"/>
  <c r="I209" i="1"/>
  <c r="J209" i="1" s="1"/>
  <c r="K33" i="1"/>
  <c r="I33" i="1"/>
  <c r="J33" i="1" s="1"/>
  <c r="L30" i="1"/>
  <c r="M30" i="1" s="1"/>
  <c r="K26" i="1"/>
  <c r="I26" i="1"/>
  <c r="J26" i="1" s="1"/>
  <c r="L32" i="1"/>
  <c r="M32" i="1" s="1"/>
  <c r="L207" i="1"/>
  <c r="M207" i="1" s="1"/>
  <c r="I24" i="1"/>
  <c r="J24" i="1" s="1"/>
  <c r="J56" i="1" l="1"/>
  <c r="J62" i="1" s="1"/>
  <c r="J115" i="1" s="1"/>
  <c r="J121" i="1" s="1"/>
  <c r="J175" i="1" s="1"/>
  <c r="J181" i="1" s="1"/>
  <c r="J227" i="1" s="1"/>
  <c r="L26" i="1"/>
  <c r="M26" i="1" s="1"/>
  <c r="M56" i="1" s="1"/>
  <c r="M62" i="1" s="1"/>
  <c r="M115" i="1" s="1"/>
  <c r="M121" i="1" s="1"/>
  <c r="M175" i="1" s="1"/>
  <c r="M181" i="1" s="1"/>
  <c r="M227" i="1" s="1"/>
  <c r="L33" i="1"/>
  <c r="M33" i="1" s="1"/>
  <c r="L209" i="1"/>
  <c r="M209" i="1" s="1"/>
</calcChain>
</file>

<file path=xl/sharedStrings.xml><?xml version="1.0" encoding="utf-8"?>
<sst xmlns="http://schemas.openxmlformats.org/spreadsheetml/2006/main" count="455" uniqueCount="218">
  <si>
    <t>ชื่อสายทาง</t>
  </si>
  <si>
    <t>สถานที่ตั้ง</t>
  </si>
  <si>
    <t>ที่</t>
  </si>
  <si>
    <t xml:space="preserve">   รายการ</t>
  </si>
  <si>
    <t>จำนวน</t>
  </si>
  <si>
    <t>หน่วย</t>
  </si>
  <si>
    <t>ราคาวัสดุ-ค่าแรง-ต่อหน่วย</t>
  </si>
  <si>
    <t>จำนวนเงิน</t>
  </si>
  <si>
    <t>Factor F</t>
  </si>
  <si>
    <t>ราคากลาง</t>
  </si>
  <si>
    <t>หมายเหตุ</t>
  </si>
  <si>
    <t>วัสดุ</t>
  </si>
  <si>
    <t>ค่าแรง</t>
  </si>
  <si>
    <t>รวม</t>
  </si>
  <si>
    <t>(บาท)</t>
  </si>
  <si>
    <t>ราคาต่อหน่วย</t>
  </si>
  <si>
    <t>งานปรับปรุงโครงสร้างทาง</t>
  </si>
  <si>
    <t>ตร.ม.</t>
  </si>
  <si>
    <t>งานดินตัด(EARTH EXCAVATION)</t>
  </si>
  <si>
    <t>ลบ.ม.</t>
  </si>
  <si>
    <t>งานวัสดุดินถม(จากการงานดินตัด)</t>
  </si>
  <si>
    <t>งานวัสดุดินถม(จากการขนส่ง)</t>
  </si>
  <si>
    <t>งานทรายถมคันทาง</t>
  </si>
  <si>
    <t>งานรองพื้นทางวัสดุมวลรวม</t>
  </si>
  <si>
    <t>งานพื้นทางหินคลุก</t>
  </si>
  <si>
    <t>งานพื้นทางหินคลุก(สำหรับงานขยายไหล่แล้วRecycling)</t>
  </si>
  <si>
    <t xml:space="preserve"> หินคลุกปรับระดับ (หลวม)</t>
  </si>
  <si>
    <t>หนา 0.15 ซม.</t>
  </si>
  <si>
    <t>Deep  Patch</t>
  </si>
  <si>
    <t>งานผิวทาง</t>
  </si>
  <si>
    <t>Prime  Coat</t>
  </si>
  <si>
    <t>Tack  Coat</t>
  </si>
  <si>
    <t>ซม.</t>
  </si>
  <si>
    <t>งานผิวไหล่ทาง</t>
  </si>
  <si>
    <t>งานผิวทางเชื่อม</t>
  </si>
  <si>
    <t>งานตีเส้นจราจร</t>
  </si>
  <si>
    <t>สีเทอร์โมพลาสติก กว้าง 0.10 ม. ( 3 เส้น )</t>
  </si>
  <si>
    <t>ข้อความ "โรงเรียน" สีเทอร์โมพลาสติก</t>
  </si>
  <si>
    <t>แห่ง</t>
  </si>
  <si>
    <t>Rumble Strip</t>
  </si>
  <si>
    <t>ทางม้าลาย</t>
  </si>
  <si>
    <t>งานจราจรสงเคราะห์</t>
  </si>
  <si>
    <t>งานปรับปรุง</t>
  </si>
  <si>
    <t>6.1.1</t>
  </si>
  <si>
    <t>หลักแนวโค้ง ค.ส.ล.</t>
  </si>
  <si>
    <t>หลัก</t>
  </si>
  <si>
    <t>6.1.2</t>
  </si>
  <si>
    <t>หลักกิโลเมตร</t>
  </si>
  <si>
    <t>6.1.3</t>
  </si>
  <si>
    <t>ป้ายจราจร</t>
  </si>
  <si>
    <t>ชุด</t>
  </si>
  <si>
    <t>6.1.4</t>
  </si>
  <si>
    <t>GUARD RAIL</t>
  </si>
  <si>
    <t>เมตร</t>
  </si>
  <si>
    <t>งานติดตั้งป้ายจราจร</t>
  </si>
  <si>
    <t>6.2.1</t>
  </si>
  <si>
    <t>6.2.2</t>
  </si>
  <si>
    <t>6.2.3</t>
  </si>
  <si>
    <t>6.2.4</t>
  </si>
  <si>
    <t>6.2.5</t>
  </si>
  <si>
    <t>ยอดยกไป</t>
  </si>
  <si>
    <t>ยอดยกมา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</si>
  <si>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</si>
  <si>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</si>
  <si>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</si>
  <si>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</si>
  <si>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</si>
  <si>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</si>
  <si>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</si>
  <si>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</si>
  <si>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</si>
  <si>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</si>
  <si>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</si>
  <si>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</si>
  <si>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</si>
  <si>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</si>
  <si>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</si>
  <si>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</si>
  <si>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</si>
  <si>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</si>
  <si>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</si>
  <si>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</si>
  <si>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</si>
  <si>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</si>
  <si>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</si>
  <si>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</si>
  <si>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6.2.30</t>
  </si>
  <si>
    <t>6.2.31</t>
  </si>
  <si>
    <t>6.2.32</t>
  </si>
  <si>
    <t>6.2.33</t>
  </si>
  <si>
    <t>6.2.34</t>
  </si>
  <si>
    <t>6.2.35</t>
  </si>
  <si>
    <t>6.2.36</t>
  </si>
  <si>
    <t>6.2.37</t>
  </si>
  <si>
    <t>6.2.38</t>
  </si>
  <si>
    <t>6.2.39</t>
  </si>
  <si>
    <t>6.2.40</t>
  </si>
  <si>
    <t>6.2.41</t>
  </si>
  <si>
    <t>6.2.42</t>
  </si>
  <si>
    <t>6.2.43</t>
  </si>
  <si>
    <t>6.2.44</t>
  </si>
  <si>
    <t>6.2.45</t>
  </si>
  <si>
    <t>6.2.46</t>
  </si>
  <si>
    <t>6.2.47</t>
  </si>
  <si>
    <t>6.2.48</t>
  </si>
  <si>
    <t>6.2.49</t>
  </si>
  <si>
    <t>6.2.50</t>
  </si>
  <si>
    <t>6.2.51</t>
  </si>
  <si>
    <t>6.2.52</t>
  </si>
  <si>
    <t>6.2.53</t>
  </si>
  <si>
    <t>6.2.54</t>
  </si>
  <si>
    <t>6.2.55</t>
  </si>
  <si>
    <t>6.2.56</t>
  </si>
  <si>
    <t>6.2.57</t>
  </si>
  <si>
    <t>6.2.58</t>
  </si>
  <si>
    <t>6.2.59</t>
  </si>
  <si>
    <t>6.2.60</t>
  </si>
  <si>
    <t>6.2.61</t>
  </si>
  <si>
    <t>6.2.62</t>
  </si>
  <si>
    <t xml:space="preserve">MAST ARM พร้อมป้ายเตือนและไฟกระพริบ 2 ดวง </t>
  </si>
  <si>
    <t>6.2.63</t>
  </si>
  <si>
    <t xml:space="preserve">ป้ายจำกัดความเร็ว พลังงานแสงอาทิตย์ </t>
  </si>
  <si>
    <t>6.2.64</t>
  </si>
  <si>
    <t>Guard  Rail บริเวณทางโค้ง</t>
  </si>
  <si>
    <t>6.2.65</t>
  </si>
  <si>
    <t>Guard  Rail บริเวณคอสะพาน</t>
  </si>
  <si>
    <t>6.2.66</t>
  </si>
  <si>
    <t>Guard  Rail บริเวณทางตรง</t>
  </si>
  <si>
    <t>6.2.67</t>
  </si>
  <si>
    <t>ป้ายเตือนทางข้าม</t>
  </si>
  <si>
    <t>6.2.68</t>
  </si>
  <si>
    <t>ติดตั้งปุ่มสะท้อนแสง ( 2 หน้า )</t>
  </si>
  <si>
    <t>ปุ่ม</t>
  </si>
  <si>
    <t>6.2.69</t>
  </si>
  <si>
    <t>6.2.70</t>
  </si>
  <si>
    <t>ปรับปรุงสะพาน คสล</t>
  </si>
  <si>
    <t>6.2.71</t>
  </si>
  <si>
    <t>Timber Barricade</t>
  </si>
  <si>
    <t>6.2.72</t>
  </si>
  <si>
    <t>ตัดหญ้าสองข้างทาง</t>
  </si>
  <si>
    <t>งานโครงสร้างระบายน้ำ</t>
  </si>
  <si>
    <t>งานวางท่อ คสล.</t>
  </si>
  <si>
    <t>7.1.1 ท่อกลม คสล.(R.C.PIPE CULVERTS) ขนาด 1 - 0.60</t>
  </si>
  <si>
    <t>7.1.2 ท่อกลม คสล.(R.C.PIPE CULVERTS) ขนาด 1 - 0.80</t>
  </si>
  <si>
    <t>7.1.3 ท่อกลม คสล.(R.C.PIPE CULVERTS) ขนาด 1 - 1.00</t>
  </si>
  <si>
    <t>7.1.4 ท่อกลม คสล.(R.C.PIPE CULVERTS) ขนาด 1 - 1.20</t>
  </si>
  <si>
    <t>7.1.5 ท่อกลม คสล.(R.C.PIPE CULVERTS) ขนาด 1 - 1.50</t>
  </si>
  <si>
    <t>งานกำแพงปากท่อกลม คสล./ 2 ด้าน</t>
  </si>
  <si>
    <t>งานท่อลอดเหลี่ยม ขนาด.....................ความยาว.........เมตร</t>
  </si>
  <si>
    <t>งานหินเรียง</t>
  </si>
  <si>
    <t>งานหินทิ้ง</t>
  </si>
  <si>
    <t>งานรางระบายน้ำแบบรางปิด</t>
  </si>
  <si>
    <t>7.7.1</t>
  </si>
  <si>
    <t>ม.</t>
  </si>
  <si>
    <t>7.7.2 บ่อพักน้ำแบบรางน้ำเข้าด้านเดียวไม่มีท่อ คสล.เข้า</t>
  </si>
  <si>
    <t>7.7.3 บ่อพักน้ำแบบรางน้ำเข้าสองด้านไม่มีท่อ คสล.เข้า</t>
  </si>
  <si>
    <t>CONCRETE  SLOPE  PROTECTION</t>
  </si>
  <si>
    <t>คันหิน</t>
  </si>
  <si>
    <t>คันหินรางตื้น</t>
  </si>
  <si>
    <t>รางระบายน้ำแบบรางเปิด</t>
  </si>
  <si>
    <t>งานราวกันตก คสล.</t>
  </si>
  <si>
    <t>งานกล่องใส่หิน (GABION BOX)</t>
  </si>
  <si>
    <t>กล่อง</t>
  </si>
  <si>
    <t>งานรื้อย้าย Guard  Rail</t>
  </si>
  <si>
    <t>งานรื้อย้ายไฟฟ้าแสงสว่าง</t>
  </si>
  <si>
    <t xml:space="preserve"> เสาไฟฟ้าสูง 9.00 ม.พร้อมโคมไฟฟ้า 250 W.และอุปกรณ์</t>
  </si>
  <si>
    <t>ต้น</t>
  </si>
  <si>
    <t>สายไฟฟ้า CV 3C x 10 mm2 (สายไฟเดินระหว่างเสา)</t>
  </si>
  <si>
    <t>ขุดวางสายไฟฟ้า  พร้อมเทปูนรีนปิดทับ</t>
  </si>
  <si>
    <t>ท่อ RSCÆ 2 - 1/2 " พร้อมค่าดันท่อลอด/ตัดถนน</t>
  </si>
  <si>
    <r>
      <t>สายไฟฟ้า CV 3C x 10 mm</t>
    </r>
    <r>
      <rPr>
        <vertAlign val="superscript"/>
        <sz val="13"/>
        <rFont val="TH Niramit AS"/>
      </rPr>
      <t>2</t>
    </r>
    <r>
      <rPr>
        <sz val="13"/>
        <rFont val="TH Niramit AS"/>
      </rPr>
      <t xml:space="preserve"> (ระหว่างเสาถึงหม้อแปลง)</t>
    </r>
  </si>
  <si>
    <t>เสาไฟฟ้าพร้อมกิ่งโคมและอุปกรณ์</t>
  </si>
  <si>
    <t xml:space="preserve">  11.1 เสาไฟฟ้าพร้อมกิ่งโคมและอุปกรณ์ประจำเสาไฟฟ้า</t>
  </si>
  <si>
    <t>เสาไฟฟ้าทั้งโครงการ</t>
  </si>
  <si>
    <t>11.1.1</t>
  </si>
  <si>
    <t>เสาไฟฟ้าสูง 9.00 ม. พร้อมกิ่งเดี่ยวและอุปกรณ์ฟิวส์ครบชุด</t>
  </si>
  <si>
    <t>11.1.2</t>
  </si>
  <si>
    <t>โคมไฟฟ้า 250 W.HPS. พร้อมอุปกรณ์</t>
  </si>
  <si>
    <t>11.1.3</t>
  </si>
  <si>
    <t>ค่าทาสีและติดตั้งแผ่นสะท้อนแสง</t>
  </si>
  <si>
    <t>11.1.4</t>
  </si>
  <si>
    <t>ฐานเสาไฟฟ้าคอนกรีต  ขนาด  0.40 x 0.80 x 1.20  ม.</t>
  </si>
  <si>
    <t>11.1.5</t>
  </si>
  <si>
    <r>
      <t>สายไฟฟ้า CV 3C x 10 mm</t>
    </r>
    <r>
      <rPr>
        <vertAlign val="superscript"/>
        <sz val="13"/>
        <rFont val="TH Niramit AS"/>
      </rPr>
      <t>2</t>
    </r>
    <r>
      <rPr>
        <sz val="13"/>
        <rFont val="TH Niramit AS"/>
      </rPr>
      <t xml:space="preserve"> (สายไฟเดินระหว่างเสา)</t>
    </r>
  </si>
  <si>
    <t>11.1.6</t>
  </si>
  <si>
    <r>
      <t>สายไฟฟ้า CV 2C x 2.5 mm</t>
    </r>
    <r>
      <rPr>
        <vertAlign val="superscript"/>
        <sz val="13"/>
        <rFont val="TH Niramit AS"/>
      </rPr>
      <t>2</t>
    </r>
    <r>
      <rPr>
        <sz val="13"/>
        <rFont val="TH Niramit AS"/>
      </rPr>
      <t>(สายไฟฟ้าเดินในเสาถึงดวงโคม)</t>
    </r>
  </si>
  <si>
    <t>11.1.7</t>
  </si>
  <si>
    <r>
      <t>สายไฟฟ้า THWA  1C x35 mm</t>
    </r>
    <r>
      <rPr>
        <vertAlign val="superscript"/>
        <sz val="13"/>
        <rFont val="TH Niramit AS"/>
      </rPr>
      <t>2</t>
    </r>
    <r>
      <rPr>
        <sz val="13"/>
        <rFont val="TH Niramit AS"/>
      </rPr>
      <t>(สายไฟเดินระหว่างเสา)</t>
    </r>
  </si>
  <si>
    <t>11.1.8</t>
  </si>
  <si>
    <t>งานหมายเลขประจำเสาไฟฟ้า</t>
  </si>
  <si>
    <t>11.1.9</t>
  </si>
  <si>
    <t>11.1.10</t>
  </si>
  <si>
    <t>11.2 ค่าอุปกรณ์ที่ใช้ร่วมกัน</t>
  </si>
  <si>
    <t>11.2.1</t>
  </si>
  <si>
    <t>ตู้ควบคุมชนิดแขวนทำจากสแตนเลสสตีล พร้อมโฟโต้และรีเลย์ 60 A 220 V</t>
  </si>
  <si>
    <t>11.2.2</t>
  </si>
  <si>
    <t>เซฟตี้สวิตช์ 60 A พร้อมท่อ Dai.1 1/4 "</t>
  </si>
  <si>
    <t>11.2.3</t>
  </si>
  <si>
    <t>ท่อ RSC Æ 2 - 1/2 " พร้อมค่าดันท่อลอด</t>
  </si>
  <si>
    <t>11.2.4</t>
  </si>
  <si>
    <t>ท่อ RSC Æ 2 - 1/2 " พร้อมค่าตัดถนน</t>
  </si>
  <si>
    <t>11.2.5</t>
  </si>
  <si>
    <t>ท่อ IMC ขนาด  Æ 1 - 1/4 " (วางท่อเกาะสะพาน)</t>
  </si>
  <si>
    <t>11.2.6</t>
  </si>
  <si>
    <r>
      <t>สายไฟฟ้า THW สีเขียว 1C X 16 mm</t>
    </r>
    <r>
      <rPr>
        <vertAlign val="superscript"/>
        <sz val="13"/>
        <rFont val="TH Niramit AS"/>
      </rPr>
      <t>2</t>
    </r>
  </si>
  <si>
    <t>11.2.7</t>
  </si>
  <si>
    <t>11.2.8</t>
  </si>
  <si>
    <r>
      <t>สายไฟฟ้า THW สีเขียว 1C X 35 mm</t>
    </r>
    <r>
      <rPr>
        <vertAlign val="superscript"/>
        <sz val="13"/>
        <rFont val="TH Niramit AS"/>
      </rPr>
      <t>2</t>
    </r>
  </si>
  <si>
    <t>11.2.9</t>
  </si>
  <si>
    <t>11.2.11</t>
  </si>
  <si>
    <t>ค่าใช้จ่ายพิเศษ</t>
  </si>
  <si>
    <t>ค่าธรรมเนียมการไฟฟ้า(หม้อแปลงขยายเขต 50 KVA)</t>
  </si>
  <si>
    <t>งานรื้อย้ายสาธารณูปโภค/งานอื่นๆ นอกจากบัญชีค่างาน</t>
  </si>
  <si>
    <t>โครงการ</t>
  </si>
  <si>
    <t>ป้ายจราจรระหว่างก่อสร้าง</t>
  </si>
  <si>
    <t xml:space="preserve">   </t>
  </si>
  <si>
    <t xml:space="preserve">       </t>
  </si>
  <si>
    <t xml:space="preserve">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</si>
</sst>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87" formatCode="0.000"/>
    <numFmt numFmtId="188" formatCode="_(* #,##0.00_);_(* \(#,##0.00\);_(* &quot;-&quot;??_);_(@_)"/>
    <numFmt numFmtId="189" formatCode="_-* #,##0.0000_-;\-* #,##0.0000_-;_-* &quot;-&quot;??_-;_-@_-"/>
    <numFmt numFmtId="190" formatCode="_-* #,##0.00_-;\-* #,##0.00_-;_-* &quot;-&quot;_-;_-@_-"/>
    <numFmt numFmtId="191" formatCode="_-* #,##0.0_-;\-* #,##0.0_-;_-* &quot;-&quot;_-;_-@_-"/>
    <numFmt numFmtId="192" formatCode="#,##0.0;\-#,##0.0"/>
  </numFmts>
  <fonts count="2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rgb="FF0000CC"/>
      <name val="TH Niramit AS"/>
    </font>
    <font>
      <sz val="14"/>
      <name val="TH Niramit AS"/>
    </font>
    <font>
      <b/>
      <sz val="14"/>
      <color rgb="FF0000CC"/>
      <name val="TH Niramit AS"/>
    </font>
    <font>
      <sz val="14"/>
      <color rgb="FFFF0000"/>
      <name val="TH Niramit AS"/>
    </font>
    <font>
      <b/>
      <sz val="16"/>
      <color rgb="FFFF0000"/>
      <name val="TH Niramit AS"/>
    </font>
    <font>
      <b/>
      <sz val="14"/>
      <color theme="0"/>
      <name val="TH Niramit AS"/>
    </font>
    <font>
      <b/>
      <sz val="14"/>
      <name val="TH Niramit AS"/>
    </font>
    <font>
      <sz val="14"/>
      <color indexed="10"/>
      <name val="TH Niramit AS"/>
    </font>
    <font>
      <sz val="16"/>
      <name val="TH Niramit AS"/>
    </font>
    <font>
      <sz val="11"/>
      <name val="TH Niramit AS"/>
    </font>
    <font>
      <sz val="14"/>
      <color theme="1"/>
      <name val="TH Niramit AS"/>
    </font>
    <font>
      <b/>
      <u/>
      <sz val="14"/>
      <color rgb="FF0000CC"/>
      <name val="TH Niramit AS"/>
    </font>
    <font>
      <b/>
      <u/>
      <sz val="14"/>
      <name val="TH Niramit AS"/>
    </font>
    <font>
      <b/>
      <sz val="14"/>
      <color theme="1"/>
      <name val="TH Niramit AS"/>
    </font>
    <font>
      <b/>
      <sz val="14"/>
      <color rgb="FF000099"/>
      <name val="TH Niramit AS"/>
    </font>
    <font>
      <sz val="12"/>
      <name val="TH Niramit AS"/>
    </font>
    <font>
      <b/>
      <sz val="22"/>
      <color rgb="FFFF0000"/>
      <name val="TH Niramit AS"/>
    </font>
    <font>
      <sz val="13"/>
      <name val="TH Niramit AS"/>
    </font>
    <font>
      <sz val="14"/>
      <name val="Cordia New"/>
      <family val="2"/>
    </font>
    <font>
      <b/>
      <u/>
      <sz val="14"/>
      <color rgb="FF000099"/>
      <name val="TH Niramit AS"/>
    </font>
    <font>
      <sz val="14"/>
      <color indexed="18"/>
      <name val="TH Niramit AS"/>
    </font>
    <font>
      <sz val="10"/>
      <name val="TH Niramit AS"/>
    </font>
    <font>
      <sz val="11"/>
      <color theme="1"/>
      <name val="Tahoma"/>
      <family val="2"/>
      <scheme val="minor"/>
    </font>
    <font>
      <vertAlign val="superscript"/>
      <sz val="13"/>
      <name val="TH Niramit AS"/>
    </font>
    <font>
      <sz val="10"/>
      <name val="Arial"/>
      <family val="2"/>
    </font>
    <font>
      <b/>
      <u/>
      <sz val="14"/>
      <color rgb="FF0070C0"/>
      <name val="TH Niramit AS"/>
    </font>
    <font>
      <b/>
      <sz val="16"/>
      <name val="TH Niramit AS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4" fontId="20" fillId="0" borderId="0"/>
  </cellStyleXfs>
  <cellXfs count="27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87" fontId="5" fillId="2" borderId="1" xfId="0" applyNumberFormat="1" applyFont="1" applyFill="1" applyBorder="1" applyAlignment="1">
      <alignment vertical="center"/>
    </xf>
    <xf numFmtId="18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" fontId="6" fillId="0" borderId="0" xfId="0" applyNumberFormat="1" applyFont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3" fontId="3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1" fontId="5" fillId="4" borderId="15" xfId="0" applyNumberFormat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88" fontId="3" fillId="0" borderId="15" xfId="0" applyNumberFormat="1" applyFont="1" applyBorder="1" applyAlignment="1">
      <alignment vertical="center"/>
    </xf>
    <xf numFmtId="188" fontId="3" fillId="5" borderId="15" xfId="0" applyNumberFormat="1" applyFont="1" applyFill="1" applyBorder="1" applyAlignment="1">
      <alignment vertical="center"/>
    </xf>
    <xf numFmtId="43" fontId="3" fillId="6" borderId="15" xfId="0" applyNumberFormat="1" applyFont="1" applyFill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189" fontId="3" fillId="0" borderId="16" xfId="0" applyNumberFormat="1" applyFont="1" applyBorder="1" applyAlignment="1">
      <alignment vertical="center"/>
    </xf>
    <xf numFmtId="43" fontId="3" fillId="0" borderId="16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188" fontId="3" fillId="0" borderId="19" xfId="0" applyNumberFormat="1" applyFont="1" applyBorder="1" applyAlignment="1">
      <alignment vertical="center"/>
    </xf>
    <xf numFmtId="43" fontId="3" fillId="6" borderId="19" xfId="0" applyNumberFormat="1" applyFont="1" applyFill="1" applyBorder="1" applyAlignment="1">
      <alignment vertical="center"/>
    </xf>
    <xf numFmtId="43" fontId="3" fillId="0" borderId="19" xfId="0" applyNumberFormat="1" applyFont="1" applyBorder="1" applyAlignment="1">
      <alignment vertical="center"/>
    </xf>
    <xf numFmtId="43" fontId="3" fillId="0" borderId="20" xfId="0" applyNumberFormat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0" xfId="0" applyFont="1" applyAlignment="1">
      <alignment vertical="center"/>
    </xf>
    <xf numFmtId="41" fontId="5" fillId="4" borderId="19" xfId="0" applyNumberFormat="1" applyFont="1" applyFill="1" applyBorder="1" applyAlignment="1">
      <alignment vertical="center"/>
    </xf>
    <xf numFmtId="188" fontId="3" fillId="5" borderId="19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43" fontId="9" fillId="0" borderId="0" xfId="0" applyNumberFormat="1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41" fontId="5" fillId="0" borderId="13" xfId="0" applyNumberFormat="1" applyFont="1" applyBorder="1" applyAlignment="1">
      <alignment vertical="center"/>
    </xf>
    <xf numFmtId="43" fontId="3" fillId="0" borderId="13" xfId="0" applyNumberFormat="1" applyFont="1" applyBorder="1" applyAlignment="1">
      <alignment vertical="center"/>
    </xf>
    <xf numFmtId="189" fontId="3" fillId="0" borderId="22" xfId="0" applyNumberFormat="1" applyFont="1" applyBorder="1" applyAlignment="1">
      <alignment vertical="center"/>
    </xf>
    <xf numFmtId="43" fontId="3" fillId="0" borderId="22" xfId="0" applyNumberFormat="1" applyFont="1" applyBorder="1" applyAlignment="1">
      <alignment vertical="center"/>
    </xf>
    <xf numFmtId="41" fontId="3" fillId="0" borderId="13" xfId="0" applyNumberFormat="1" applyFont="1" applyBorder="1" applyAlignment="1">
      <alignment vertical="center"/>
    </xf>
    <xf numFmtId="41" fontId="3" fillId="0" borderId="15" xfId="0" applyNumberFormat="1" applyFont="1" applyBorder="1" applyAlignment="1">
      <alignment vertical="center"/>
    </xf>
    <xf numFmtId="43" fontId="10" fillId="0" borderId="16" xfId="0" applyNumberFormat="1" applyFont="1" applyBorder="1" applyAlignment="1">
      <alignment vertical="center"/>
    </xf>
    <xf numFmtId="41" fontId="3" fillId="0" borderId="19" xfId="0" applyNumberFormat="1" applyFont="1" applyBorder="1" applyAlignment="1">
      <alignment vertical="center"/>
    </xf>
    <xf numFmtId="43" fontId="10" fillId="0" borderId="2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3" fontId="3" fillId="0" borderId="26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18" xfId="0" applyNumberFormat="1" applyFont="1" applyBorder="1" applyAlignment="1">
      <alignment vertical="center"/>
    </xf>
    <xf numFmtId="0" fontId="3" fillId="0" borderId="18" xfId="0" applyFont="1" applyBorder="1"/>
    <xf numFmtId="0" fontId="3" fillId="0" borderId="21" xfId="0" applyFont="1" applyBorder="1"/>
    <xf numFmtId="43" fontId="3" fillId="0" borderId="2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90" fontId="5" fillId="4" borderId="15" xfId="0" applyNumberFormat="1" applyFont="1" applyFill="1" applyBorder="1" applyAlignment="1">
      <alignment vertical="center"/>
    </xf>
    <xf numFmtId="188" fontId="3" fillId="0" borderId="17" xfId="0" applyNumberFormat="1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91" fontId="5" fillId="4" borderId="19" xfId="0" applyNumberFormat="1" applyFont="1" applyFill="1" applyBorder="1" applyAlignment="1">
      <alignment vertical="center"/>
    </xf>
    <xf numFmtId="39" fontId="12" fillId="0" borderId="18" xfId="0" applyNumberFormat="1" applyFont="1" applyBorder="1" applyAlignment="1">
      <alignment horizontal="left" vertical="center"/>
    </xf>
    <xf numFmtId="0" fontId="12" fillId="0" borderId="21" xfId="0" applyFont="1" applyBorder="1" applyAlignment="1">
      <alignment vertical="center"/>
    </xf>
    <xf numFmtId="39" fontId="3" fillId="0" borderId="19" xfId="0" applyNumberFormat="1" applyFont="1" applyBorder="1" applyAlignment="1">
      <alignment horizontal="center" vertical="center"/>
    </xf>
    <xf numFmtId="188" fontId="3" fillId="0" borderId="21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39" fontId="3" fillId="0" borderId="14" xfId="0" applyNumberFormat="1" applyFont="1" applyBorder="1" applyAlignment="1">
      <alignment horizontal="left" vertical="center"/>
    </xf>
    <xf numFmtId="39" fontId="3" fillId="0" borderId="15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39" fontId="3" fillId="0" borderId="18" xfId="0" applyNumberFormat="1" applyFont="1" applyBorder="1" applyAlignment="1">
      <alignment horizontal="left" vertical="center"/>
    </xf>
    <xf numFmtId="192" fontId="3" fillId="0" borderId="0" xfId="0" applyNumberFormat="1" applyFont="1" applyAlignment="1">
      <alignment horizontal="right" vertical="center"/>
    </xf>
    <xf numFmtId="41" fontId="3" fillId="0" borderId="13" xfId="0" applyNumberFormat="1" applyFont="1" applyBorder="1" applyAlignment="1">
      <alignment horizontal="right" vertical="center"/>
    </xf>
    <xf numFmtId="189" fontId="3" fillId="0" borderId="27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4" fillId="0" borderId="3" xfId="0" applyNumberFormat="1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187" fontId="5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43" fontId="14" fillId="0" borderId="3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39" fontId="3" fillId="5" borderId="19" xfId="0" applyNumberFormat="1" applyFont="1" applyFill="1" applyBorder="1" applyAlignment="1">
      <alignment horizontal="center" vertical="center"/>
    </xf>
    <xf numFmtId="43" fontId="3" fillId="5" borderId="19" xfId="0" applyNumberFormat="1" applyFont="1" applyFill="1" applyBorder="1" applyAlignment="1">
      <alignment vertical="center"/>
    </xf>
    <xf numFmtId="39" fontId="17" fillId="0" borderId="18" xfId="0" applyNumberFormat="1" applyFont="1" applyBorder="1" applyAlignment="1">
      <alignment horizontal="left" vertical="center"/>
    </xf>
    <xf numFmtId="188" fontId="3" fillId="0" borderId="26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9" fontId="17" fillId="0" borderId="18" xfId="0" applyNumberFormat="1" applyFont="1" applyBorder="1" applyAlignment="1">
      <alignment vertical="center"/>
    </xf>
    <xf numFmtId="189" fontId="3" fillId="0" borderId="20" xfId="0" applyNumberFormat="1" applyFont="1" applyBorder="1" applyAlignment="1">
      <alignment vertical="center"/>
    </xf>
    <xf numFmtId="189" fontId="3" fillId="0" borderId="19" xfId="0" applyNumberFormat="1" applyFont="1" applyBorder="1" applyAlignment="1">
      <alignment vertical="center"/>
    </xf>
    <xf numFmtId="39" fontId="17" fillId="0" borderId="14" xfId="0" applyNumberFormat="1" applyFont="1" applyBorder="1" applyAlignment="1">
      <alignment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vertical="center"/>
    </xf>
    <xf numFmtId="39" fontId="3" fillId="0" borderId="18" xfId="0" applyNumberFormat="1" applyFont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1" xfId="0" applyFont="1" applyFill="1" applyBorder="1" applyAlignment="1">
      <alignment vertical="center"/>
    </xf>
    <xf numFmtId="39" fontId="3" fillId="0" borderId="14" xfId="0" applyNumberFormat="1" applyFont="1" applyBorder="1" applyAlignment="1">
      <alignment horizontal="center" vertical="center"/>
    </xf>
    <xf numFmtId="39" fontId="17" fillId="0" borderId="14" xfId="0" applyNumberFormat="1" applyFont="1" applyBorder="1" applyAlignment="1">
      <alignment horizontal="left" vertical="center"/>
    </xf>
    <xf numFmtId="0" fontId="3" fillId="5" borderId="16" xfId="0" applyFont="1" applyFill="1" applyBorder="1" applyAlignment="1">
      <alignment vertical="center"/>
    </xf>
    <xf numFmtId="0" fontId="3" fillId="5" borderId="17" xfId="0" applyFont="1" applyFill="1" applyBorder="1" applyAlignment="1">
      <alignment vertical="center"/>
    </xf>
    <xf numFmtId="39" fontId="3" fillId="0" borderId="18" xfId="0" applyNumberFormat="1" applyFont="1" applyBorder="1" applyAlignment="1">
      <alignment vertical="center"/>
    </xf>
    <xf numFmtId="39" fontId="3" fillId="0" borderId="0" xfId="0" applyNumberFormat="1" applyFont="1" applyAlignment="1">
      <alignment horizontal="left" vertical="center"/>
    </xf>
    <xf numFmtId="39" fontId="3" fillId="0" borderId="0" xfId="0" applyNumberFormat="1" applyFont="1" applyAlignment="1">
      <alignment horizontal="center" vertical="center"/>
    </xf>
    <xf numFmtId="188" fontId="3" fillId="0" borderId="13" xfId="0" applyNumberFormat="1" applyFont="1" applyBorder="1" applyAlignment="1">
      <alignment vertical="center"/>
    </xf>
    <xf numFmtId="188" fontId="3" fillId="0" borderId="25" xfId="0" applyNumberFormat="1" applyFont="1" applyBorder="1" applyAlignment="1">
      <alignment vertical="center"/>
    </xf>
    <xf numFmtId="189" fontId="3" fillId="0" borderId="26" xfId="0" applyNumberFormat="1" applyFont="1" applyBorder="1" applyAlignment="1">
      <alignment vertical="center"/>
    </xf>
    <xf numFmtId="189" fontId="3" fillId="0" borderId="13" xfId="0" applyNumberFormat="1" applyFont="1" applyBorder="1" applyAlignment="1">
      <alignment vertical="center"/>
    </xf>
    <xf numFmtId="41" fontId="5" fillId="4" borderId="15" xfId="0" applyNumberFormat="1" applyFont="1" applyFill="1" applyBorder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41" fontId="5" fillId="4" borderId="19" xfId="0" applyNumberFormat="1" applyFont="1" applyFill="1" applyBorder="1" applyAlignment="1">
      <alignment horizontal="right" vertical="center"/>
    </xf>
    <xf numFmtId="192" fontId="19" fillId="0" borderId="18" xfId="0" applyNumberFormat="1" applyFont="1" applyBorder="1" applyAlignment="1">
      <alignment horizontal="left"/>
    </xf>
    <xf numFmtId="43" fontId="3" fillId="0" borderId="20" xfId="1" applyFont="1" applyBorder="1" applyAlignment="1" applyProtection="1">
      <alignment vertical="center"/>
    </xf>
    <xf numFmtId="192" fontId="3" fillId="0" borderId="18" xfId="0" applyNumberFormat="1" applyFont="1" applyBorder="1" applyAlignment="1">
      <alignment horizontal="left"/>
    </xf>
    <xf numFmtId="41" fontId="5" fillId="4" borderId="19" xfId="0" applyNumberFormat="1" applyFont="1" applyFill="1" applyBorder="1" applyAlignment="1">
      <alignment horizontal="center" vertical="center"/>
    </xf>
    <xf numFmtId="192" fontId="8" fillId="0" borderId="18" xfId="0" applyNumberFormat="1" applyFont="1" applyBorder="1" applyAlignment="1">
      <alignment horizontal="left"/>
    </xf>
    <xf numFmtId="39" fontId="3" fillId="0" borderId="0" xfId="0" applyNumberFormat="1" applyFont="1" applyAlignment="1">
      <alignment horizontal="right"/>
    </xf>
    <xf numFmtId="39" fontId="19" fillId="0" borderId="18" xfId="0" applyNumberFormat="1" applyFont="1" applyBorder="1" applyAlignment="1">
      <alignment horizontal="left" vertical="center"/>
    </xf>
    <xf numFmtId="192" fontId="3" fillId="0" borderId="0" xfId="0" applyNumberFormat="1" applyFont="1" applyAlignment="1">
      <alignment horizontal="right"/>
    </xf>
    <xf numFmtId="39" fontId="3" fillId="0" borderId="21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/>
    </xf>
    <xf numFmtId="43" fontId="17" fillId="0" borderId="19" xfId="1" applyFont="1" applyBorder="1" applyAlignment="1" applyProtection="1">
      <alignment vertical="center"/>
    </xf>
    <xf numFmtId="4" fontId="21" fillId="0" borderId="12" xfId="0" applyNumberFormat="1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4" fontId="14" fillId="0" borderId="8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" fontId="21" fillId="0" borderId="2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39" fontId="3" fillId="0" borderId="25" xfId="0" applyNumberFormat="1" applyFont="1" applyBorder="1" applyAlignment="1">
      <alignment horizontal="left" vertical="center"/>
    </xf>
    <xf numFmtId="0" fontId="3" fillId="0" borderId="22" xfId="0" applyFont="1" applyBorder="1" applyAlignment="1">
      <alignment horizontal="center"/>
    </xf>
    <xf numFmtId="43" fontId="3" fillId="0" borderId="13" xfId="0" applyNumberFormat="1" applyFont="1" applyBorder="1"/>
    <xf numFmtId="43" fontId="22" fillId="0" borderId="13" xfId="0" applyNumberFormat="1" applyFont="1" applyBorder="1" applyAlignment="1">
      <alignment vertical="center"/>
    </xf>
    <xf numFmtId="192" fontId="3" fillId="0" borderId="22" xfId="0" applyNumberFormat="1" applyFont="1" applyBorder="1" applyAlignment="1">
      <alignment horizontal="right"/>
    </xf>
    <xf numFmtId="0" fontId="23" fillId="0" borderId="14" xfId="0" applyFont="1" applyBorder="1" applyAlignment="1">
      <alignment vertical="center"/>
    </xf>
    <xf numFmtId="39" fontId="3" fillId="0" borderId="17" xfId="0" applyNumberFormat="1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188" fontId="17" fillId="0" borderId="15" xfId="0" applyNumberFormat="1" applyFont="1" applyBorder="1" applyAlignment="1">
      <alignment vertical="center"/>
    </xf>
    <xf numFmtId="43" fontId="22" fillId="0" borderId="15" xfId="0" applyNumberFormat="1" applyFont="1" applyBorder="1" applyAlignment="1">
      <alignment vertical="center"/>
    </xf>
    <xf numFmtId="0" fontId="3" fillId="0" borderId="22" xfId="0" applyFont="1" applyBorder="1"/>
    <xf numFmtId="43" fontId="22" fillId="0" borderId="19" xfId="0" applyNumberFormat="1" applyFont="1" applyBorder="1" applyAlignment="1">
      <alignment vertical="center"/>
    </xf>
    <xf numFmtId="2" fontId="3" fillId="0" borderId="22" xfId="0" applyNumberFormat="1" applyFont="1" applyBorder="1"/>
    <xf numFmtId="39" fontId="3" fillId="0" borderId="22" xfId="0" applyNumberFormat="1" applyFont="1" applyBorder="1" applyAlignment="1">
      <alignment horizontal="right"/>
    </xf>
    <xf numFmtId="0" fontId="8" fillId="0" borderId="13" xfId="0" applyFont="1" applyBorder="1"/>
    <xf numFmtId="41" fontId="5" fillId="0" borderId="19" xfId="0" applyNumberFormat="1" applyFont="1" applyBorder="1" applyAlignment="1">
      <alignment horizontal="right" vertical="center"/>
    </xf>
    <xf numFmtId="188" fontId="17" fillId="0" borderId="19" xfId="0" applyNumberFormat="1" applyFont="1" applyBorder="1" applyAlignment="1">
      <alignment vertical="center"/>
    </xf>
    <xf numFmtId="0" fontId="3" fillId="0" borderId="22" xfId="0" applyFont="1" applyBorder="1" applyAlignment="1">
      <alignment horizontal="right"/>
    </xf>
    <xf numFmtId="0" fontId="17" fillId="0" borderId="18" xfId="0" applyFont="1" applyBorder="1" applyAlignment="1">
      <alignment vertical="center"/>
    </xf>
    <xf numFmtId="43" fontId="3" fillId="0" borderId="28" xfId="0" applyNumberFormat="1" applyFont="1" applyBorder="1"/>
    <xf numFmtId="188" fontId="3" fillId="0" borderId="15" xfId="0" applyNumberFormat="1" applyFont="1" applyBorder="1"/>
    <xf numFmtId="43" fontId="3" fillId="0" borderId="19" xfId="0" applyNumberFormat="1" applyFont="1" applyBorder="1"/>
    <xf numFmtId="188" fontId="3" fillId="0" borderId="19" xfId="0" applyNumberFormat="1" applyFont="1" applyBorder="1"/>
    <xf numFmtId="188" fontId="3" fillId="0" borderId="29" xfId="2" applyFont="1" applyBorder="1" applyAlignment="1">
      <alignment horizontal="center"/>
    </xf>
    <xf numFmtId="0" fontId="19" fillId="0" borderId="3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3" fillId="0" borderId="18" xfId="0" applyFont="1" applyBorder="1" applyAlignment="1">
      <alignment horizontal="center"/>
    </xf>
    <xf numFmtId="0" fontId="19" fillId="0" borderId="18" xfId="0" applyFont="1" applyBorder="1"/>
    <xf numFmtId="0" fontId="8" fillId="0" borderId="22" xfId="0" applyFont="1" applyBorder="1" applyAlignment="1">
      <alignment vertical="center"/>
    </xf>
    <xf numFmtId="0" fontId="3" fillId="0" borderId="31" xfId="0" applyFont="1" applyBorder="1" applyAlignment="1">
      <alignment horizontal="right" vertical="center"/>
    </xf>
    <xf numFmtId="39" fontId="17" fillId="0" borderId="31" xfId="0" applyNumberFormat="1" applyFont="1" applyBorder="1" applyAlignment="1">
      <alignment horizontal="left" vertical="center"/>
    </xf>
    <xf numFmtId="41" fontId="5" fillId="0" borderId="26" xfId="0" applyNumberFormat="1" applyFont="1" applyBorder="1" applyAlignment="1">
      <alignment vertical="center"/>
    </xf>
    <xf numFmtId="39" fontId="3" fillId="0" borderId="31" xfId="0" applyNumberFormat="1" applyFont="1" applyBorder="1" applyAlignment="1">
      <alignment horizontal="center" vertical="center"/>
    </xf>
    <xf numFmtId="188" fontId="3" fillId="0" borderId="24" xfId="0" applyNumberFormat="1" applyFont="1" applyBorder="1" applyAlignment="1">
      <alignment vertical="center"/>
    </xf>
    <xf numFmtId="189" fontId="3" fillId="0" borderId="23" xfId="0" applyNumberFormat="1" applyFont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8" fillId="0" borderId="22" xfId="3" applyFont="1" applyBorder="1"/>
    <xf numFmtId="0" fontId="3" fillId="0" borderId="0" xfId="0" applyFont="1" applyAlignment="1">
      <alignment horizontal="right" vertical="center"/>
    </xf>
    <xf numFmtId="39" fontId="17" fillId="0" borderId="0" xfId="0" applyNumberFormat="1" applyFont="1" applyAlignment="1">
      <alignment horizontal="left" vertical="center"/>
    </xf>
    <xf numFmtId="41" fontId="3" fillId="0" borderId="13" xfId="0" applyNumberFormat="1" applyFont="1" applyBorder="1" applyAlignment="1">
      <alignment horizontal="left" vertical="center"/>
    </xf>
    <xf numFmtId="2" fontId="5" fillId="4" borderId="13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horizontal="right" vertical="center"/>
    </xf>
    <xf numFmtId="0" fontId="19" fillId="0" borderId="32" xfId="3" applyFont="1" applyBorder="1"/>
    <xf numFmtId="2" fontId="5" fillId="4" borderId="15" xfId="0" applyNumberFormat="1" applyFont="1" applyFill="1" applyBorder="1" applyAlignment="1">
      <alignment vertical="center"/>
    </xf>
    <xf numFmtId="0" fontId="19" fillId="0" borderId="30" xfId="3" applyFont="1" applyBorder="1"/>
    <xf numFmtId="190" fontId="3" fillId="0" borderId="19" xfId="0" applyNumberFormat="1" applyFont="1" applyBorder="1" applyAlignment="1">
      <alignment vertical="center"/>
    </xf>
    <xf numFmtId="0" fontId="19" fillId="0" borderId="30" xfId="0" applyFont="1" applyBorder="1"/>
    <xf numFmtId="0" fontId="19" fillId="0" borderId="33" xfId="3" applyFont="1" applyBorder="1"/>
    <xf numFmtId="39" fontId="3" fillId="0" borderId="31" xfId="0" applyNumberFormat="1" applyFont="1" applyBorder="1" applyAlignment="1">
      <alignment horizontal="left" vertical="center"/>
    </xf>
    <xf numFmtId="190" fontId="3" fillId="0" borderId="26" xfId="0" applyNumberFormat="1" applyFont="1" applyBorder="1" applyAlignment="1">
      <alignment vertical="center"/>
    </xf>
    <xf numFmtId="43" fontId="3" fillId="0" borderId="23" xfId="0" applyNumberFormat="1" applyFont="1" applyBorder="1" applyAlignment="1">
      <alignment vertical="center"/>
    </xf>
    <xf numFmtId="0" fontId="3" fillId="5" borderId="24" xfId="0" applyFont="1" applyFill="1" applyBorder="1" applyAlignment="1">
      <alignment vertical="center"/>
    </xf>
    <xf numFmtId="0" fontId="17" fillId="0" borderId="22" xfId="0" applyFont="1" applyBorder="1" applyAlignment="1">
      <alignment horizontal="right" vertical="center"/>
    </xf>
    <xf numFmtId="0" fontId="19" fillId="0" borderId="18" xfId="4" applyFont="1" applyBorder="1"/>
    <xf numFmtId="0" fontId="8" fillId="0" borderId="22" xfId="0" applyFont="1" applyBorder="1" applyAlignment="1">
      <alignment horizontal="left" vertical="center"/>
    </xf>
    <xf numFmtId="0" fontId="19" fillId="0" borderId="0" xfId="4" applyFont="1" applyAlignment="1">
      <alignment horizontal="center"/>
    </xf>
    <xf numFmtId="0" fontId="19" fillId="0" borderId="25" xfId="4" applyFont="1" applyBorder="1" applyAlignment="1">
      <alignment horizontal="center"/>
    </xf>
    <xf numFmtId="0" fontId="19" fillId="0" borderId="14" xfId="5" applyFont="1" applyBorder="1" applyAlignment="1" applyProtection="1">
      <alignment vertical="center"/>
      <protection locked="0"/>
    </xf>
    <xf numFmtId="0" fontId="17" fillId="0" borderId="17" xfId="0" applyFont="1" applyBorder="1" applyAlignment="1">
      <alignment vertical="center"/>
    </xf>
    <xf numFmtId="39" fontId="3" fillId="0" borderId="16" xfId="0" applyNumberFormat="1" applyFont="1" applyBorder="1" applyAlignment="1">
      <alignment horizontal="center" vertical="center"/>
    </xf>
    <xf numFmtId="188" fontId="3" fillId="0" borderId="28" xfId="2" applyFont="1" applyBorder="1" applyAlignment="1">
      <alignment horizontal="center"/>
    </xf>
    <xf numFmtId="0" fontId="19" fillId="0" borderId="18" xfId="5" applyFont="1" applyBorder="1" applyAlignment="1" applyProtection="1">
      <alignment vertical="center"/>
      <protection locked="0"/>
    </xf>
    <xf numFmtId="0" fontId="17" fillId="0" borderId="21" xfId="0" applyFont="1" applyBorder="1" applyAlignment="1">
      <alignment vertical="center"/>
    </xf>
    <xf numFmtId="39" fontId="19" fillId="0" borderId="30" xfId="4" applyNumberFormat="1" applyFont="1" applyBorder="1" applyAlignment="1">
      <alignment horizontal="left"/>
    </xf>
    <xf numFmtId="39" fontId="3" fillId="0" borderId="20" xfId="0" applyNumberFormat="1" applyFont="1" applyBorder="1" applyAlignment="1">
      <alignment horizontal="center" vertical="center"/>
    </xf>
    <xf numFmtId="188" fontId="3" fillId="0" borderId="34" xfId="2" applyFont="1" applyBorder="1" applyAlignment="1">
      <alignment horizontal="center"/>
    </xf>
    <xf numFmtId="39" fontId="19" fillId="0" borderId="35" xfId="4" applyNumberFormat="1" applyFont="1" applyBorder="1" applyAlignment="1">
      <alignment horizontal="left"/>
    </xf>
    <xf numFmtId="192" fontId="17" fillId="0" borderId="0" xfId="0" applyNumberFormat="1" applyFont="1" applyAlignment="1">
      <alignment horizontal="right" vertical="center"/>
    </xf>
    <xf numFmtId="41" fontId="3" fillId="0" borderId="19" xfId="0" applyNumberFormat="1" applyFont="1" applyBorder="1" applyAlignment="1">
      <alignment horizontal="right" vertical="center"/>
    </xf>
    <xf numFmtId="4" fontId="27" fillId="0" borderId="6" xfId="0" applyNumberFormat="1" applyFont="1" applyBorder="1" applyAlignment="1">
      <alignment vertical="center"/>
    </xf>
    <xf numFmtId="4" fontId="27" fillId="0" borderId="8" xfId="0" applyNumberFormat="1" applyFont="1" applyBorder="1" applyAlignment="1">
      <alignment vertical="center"/>
    </xf>
    <xf numFmtId="39" fontId="19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right" vertical="center"/>
    </xf>
    <xf numFmtId="39" fontId="19" fillId="0" borderId="18" xfId="4" applyNumberFormat="1" applyFont="1" applyBorder="1" applyAlignment="1">
      <alignment horizontal="left"/>
    </xf>
    <xf numFmtId="188" fontId="3" fillId="0" borderId="19" xfId="2" applyFont="1" applyBorder="1" applyAlignment="1">
      <alignment horizontal="center"/>
    </xf>
    <xf numFmtId="4" fontId="27" fillId="0" borderId="3" xfId="0" applyNumberFormat="1" applyFont="1" applyBorder="1" applyAlignment="1">
      <alignment vertical="center"/>
    </xf>
    <xf numFmtId="4" fontId="27" fillId="0" borderId="5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3" fillId="0" borderId="0" xfId="6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7">
    <cellStyle name="Comma 5" xfId="2" xr:uid="{48C77ED2-5D65-489F-874A-C5FA8B5B50EE}"/>
    <cellStyle name="Normal 13" xfId="3" xr:uid="{08F57F6B-1D10-48EE-B48A-4D48F39DDAA4}"/>
    <cellStyle name="Normal 3" xfId="5" xr:uid="{C793D436-65CD-49CA-8DD7-E0AE31CE55CA}"/>
    <cellStyle name="Normal 8" xfId="4" xr:uid="{F2175347-3C87-4B33-946A-943E2E5A9848}"/>
    <cellStyle name="Normal_สรุปผลการประเมินราคา" xfId="6" xr:uid="{1F6DFF14-E065-42EE-B040-1C22604A65BA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'[1]NO DELETE'!$A$109" fmlaRange="'[1]NO DELETE'!$B$106:$B$108" sel="0" val="0"/>
</file>

<file path=xl/ctrlProps/ctrlProp10.xml><?xml version="1.0" encoding="utf-8"?>
<formControlPr xmlns="http://schemas.microsoft.com/office/spreadsheetml/2009/9/main" objectType="Drop" dropLines="4" dropStyle="combo" dx="16" fmlaLink="'[1]NO DELETE'!$AW$11" fmlaRange="'[1]NO DELETE'!$AS$11:$AS$13" sel="0" val="0"/>
</file>

<file path=xl/ctrlProps/ctrlProp11.xml><?xml version="1.0" encoding="utf-8"?>
<formControlPr xmlns="http://schemas.microsoft.com/office/spreadsheetml/2009/9/main" objectType="Drop" dropLines="4" dropStyle="combo" dx="16" fmlaLink="'[1]NO DELETE'!$A$34" fmlaRange="'[1]NO DELETE'!$B$31:$B$33" sel="0" val="0"/>
</file>

<file path=xl/ctrlProps/ctrlProp12.xml><?xml version="1.0" encoding="utf-8"?>
<formControlPr xmlns="http://schemas.microsoft.com/office/spreadsheetml/2009/9/main" objectType="Drop" dropLines="4" dropStyle="combo" dx="16" fmlaLink="'[1]NO DELETE'!$A$60" fmlaRange="'[1]NO DELETE'!$B$56:$B$59" sel="0" val="0"/>
</file>

<file path=xl/ctrlProps/ctrlProp13.xml><?xml version="1.0" encoding="utf-8"?>
<formControlPr xmlns="http://schemas.microsoft.com/office/spreadsheetml/2009/9/main" objectType="Drop" dropLines="3" dropStyle="combo" dx="16" fmlaLink="'[1]NO DELETE'!$A$95" fmlaRange="'[1]NO DELETE'!$B$95:$B$97" sel="0" val="0"/>
</file>

<file path=xl/ctrlProps/ctrlProp14.xml><?xml version="1.0" encoding="utf-8"?>
<formControlPr xmlns="http://schemas.microsoft.com/office/spreadsheetml/2009/9/main" objectType="Drop" dropLines="7" dropStyle="combo" dx="16" fmlaLink="'[1]NO DELETE'!$AR$21" fmlaRange="'[1]NO DELETE'!$AS$19:$AS$20" sel="0" val="0"/>
</file>

<file path=xl/ctrlProps/ctrlProp15.xml><?xml version="1.0" encoding="utf-8"?>
<formControlPr xmlns="http://schemas.microsoft.com/office/spreadsheetml/2009/9/main" objectType="Drop" dropLines="2" dropStyle="combo" dx="16" fmlaLink="'[1]NO DELETE'!$AK$76" fmlaRange="'[1]NO DELETE'!$AL$74:$AL$75" sel="0" val="0"/>
</file>

<file path=xl/ctrlProps/ctrlProp16.xml><?xml version="1.0" encoding="utf-8"?>
<formControlPr xmlns="http://schemas.microsoft.com/office/spreadsheetml/2009/9/main" objectType="Drop" dropLines="4" dropStyle="combo" dx="16" fmlaLink="'[1]NO DELETE'!$A$65" fmlaRange="'[1]NO DELETE'!$B$63:$B$64" sel="0" val="0"/>
</file>

<file path=xl/ctrlProps/ctrlProp17.xml><?xml version="1.0" encoding="utf-8"?>
<formControlPr xmlns="http://schemas.microsoft.com/office/spreadsheetml/2009/9/main" objectType="Drop" dropLines="4" dropStyle="combo" dx="16" fmlaLink="'[1]NO DELETE'!$A$70" fmlaRange="'[1]NO DELETE'!$B$68:$B$69" sel="0" val="0"/>
</file>

<file path=xl/ctrlProps/ctrlProp18.xml><?xml version="1.0" encoding="utf-8"?>
<formControlPr xmlns="http://schemas.microsoft.com/office/spreadsheetml/2009/9/main" objectType="Drop" dropStyle="combo" dx="16" fmlaLink="[1]ตารางระบายน้ำ!$B$26" fmlaRange="[1]ตารางระบายน้ำ!$C$18:$C$25" sel="0" val="0"/>
</file>

<file path=xl/ctrlProps/ctrlProp19.xml><?xml version="1.0" encoding="utf-8"?>
<formControlPr xmlns="http://schemas.microsoft.com/office/spreadsheetml/2009/9/main" objectType="Drop" dropLines="10" dropStyle="combo" dx="16" fmlaLink="'[1]GABION BOX'!$W$7" fmlaRange="'[1]GABION BOX'!$T$7:$T$8" sel="0" val="0"/>
</file>

<file path=xl/ctrlProps/ctrlProp2.xml><?xml version="1.0" encoding="utf-8"?>
<formControlPr xmlns="http://schemas.microsoft.com/office/spreadsheetml/2009/9/main" objectType="Drop" dropLines="10" dropStyle="combo" dx="16" fmlaLink="'[1]NO DELETE'!$C$1" fmlaRange="'[1]NO DELETE'!$B$4:$B$18" sel="0" val="0"/>
</file>

<file path=xl/ctrlProps/ctrlProp20.xml><?xml version="1.0" encoding="utf-8"?>
<formControlPr xmlns="http://schemas.microsoft.com/office/spreadsheetml/2009/9/main" objectType="Drop" dropLines="10" dropStyle="combo" dx="16" fmlaLink="'[1]GABION BOX'!$W$10" fmlaRange="'[1]GABION BOX'!$T$10:$T$11" sel="0" val="0"/>
</file>

<file path=xl/ctrlProps/ctrlProp21.xml><?xml version="1.0" encoding="utf-8"?>
<formControlPr xmlns="http://schemas.microsoft.com/office/spreadsheetml/2009/9/main" objectType="Drop" dropLines="10" dropStyle="combo" dx="16" fmlaLink="'[1]GABION BOX'!$W$13" fmlaRange="'[1]GABION BOX'!$T$13:$T$14" sel="0" val="0"/>
</file>

<file path=xl/ctrlProps/ctrlProp22.xml><?xml version="1.0" encoding="utf-8"?>
<formControlPr xmlns="http://schemas.microsoft.com/office/spreadsheetml/2009/9/main" objectType="Drop" dropLines="10" dropStyle="combo" dx="16" fmlaLink="'[1]GABION BOX'!$W$16" fmlaRange="'[1]GABION BOX'!$T$16:$T$17" sel="0" val="0"/>
</file>

<file path=xl/ctrlProps/ctrlProp23.xml><?xml version="1.0" encoding="utf-8"?>
<formControlPr xmlns="http://schemas.microsoft.com/office/spreadsheetml/2009/9/main" objectType="Drop" dropLines="10" dropStyle="combo" dx="16" fmlaLink="'[1]GABION BOX'!$W$19" fmlaRange="'[1]GABION BOX'!$T$19:$T$20" sel="0" val="0"/>
</file>

<file path=xl/ctrlProps/ctrlProp24.xml><?xml version="1.0" encoding="utf-8"?>
<formControlPr xmlns="http://schemas.microsoft.com/office/spreadsheetml/2009/9/main" objectType="Drop" dropLines="10" dropStyle="combo" dx="16" fmlaLink="'[1]GABION BOX'!$W$22" fmlaRange="'[1]GABION BOX'!$T$22:$T$23" sel="0" val="0"/>
</file>

<file path=xl/ctrlProps/ctrlProp25.xml><?xml version="1.0" encoding="utf-8"?>
<formControlPr xmlns="http://schemas.microsoft.com/office/spreadsheetml/2009/9/main" objectType="Drop" dropLines="10" dropStyle="combo" dx="16" fmlaLink="'[1]GABION BOX'!$W$31" fmlaRange="'[1]GABION BOX'!$T$31:$T$32" sel="0" val="0"/>
</file>

<file path=xl/ctrlProps/ctrlProp26.xml><?xml version="1.0" encoding="utf-8"?>
<formControlPr xmlns="http://schemas.microsoft.com/office/spreadsheetml/2009/9/main" objectType="Drop" dropLines="10" dropStyle="combo" dx="16" fmlaLink="'[1]GABION BOX'!$W$25" fmlaRange="'[1]GABION BOX'!$T$25:$T$26" sel="0" val="0"/>
</file>

<file path=xl/ctrlProps/ctrlProp27.xml><?xml version="1.0" encoding="utf-8"?>
<formControlPr xmlns="http://schemas.microsoft.com/office/spreadsheetml/2009/9/main" objectType="Drop" dropLines="10" dropStyle="combo" dx="16" fmlaLink="'[1]GABION BOX'!$W$28" fmlaRange="'[1]GABION BOX'!$T$28:$T$29" sel="0" val="0"/>
</file>

<file path=xl/ctrlProps/ctrlProp28.xml><?xml version="1.0" encoding="utf-8"?>
<formControlPr xmlns="http://schemas.microsoft.com/office/spreadsheetml/2009/9/main" objectType="Drop" dropStyle="combo" dx="16" fmlaLink="'[1]NO DELETE'!$A$75" fmlaRange="'[1]NO DELETE'!$B$73:$B$74" sel="0" val="0"/>
</file>

<file path=xl/ctrlProps/ctrlProp29.xml><?xml version="1.0" encoding="utf-8"?>
<formControlPr xmlns="http://schemas.microsoft.com/office/spreadsheetml/2009/9/main" objectType="Drop" dropLines="4" dropStyle="combo" dx="16" fmlaLink="'[1]NO DELETE'!$A$147" fmlaRange="'[1]NO DELETE'!$B$144:$B$146" sel="0" val="0"/>
</file>

<file path=xl/ctrlProps/ctrlProp3.xml><?xml version="1.0" encoding="utf-8"?>
<formControlPr xmlns="http://schemas.microsoft.com/office/spreadsheetml/2009/9/main" objectType="Drop" dropLines="10" dropStyle="combo" dx="16" fmlaLink="'[1]NO DELETE'!$D$1" fmlaRange="'[1]NO DELETE'!$B$4:$B$18" sel="0" val="0"/>
</file>

<file path=xl/ctrlProps/ctrlProp30.xml><?xml version="1.0" encoding="utf-8"?>
<formControlPr xmlns="http://schemas.microsoft.com/office/spreadsheetml/2009/9/main" objectType="Drop" dropLines="4" dropStyle="combo" dx="16" fmlaLink="'[1]NO DELETE'!$A$23" fmlaRange="'[1]NO DELETE'!$B$21:$B$22" sel="0" val="0"/>
</file>

<file path=xl/ctrlProps/ctrlProp31.xml><?xml version="1.0" encoding="utf-8"?>
<formControlPr xmlns="http://schemas.microsoft.com/office/spreadsheetml/2009/9/main" objectType="Drop" dropLines="3" dropStyle="combo" dx="16" fmlaLink="'[1]NO DELETE'!$A$28" fmlaRange="'[1]NO DELETE'!$B$26:$B$27" sel="0" val="0"/>
</file>

<file path=xl/ctrlProps/ctrlProp32.xml><?xml version="1.0" encoding="utf-8"?>
<formControlPr xmlns="http://schemas.microsoft.com/office/spreadsheetml/2009/9/main" objectType="Drop" dropLines="5" dropStyle="combo" dx="16" fmlaLink="[1]ตารางระบายน้ำ!$B$147" fmlaRange="[1]ตารางระบายน้ำ!$C$143:$C$146" sel="0" val="0"/>
</file>

<file path=xl/ctrlProps/ctrlProp33.xml><?xml version="1.0" encoding="utf-8"?>
<formControlPr xmlns="http://schemas.microsoft.com/office/spreadsheetml/2009/9/main" objectType="Drop" dropLines="5" dropStyle="combo" dx="16" fmlaLink="[1]ตารางระบายน้ำ!$B$148" fmlaRange="[1]ตารางระบายน้ำ!$C$143:$C$146" sel="0" val="0"/>
</file>

<file path=xl/ctrlProps/ctrlProp34.xml><?xml version="1.0" encoding="utf-8"?>
<formControlPr xmlns="http://schemas.microsoft.com/office/spreadsheetml/2009/9/main" objectType="Drop" dropLines="4" dropStyle="combo" dx="16" fmlaLink="'[1]NO DELETE'!$A$159" fmlaRange="'[1]NO DELETE'!$B$156:$B$158" sel="0" val="0"/>
</file>

<file path=xl/ctrlProps/ctrlProp35.xml><?xml version="1.0" encoding="utf-8"?>
<formControlPr xmlns="http://schemas.microsoft.com/office/spreadsheetml/2009/9/main" objectType="Drop" dropStyle="combo" dx="16" fmlaLink="'[1]NO DELETE'!$A$152" fmlaRange="'[1]NO DELETE'!$B$150:$C$151" sel="0" val="0"/>
</file>

<file path=xl/ctrlProps/ctrlProp36.xml><?xml version="1.0" encoding="utf-8"?>
<formControlPr xmlns="http://schemas.microsoft.com/office/spreadsheetml/2009/9/main" objectType="Drop" dropLines="5" dropStyle="combo" dx="16" fmlaLink="[1]ตารางระบายน้ำ!$B$154" fmlaRange="[1]ตารางระบายน้ำ!$C$150:$C$153" sel="0" val="0"/>
</file>

<file path=xl/ctrlProps/ctrlProp37.xml><?xml version="1.0" encoding="utf-8"?>
<formControlPr xmlns="http://schemas.microsoft.com/office/spreadsheetml/2009/9/main" objectType="Drop" dropLines="5" dropStyle="combo" dx="16" fmlaLink="[1]ตารางระบายน้ำ!$B$155" fmlaRange="[1]ตารางระบายน้ำ!$C$150:$C$153" sel="0" val="0"/>
</file>

<file path=xl/ctrlProps/ctrlProp38.xml><?xml version="1.0" encoding="utf-8"?>
<formControlPr xmlns="http://schemas.microsoft.com/office/spreadsheetml/2009/9/main" objectType="Drop" dropLines="5" dropStyle="combo" dx="16" fmlaLink="[1]ตารางระบายน้ำ!$B$161" fmlaRange="[1]ตารางระบายน้ำ!$C$157:$C$160" sel="0" val="0"/>
</file>

<file path=xl/ctrlProps/ctrlProp39.xml><?xml version="1.0" encoding="utf-8"?>
<formControlPr xmlns="http://schemas.microsoft.com/office/spreadsheetml/2009/9/main" objectType="Drop" dropLines="5" dropStyle="combo" dx="16" fmlaLink="[1]ตารางระบายน้ำ!$B$162" fmlaRange="[1]ตารางระบายน้ำ!$C$157:$C$160" sel="0" val="0"/>
</file>

<file path=xl/ctrlProps/ctrlProp4.xml><?xml version="1.0" encoding="utf-8"?>
<formControlPr xmlns="http://schemas.microsoft.com/office/spreadsheetml/2009/9/main" objectType="Drop" dropLines="10" dropStyle="combo" dx="16" fmlaLink="'[1]NO DELETE'!$E$1" fmlaRange="'[1]NO DELETE'!$B$4:$B$18" sel="0" val="0"/>
</file>

<file path=xl/ctrlProps/ctrlProp40.xml><?xml version="1.0" encoding="utf-8"?>
<formControlPr xmlns="http://schemas.microsoft.com/office/spreadsheetml/2009/9/main" objectType="Drop" dropLines="5" dropStyle="combo" dx="16" fmlaLink="[1]ตารางระบายน้ำ!$B$168" fmlaRange="[1]ตารางระบายน้ำ!$C$164:$C$167" sel="0" val="0"/>
</file>

<file path=xl/ctrlProps/ctrlProp41.xml><?xml version="1.0" encoding="utf-8"?>
<formControlPr xmlns="http://schemas.microsoft.com/office/spreadsheetml/2009/9/main" objectType="Drop" dropLines="5" dropStyle="combo" dx="16" fmlaLink="[1]ตารางระบายน้ำ!$B$169" fmlaRange="[1]ตารางระบายน้ำ!$C$164:$C$167" sel="0" val="0"/>
</file>

<file path=xl/ctrlProps/ctrlProp42.xml><?xml version="1.0" encoding="utf-8"?>
<formControlPr xmlns="http://schemas.microsoft.com/office/spreadsheetml/2009/9/main" objectType="Drop" dropLines="4" dropStyle="combo" dx="16" fmlaLink="'[1]NO DELETE'!$A$40" fmlaRange="'[1]NO DELETE'!$B$37:$B$39" sel="0" val="0"/>
</file>

<file path=xl/ctrlProps/ctrlProp43.xml><?xml version="1.0" encoding="utf-8"?>
<formControlPr xmlns="http://schemas.microsoft.com/office/spreadsheetml/2009/9/main" objectType="Drop" dropLines="5" dropStyle="combo" dx="16" fmlaLink="'[1]NO DELETE'!$A$120" fmlaRange="'[1]NO DELETE'!$B$116:$B$119" sel="0" val="0"/>
</file>

<file path=xl/ctrlProps/ctrlProp44.xml><?xml version="1.0" encoding="utf-8"?>
<formControlPr xmlns="http://schemas.microsoft.com/office/spreadsheetml/2009/9/main" objectType="Drop" dropLines="5" dropStyle="combo" dx="16" fmlaLink="'[1]NO DELETE'!$A$127" fmlaRange="'[1]NO DELETE'!$B$123:$B$126" sel="0" val="0"/>
</file>

<file path=xl/ctrlProps/ctrlProp45.xml><?xml version="1.0" encoding="utf-8"?>
<formControlPr xmlns="http://schemas.microsoft.com/office/spreadsheetml/2009/9/main" objectType="Drop" dropLines="5" dropStyle="combo" dx="16" fmlaLink="'[1]NO DELETE'!$A$134" fmlaRange="'[1]NO DELETE'!$B$130:$B$133" sel="0" val="0"/>
</file>

<file path=xl/ctrlProps/ctrlProp46.xml><?xml version="1.0" encoding="utf-8"?>
<formControlPr xmlns="http://schemas.microsoft.com/office/spreadsheetml/2009/9/main" objectType="Drop" dropLines="5" dropStyle="combo" dx="16" fmlaLink="'[1]NO DELETE'!$A$134" fmlaRange="'[1]NO DELETE'!$B$130:$B$133" sel="0" val="0"/>
</file>

<file path=xl/ctrlProps/ctrlProp47.xml><?xml version="1.0" encoding="utf-8"?>
<formControlPr xmlns="http://schemas.microsoft.com/office/spreadsheetml/2009/9/main" objectType="Drop" dropLines="5" dropStyle="combo" dx="16" fmlaLink="'[1]NO DELETE'!$A$141" fmlaRange="'[1]NO DELETE'!$B$137:$B$140" sel="0" val="0"/>
</file>

<file path=xl/ctrlProps/ctrlProp5.xml><?xml version="1.0" encoding="utf-8"?>
<formControlPr xmlns="http://schemas.microsoft.com/office/spreadsheetml/2009/9/main" objectType="Drop" dropLines="10" dropStyle="combo" dx="16" fmlaLink="'[1]NO DELETE'!$F$1" fmlaRange="'[1]NO DELETE'!$B$4:$B$18" sel="0" val="0"/>
</file>

<file path=xl/ctrlProps/ctrlProp6.xml><?xml version="1.0" encoding="utf-8"?>
<formControlPr xmlns="http://schemas.microsoft.com/office/spreadsheetml/2009/9/main" objectType="Drop" dropLines="10" dropStyle="combo" dx="16" fmlaLink="'[1]NO DELETE'!$G$1" fmlaRange="'[1]NO DELETE'!$B$4:$B$18" sel="0" val="0"/>
</file>

<file path=xl/ctrlProps/ctrlProp7.xml><?xml version="1.0" encoding="utf-8"?>
<formControlPr xmlns="http://schemas.microsoft.com/office/spreadsheetml/2009/9/main" objectType="Drop" dropLines="7" dropStyle="combo" dx="16" fmlaLink="'[1]NO DELETE'!$K$52" fmlaRange="'[1]NO DELETE'!$L$46:$L$51" sel="0" val="0"/>
</file>

<file path=xl/ctrlProps/ctrlProp8.xml><?xml version="1.0" encoding="utf-8"?>
<formControlPr xmlns="http://schemas.microsoft.com/office/spreadsheetml/2009/9/main" objectType="Drop" dropLines="7" dropStyle="combo" dx="16" fmlaLink="'[1]NO DELETE'!$K$53" fmlaRange="'[1]NO DELETE'!$L$46:$L$51" sel="0" val="0"/>
</file>

<file path=xl/ctrlProps/ctrlProp9.xml><?xml version="1.0" encoding="utf-8"?>
<formControlPr xmlns="http://schemas.microsoft.com/office/spreadsheetml/2009/9/main" objectType="Drop" dropLines="4" dropStyle="combo" dx="16" fmlaLink="'[1]NO DELETE'!$AW$6" fmlaRange="'[1]NO DELETE'!$AS$6:$AS$9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54552</xdr:colOff>
      <xdr:row>25</xdr:row>
      <xdr:rowOff>51955</xdr:rowOff>
    </xdr:from>
    <xdr:to>
      <xdr:col>15</xdr:col>
      <xdr:colOff>273627</xdr:colOff>
      <xdr:row>25</xdr:row>
      <xdr:rowOff>213880</xdr:rowOff>
    </xdr:to>
    <xdr:sp macro="" textlink="">
      <xdr:nvSpPr>
        <xdr:cNvPr id="2" name="ลูกศรขวา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10067232" y="6368935"/>
          <a:ext cx="219075" cy="161925"/>
        </a:xfrm>
        <a:prstGeom prst="rightArrow">
          <a:avLst/>
        </a:prstGeom>
        <a:solidFill>
          <a:srgbClr val="FF00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th-TH"/>
        </a:p>
      </xdr:txBody>
    </xdr:sp>
    <xdr:clientData/>
  </xdr:twoCellAnchor>
  <xdr:twoCellAnchor>
    <xdr:from>
      <xdr:col>15</xdr:col>
      <xdr:colOff>63212</xdr:colOff>
      <xdr:row>26</xdr:row>
      <xdr:rowOff>50222</xdr:rowOff>
    </xdr:from>
    <xdr:to>
      <xdr:col>15</xdr:col>
      <xdr:colOff>282287</xdr:colOff>
      <xdr:row>26</xdr:row>
      <xdr:rowOff>212147</xdr:rowOff>
    </xdr:to>
    <xdr:sp macro="" textlink="">
      <xdr:nvSpPr>
        <xdr:cNvPr id="3" name="ลูกศรขวา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H="1">
          <a:off x="10075892" y="6618662"/>
          <a:ext cx="219075" cy="161925"/>
        </a:xfrm>
        <a:prstGeom prst="rightArrow">
          <a:avLst/>
        </a:prstGeom>
        <a:solidFill>
          <a:srgbClr val="FF00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th-TH"/>
        </a:p>
      </xdr:txBody>
    </xdr:sp>
    <xdr:clientData/>
  </xdr:twoCellAnchor>
  <xdr:twoCellAnchor>
    <xdr:from>
      <xdr:col>15</xdr:col>
      <xdr:colOff>60613</xdr:colOff>
      <xdr:row>19</xdr:row>
      <xdr:rowOff>34636</xdr:rowOff>
    </xdr:from>
    <xdr:to>
      <xdr:col>15</xdr:col>
      <xdr:colOff>279688</xdr:colOff>
      <xdr:row>19</xdr:row>
      <xdr:rowOff>196561</xdr:rowOff>
    </xdr:to>
    <xdr:sp macro="" textlink="">
      <xdr:nvSpPr>
        <xdr:cNvPr id="4" name="ลูกศรขวา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H="1">
          <a:off x="10073293" y="4842856"/>
          <a:ext cx="219075" cy="161925"/>
        </a:xfrm>
        <a:prstGeom prst="rightArrow">
          <a:avLst/>
        </a:prstGeom>
        <a:solidFill>
          <a:srgbClr val="FF00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th-TH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640080</xdr:colOff>
          <xdr:row>48</xdr:row>
          <xdr:rowOff>83820</xdr:rowOff>
        </xdr:from>
        <xdr:to>
          <xdr:col>6</xdr:col>
          <xdr:colOff>144780</xdr:colOff>
          <xdr:row>49</xdr:row>
          <xdr:rowOff>22860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142</xdr:row>
          <xdr:rowOff>160020</xdr:rowOff>
        </xdr:from>
        <xdr:to>
          <xdr:col>5</xdr:col>
          <xdr:colOff>541020</xdr:colOff>
          <xdr:row>143</xdr:row>
          <xdr:rowOff>106680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143</xdr:row>
          <xdr:rowOff>160020</xdr:rowOff>
        </xdr:from>
        <xdr:to>
          <xdr:col>5</xdr:col>
          <xdr:colOff>525780</xdr:colOff>
          <xdr:row>144</xdr:row>
          <xdr:rowOff>99060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144</xdr:row>
          <xdr:rowOff>160020</xdr:rowOff>
        </xdr:from>
        <xdr:to>
          <xdr:col>5</xdr:col>
          <xdr:colOff>525780</xdr:colOff>
          <xdr:row>145</xdr:row>
          <xdr:rowOff>106680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145</xdr:row>
          <xdr:rowOff>160020</xdr:rowOff>
        </xdr:from>
        <xdr:to>
          <xdr:col>5</xdr:col>
          <xdr:colOff>525780</xdr:colOff>
          <xdr:row>146</xdr:row>
          <xdr:rowOff>106680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146</xdr:row>
          <xdr:rowOff>152400</xdr:rowOff>
        </xdr:from>
        <xdr:to>
          <xdr:col>5</xdr:col>
          <xdr:colOff>525780</xdr:colOff>
          <xdr:row>147</xdr:row>
          <xdr:rowOff>99060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</xdr:colOff>
          <xdr:row>24</xdr:row>
          <xdr:rowOff>213360</xdr:rowOff>
        </xdr:from>
        <xdr:to>
          <xdr:col>13</xdr:col>
          <xdr:colOff>662940</xdr:colOff>
          <xdr:row>25</xdr:row>
          <xdr:rowOff>129540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25</xdr:row>
          <xdr:rowOff>190500</xdr:rowOff>
        </xdr:from>
        <xdr:to>
          <xdr:col>13</xdr:col>
          <xdr:colOff>655320</xdr:colOff>
          <xdr:row>26</xdr:row>
          <xdr:rowOff>76200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122</xdr:row>
          <xdr:rowOff>190500</xdr:rowOff>
        </xdr:from>
        <xdr:to>
          <xdr:col>6</xdr:col>
          <xdr:colOff>144780</xdr:colOff>
          <xdr:row>123</xdr:row>
          <xdr:rowOff>60960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130</xdr:row>
          <xdr:rowOff>160020</xdr:rowOff>
        </xdr:from>
        <xdr:to>
          <xdr:col>5</xdr:col>
          <xdr:colOff>411480</xdr:colOff>
          <xdr:row>131</xdr:row>
          <xdr:rowOff>45720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</xdr:row>
          <xdr:rowOff>7620</xdr:rowOff>
        </xdr:from>
        <xdr:to>
          <xdr:col>5</xdr:col>
          <xdr:colOff>617220</xdr:colOff>
          <xdr:row>7</xdr:row>
          <xdr:rowOff>228600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18</xdr:row>
          <xdr:rowOff>213360</xdr:rowOff>
        </xdr:from>
        <xdr:to>
          <xdr:col>14</xdr:col>
          <xdr:colOff>99060</xdr:colOff>
          <xdr:row>19</xdr:row>
          <xdr:rowOff>129540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220980</xdr:colOff>
          <xdr:row>20</xdr:row>
          <xdr:rowOff>198120</xdr:rowOff>
        </xdr:from>
        <xdr:to>
          <xdr:col>5</xdr:col>
          <xdr:colOff>617220</xdr:colOff>
          <xdr:row>21</xdr:row>
          <xdr:rowOff>137160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1752600</xdr:colOff>
          <xdr:row>130</xdr:row>
          <xdr:rowOff>160020</xdr:rowOff>
        </xdr:from>
        <xdr:to>
          <xdr:col>4</xdr:col>
          <xdr:colOff>411480</xdr:colOff>
          <xdr:row>131</xdr:row>
          <xdr:rowOff>45720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67</xdr:row>
          <xdr:rowOff>7620</xdr:rowOff>
        </xdr:from>
        <xdr:to>
          <xdr:col>6</xdr:col>
          <xdr:colOff>144780</xdr:colOff>
          <xdr:row>67</xdr:row>
          <xdr:rowOff>228600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19</xdr:row>
          <xdr:rowOff>198120</xdr:rowOff>
        </xdr:from>
        <xdr:to>
          <xdr:col>14</xdr:col>
          <xdr:colOff>99060</xdr:colOff>
          <xdr:row>20</xdr:row>
          <xdr:rowOff>129540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120</xdr:row>
          <xdr:rowOff>175260</xdr:rowOff>
        </xdr:from>
        <xdr:to>
          <xdr:col>6</xdr:col>
          <xdr:colOff>144780</xdr:colOff>
          <xdr:row>121</xdr:row>
          <xdr:rowOff>60960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259080</xdr:colOff>
          <xdr:row>152</xdr:row>
          <xdr:rowOff>144780</xdr:rowOff>
        </xdr:from>
        <xdr:to>
          <xdr:col>5</xdr:col>
          <xdr:colOff>563880</xdr:colOff>
          <xdr:row>153</xdr:row>
          <xdr:rowOff>76200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181</xdr:row>
          <xdr:rowOff>45720</xdr:rowOff>
        </xdr:from>
        <xdr:to>
          <xdr:col>5</xdr:col>
          <xdr:colOff>487680</xdr:colOff>
          <xdr:row>182</xdr:row>
          <xdr:rowOff>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182</xdr:row>
          <xdr:rowOff>60960</xdr:rowOff>
        </xdr:from>
        <xdr:to>
          <xdr:col>5</xdr:col>
          <xdr:colOff>487680</xdr:colOff>
          <xdr:row>183</xdr:row>
          <xdr:rowOff>7620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183</xdr:row>
          <xdr:rowOff>45720</xdr:rowOff>
        </xdr:from>
        <xdr:to>
          <xdr:col>5</xdr:col>
          <xdr:colOff>487680</xdr:colOff>
          <xdr:row>184</xdr:row>
          <xdr:rowOff>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180</xdr:row>
          <xdr:rowOff>60960</xdr:rowOff>
        </xdr:from>
        <xdr:to>
          <xdr:col>5</xdr:col>
          <xdr:colOff>502920</xdr:colOff>
          <xdr:row>181</xdr:row>
          <xdr:rowOff>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184</xdr:row>
          <xdr:rowOff>60960</xdr:rowOff>
        </xdr:from>
        <xdr:to>
          <xdr:col>5</xdr:col>
          <xdr:colOff>487680</xdr:colOff>
          <xdr:row>185</xdr:row>
          <xdr:rowOff>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185</xdr:row>
          <xdr:rowOff>121920</xdr:rowOff>
        </xdr:from>
        <xdr:to>
          <xdr:col>5</xdr:col>
          <xdr:colOff>487680</xdr:colOff>
          <xdr:row>186</xdr:row>
          <xdr:rowOff>68580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187</xdr:row>
          <xdr:rowOff>0</xdr:rowOff>
        </xdr:from>
        <xdr:to>
          <xdr:col>5</xdr:col>
          <xdr:colOff>487680</xdr:colOff>
          <xdr:row>187</xdr:row>
          <xdr:rowOff>236220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186</xdr:row>
          <xdr:rowOff>121920</xdr:rowOff>
        </xdr:from>
        <xdr:to>
          <xdr:col>5</xdr:col>
          <xdr:colOff>487680</xdr:colOff>
          <xdr:row>187</xdr:row>
          <xdr:rowOff>68580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187</xdr:row>
          <xdr:rowOff>0</xdr:rowOff>
        </xdr:from>
        <xdr:to>
          <xdr:col>5</xdr:col>
          <xdr:colOff>487680</xdr:colOff>
          <xdr:row>187</xdr:row>
          <xdr:rowOff>236220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373380</xdr:colOff>
          <xdr:row>21</xdr:row>
          <xdr:rowOff>182880</xdr:rowOff>
        </xdr:from>
        <xdr:to>
          <xdr:col>6</xdr:col>
          <xdr:colOff>144780</xdr:colOff>
          <xdr:row>22</xdr:row>
          <xdr:rowOff>137160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1021080</xdr:colOff>
          <xdr:row>201</xdr:row>
          <xdr:rowOff>121920</xdr:rowOff>
        </xdr:from>
        <xdr:to>
          <xdr:col>5</xdr:col>
          <xdr:colOff>464820</xdr:colOff>
          <xdr:row>202</xdr:row>
          <xdr:rowOff>30480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8</xdr:row>
          <xdr:rowOff>0</xdr:rowOff>
        </xdr:from>
        <xdr:to>
          <xdr:col>5</xdr:col>
          <xdr:colOff>617220</xdr:colOff>
          <xdr:row>8</xdr:row>
          <xdr:rowOff>213360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922020</xdr:colOff>
          <xdr:row>163</xdr:row>
          <xdr:rowOff>0</xdr:rowOff>
        </xdr:from>
        <xdr:to>
          <xdr:col>5</xdr:col>
          <xdr:colOff>563880</xdr:colOff>
          <xdr:row>163</xdr:row>
          <xdr:rowOff>220980</xdr:rowOff>
        </xdr:to>
        <xdr:sp macro="" textlink="">
          <xdr:nvSpPr>
            <xdr:cNvPr id="1055" name="Drop Down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155</xdr:row>
          <xdr:rowOff>137160</xdr:rowOff>
        </xdr:from>
        <xdr:to>
          <xdr:col>5</xdr:col>
          <xdr:colOff>563880</xdr:colOff>
          <xdr:row>156</xdr:row>
          <xdr:rowOff>22860</xdr:rowOff>
        </xdr:to>
        <xdr:sp macro="" textlink="">
          <xdr:nvSpPr>
            <xdr:cNvPr id="1056" name="Drop Dow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156</xdr:row>
          <xdr:rowOff>137160</xdr:rowOff>
        </xdr:from>
        <xdr:to>
          <xdr:col>5</xdr:col>
          <xdr:colOff>563880</xdr:colOff>
          <xdr:row>157</xdr:row>
          <xdr:rowOff>76200</xdr:rowOff>
        </xdr:to>
        <xdr:sp macro="" textlink="">
          <xdr:nvSpPr>
            <xdr:cNvPr id="1057" name="Drop Dow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212</xdr:row>
          <xdr:rowOff>106680</xdr:rowOff>
        </xdr:from>
        <xdr:to>
          <xdr:col>5</xdr:col>
          <xdr:colOff>556260</xdr:colOff>
          <xdr:row>212</xdr:row>
          <xdr:rowOff>259080</xdr:rowOff>
        </xdr:to>
        <xdr:sp macro="" textlink="">
          <xdr:nvSpPr>
            <xdr:cNvPr id="1058" name="Drop Dow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16</xdr:row>
          <xdr:rowOff>213360</xdr:rowOff>
        </xdr:from>
        <xdr:to>
          <xdr:col>5</xdr:col>
          <xdr:colOff>617220</xdr:colOff>
          <xdr:row>17</xdr:row>
          <xdr:rowOff>160020</xdr:rowOff>
        </xdr:to>
        <xdr:sp macro="" textlink="">
          <xdr:nvSpPr>
            <xdr:cNvPr id="1059" name="Drop Dow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157</xdr:row>
          <xdr:rowOff>137160</xdr:rowOff>
        </xdr:from>
        <xdr:to>
          <xdr:col>5</xdr:col>
          <xdr:colOff>563880</xdr:colOff>
          <xdr:row>158</xdr:row>
          <xdr:rowOff>76200</xdr:rowOff>
        </xdr:to>
        <xdr:sp macro="" textlink="">
          <xdr:nvSpPr>
            <xdr:cNvPr id="1060" name="Drop Dow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158</xdr:row>
          <xdr:rowOff>137160</xdr:rowOff>
        </xdr:from>
        <xdr:to>
          <xdr:col>5</xdr:col>
          <xdr:colOff>563880</xdr:colOff>
          <xdr:row>159</xdr:row>
          <xdr:rowOff>76200</xdr:rowOff>
        </xdr:to>
        <xdr:sp macro="" textlink="">
          <xdr:nvSpPr>
            <xdr:cNvPr id="1061" name="Drop Dow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159</xdr:row>
          <xdr:rowOff>137160</xdr:rowOff>
        </xdr:from>
        <xdr:to>
          <xdr:col>5</xdr:col>
          <xdr:colOff>563880</xdr:colOff>
          <xdr:row>160</xdr:row>
          <xdr:rowOff>76200</xdr:rowOff>
        </xdr:to>
        <xdr:sp macro="" textlink="">
          <xdr:nvSpPr>
            <xdr:cNvPr id="1062" name="Drop Down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160</xdr:row>
          <xdr:rowOff>137160</xdr:rowOff>
        </xdr:from>
        <xdr:to>
          <xdr:col>5</xdr:col>
          <xdr:colOff>563880</xdr:colOff>
          <xdr:row>161</xdr:row>
          <xdr:rowOff>76200</xdr:rowOff>
        </xdr:to>
        <xdr:sp macro="" textlink="">
          <xdr:nvSpPr>
            <xdr:cNvPr id="1063" name="Drop Down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161</xdr:row>
          <xdr:rowOff>137160</xdr:rowOff>
        </xdr:from>
        <xdr:to>
          <xdr:col>5</xdr:col>
          <xdr:colOff>563880</xdr:colOff>
          <xdr:row>162</xdr:row>
          <xdr:rowOff>68580</xdr:rowOff>
        </xdr:to>
        <xdr:sp macro="" textlink="">
          <xdr:nvSpPr>
            <xdr:cNvPr id="1064" name="Drop Down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327660</xdr:colOff>
          <xdr:row>162</xdr:row>
          <xdr:rowOff>121920</xdr:rowOff>
        </xdr:from>
        <xdr:to>
          <xdr:col>5</xdr:col>
          <xdr:colOff>563880</xdr:colOff>
          <xdr:row>163</xdr:row>
          <xdr:rowOff>68580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6</xdr:row>
          <xdr:rowOff>22860</xdr:rowOff>
        </xdr:from>
        <xdr:to>
          <xdr:col>5</xdr:col>
          <xdr:colOff>617220</xdr:colOff>
          <xdr:row>6</xdr:row>
          <xdr:rowOff>251460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167</xdr:row>
          <xdr:rowOff>99060</xdr:rowOff>
        </xdr:from>
        <xdr:to>
          <xdr:col>5</xdr:col>
          <xdr:colOff>563880</xdr:colOff>
          <xdr:row>168</xdr:row>
          <xdr:rowOff>30480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168</xdr:row>
          <xdr:rowOff>137160</xdr:rowOff>
        </xdr:from>
        <xdr:to>
          <xdr:col>5</xdr:col>
          <xdr:colOff>563880</xdr:colOff>
          <xdr:row>169</xdr:row>
          <xdr:rowOff>83820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169</xdr:row>
          <xdr:rowOff>144780</xdr:rowOff>
        </xdr:from>
        <xdr:to>
          <xdr:col>5</xdr:col>
          <xdr:colOff>579120</xdr:colOff>
          <xdr:row>170</xdr:row>
          <xdr:rowOff>83820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335280</xdr:colOff>
          <xdr:row>169</xdr:row>
          <xdr:rowOff>137160</xdr:rowOff>
        </xdr:from>
        <xdr:to>
          <xdr:col>5</xdr:col>
          <xdr:colOff>563880</xdr:colOff>
          <xdr:row>170</xdr:row>
          <xdr:rowOff>83820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170</xdr:row>
          <xdr:rowOff>144780</xdr:rowOff>
        </xdr:from>
        <xdr:to>
          <xdr:col>5</xdr:col>
          <xdr:colOff>579120</xdr:colOff>
          <xdr:row>171</xdr:row>
          <xdr:rowOff>83820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AC%20&#3617;4%20&#3610;.&#3627;&#3636;&#3609;&#3605;&#3633;&#3657;&#3591;%20&#3585;&#3623;&#3657;&#3634;&#3591;%204%20m%20&#3618;&#3634;&#3623;%20528%20m&#3651;&#3610;&#3611;&#3619;&#3636;&#3617;&#3634;&#3603;&#3591;&#3634;&#36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ก"/>
      <sheetName val="ข้อมูล"/>
      <sheetName val="BackupAC"/>
      <sheetName val="แบบสรุปวัสดุ"/>
      <sheetName val="ระยะเวลา"/>
      <sheetName val="ปร.5_Roads"/>
      <sheetName val="ปร.4_Roads"/>
      <sheetName val="ต้นทุนถนน AC."/>
      <sheetName val="GABION BOX"/>
      <sheetName val="ต้นทุนระบายน้ำ"/>
      <sheetName val="ต้นทุนวางท่อ"/>
      <sheetName val="ต้นทุนเสา 9 ม."/>
      <sheetName val="ตารางคอนกรีต"/>
      <sheetName val="ตารางไม้แบบ"/>
      <sheetName val="ตารางระบายน้ำ"/>
      <sheetName val="ดินตัด-ถม"/>
      <sheetName val="S2"/>
      <sheetName val="S3"/>
      <sheetName val="BackupCon"/>
      <sheetName val="2.ต้นทุนถนน Con."/>
      <sheetName val="Slope_Protection"/>
      <sheetName val="NO DELETE"/>
    </sheetNames>
    <sheetDataSet>
      <sheetData sheetId="0"/>
      <sheetData sheetId="1">
        <row r="7">
          <cell r="C7" t="str">
            <v>รอ.</v>
          </cell>
        </row>
      </sheetData>
      <sheetData sheetId="2">
        <row r="14">
          <cell r="G14">
            <v>2112</v>
          </cell>
          <cell r="H14">
            <v>0</v>
          </cell>
        </row>
        <row r="30">
          <cell r="G30">
            <v>0</v>
          </cell>
          <cell r="H30">
            <v>0</v>
          </cell>
          <cell r="J30">
            <v>0</v>
          </cell>
        </row>
        <row r="32">
          <cell r="L32">
            <v>0</v>
          </cell>
        </row>
        <row r="71">
          <cell r="E71">
            <v>118</v>
          </cell>
        </row>
      </sheetData>
      <sheetData sheetId="3"/>
      <sheetData sheetId="4"/>
      <sheetData sheetId="5">
        <row r="4">
          <cell r="I4" t="str">
            <v>ประจำปีงบประมาณ</v>
          </cell>
          <cell r="K4">
            <v>2567</v>
          </cell>
        </row>
        <row r="7">
          <cell r="A7" t="str">
            <v>รหัสทางหลวงท้องถิ่น</v>
          </cell>
          <cell r="F7" t="str">
            <v xml:space="preserve"> บ้านหินตั้ง หมู่ที่4 ระยะทาง 528 เมตร </v>
          </cell>
        </row>
        <row r="8">
          <cell r="C8" t="str">
            <v xml:space="preserve"> บ้านหินตั้ง หมู่ที่4 ต.โนนรัง อ.เมืองร้อยเอ็ด  จ.ร้อยเอ็ด</v>
          </cell>
        </row>
        <row r="11">
          <cell r="A11" t="str">
            <v>ปริมาณงาน</v>
          </cell>
          <cell r="D11">
            <v>0.52800000000000002</v>
          </cell>
          <cell r="E11" t="str">
            <v>กม.</v>
          </cell>
        </row>
      </sheetData>
      <sheetData sheetId="6"/>
      <sheetData sheetId="7">
        <row r="6">
          <cell r="D6" t="str">
            <v>เสริมผิวแอสฟัลต์คอนกรีตโดยวิธี  ( Overlay )</v>
          </cell>
        </row>
        <row r="14">
          <cell r="Q14">
            <v>62.336000000000006</v>
          </cell>
        </row>
        <row r="15">
          <cell r="Q15">
            <v>47.29</v>
          </cell>
        </row>
        <row r="20">
          <cell r="Q20">
            <v>55.61</v>
          </cell>
        </row>
        <row r="25">
          <cell r="Q25">
            <v>549.976</v>
          </cell>
        </row>
        <row r="26">
          <cell r="Q26">
            <v>47.29</v>
          </cell>
        </row>
        <row r="34">
          <cell r="Q34">
            <v>32.692500000000003</v>
          </cell>
        </row>
        <row r="38">
          <cell r="Q38">
            <v>74.680000000000007</v>
          </cell>
        </row>
        <row r="39">
          <cell r="Q39">
            <v>224.38</v>
          </cell>
        </row>
        <row r="40">
          <cell r="Q40">
            <v>676.38300000000004</v>
          </cell>
        </row>
        <row r="41">
          <cell r="Q41">
            <v>826.08299999999997</v>
          </cell>
        </row>
        <row r="46">
          <cell r="Q46">
            <v>167.05600000000001</v>
          </cell>
        </row>
        <row r="47">
          <cell r="Q47">
            <v>56.75</v>
          </cell>
        </row>
        <row r="51">
          <cell r="Q51">
            <v>1032.645</v>
          </cell>
        </row>
        <row r="52">
          <cell r="Q52">
            <v>25.14</v>
          </cell>
        </row>
        <row r="53">
          <cell r="Q53">
            <v>89.66</v>
          </cell>
        </row>
        <row r="57">
          <cell r="Q57">
            <v>1032.645</v>
          </cell>
        </row>
        <row r="58">
          <cell r="Q58">
            <v>25.14</v>
          </cell>
        </row>
        <row r="62">
          <cell r="Q62">
            <v>11.66</v>
          </cell>
        </row>
        <row r="63">
          <cell r="Q63">
            <v>29.04</v>
          </cell>
        </row>
        <row r="64">
          <cell r="Q64">
            <v>22.48</v>
          </cell>
        </row>
        <row r="65">
          <cell r="Q65">
            <v>206.529</v>
          </cell>
        </row>
        <row r="66">
          <cell r="Q66">
            <v>22.96</v>
          </cell>
        </row>
        <row r="67">
          <cell r="Q67">
            <v>22.96</v>
          </cell>
        </row>
        <row r="77">
          <cell r="Q77">
            <v>49.054200000000002</v>
          </cell>
        </row>
        <row r="78">
          <cell r="Q78">
            <v>38.214199999999998</v>
          </cell>
        </row>
        <row r="89">
          <cell r="Q89">
            <v>14.113999999999999</v>
          </cell>
        </row>
        <row r="91">
          <cell r="Q91">
            <v>688.43000000000006</v>
          </cell>
        </row>
        <row r="101">
          <cell r="Q101">
            <v>26.855896000000005</v>
          </cell>
        </row>
        <row r="106">
          <cell r="Q106">
            <v>6.6739740000000012</v>
          </cell>
        </row>
        <row r="119">
          <cell r="Q119">
            <v>36.53</v>
          </cell>
        </row>
        <row r="121">
          <cell r="F121">
            <v>3.5000000000000003E-2</v>
          </cell>
        </row>
        <row r="123">
          <cell r="Q123">
            <v>38.532149999999994</v>
          </cell>
        </row>
        <row r="124">
          <cell r="Q124">
            <v>9.6780000000000008</v>
          </cell>
        </row>
        <row r="138">
          <cell r="Q138">
            <v>365.21344537815122</v>
          </cell>
        </row>
        <row r="144">
          <cell r="Q144">
            <v>361.61584707322334</v>
          </cell>
        </row>
      </sheetData>
      <sheetData sheetId="8">
        <row r="7">
          <cell r="S7">
            <v>1</v>
          </cell>
          <cell r="T7" t="str">
            <v>Zinc Gabion ขนาด 3 x 1 x 1 ม.,ตาข่าย 8X10 ซม.,wire 3.4/2.7/2.2</v>
          </cell>
          <cell r="W7">
            <v>2</v>
          </cell>
        </row>
        <row r="8">
          <cell r="S8">
            <v>2</v>
          </cell>
          <cell r="T8" t="str">
            <v>PVC Gabion ขนาด 3 x 1 x 1 ม.,ตาข่าย 8X10 ซม.,wire 3.4/2.7/2.2</v>
          </cell>
        </row>
        <row r="10">
          <cell r="S10">
            <v>1</v>
          </cell>
          <cell r="T10" t="str">
            <v>Zinc Gabion ขนาด 2 x 1 x 1 ม.,ตาข่าย 8X10 ซม.,wire 3.4/2.7/2.3</v>
          </cell>
          <cell r="W10">
            <v>1</v>
          </cell>
        </row>
        <row r="11">
          <cell r="M11">
            <v>2334</v>
          </cell>
          <cell r="S11">
            <v>2</v>
          </cell>
          <cell r="T11" t="str">
            <v>PVC Gabion ขนาด 2 x 1 x 1 ม.,ตาข่าย 8X10 ซม.,wire 3.4/2.7/2.3</v>
          </cell>
        </row>
        <row r="13">
          <cell r="S13">
            <v>1</v>
          </cell>
          <cell r="T13" t="str">
            <v>Zinc Gabion ขนาด 2 x 1 x 0.5 ม.,ตาข่าย 8X10 ซม.,wire 3.4/2.7/2.4</v>
          </cell>
          <cell r="W13">
            <v>2</v>
          </cell>
        </row>
        <row r="14">
          <cell r="S14">
            <v>2</v>
          </cell>
          <cell r="T14" t="str">
            <v>PVC Gabion ขนาด 2 x 1 x 0.5 ม.,ตาข่าย 8X10 ซม.,wire 3.4/2.7/2.4</v>
          </cell>
        </row>
        <row r="16">
          <cell r="M16">
            <v>1432</v>
          </cell>
          <cell r="S16">
            <v>1</v>
          </cell>
          <cell r="T16" t="str">
            <v>Zinc Gabion ขนาด 1.5 x 1 x 1 ม.,ตาข่าย 8X10 ซม.,wire 3.4/2.7/2.5</v>
          </cell>
          <cell r="W16">
            <v>2</v>
          </cell>
        </row>
        <row r="17">
          <cell r="S17">
            <v>2</v>
          </cell>
          <cell r="T17" t="str">
            <v>PVC Gabion ขนาด 1.5 x 1 x 1 ม.,ตาข่าย 8X10 ซม.,wire 3.4/2.7/2.5</v>
          </cell>
        </row>
        <row r="19">
          <cell r="S19">
            <v>1</v>
          </cell>
          <cell r="T19" t="str">
            <v>Zinc Gabion ขนาด 1 x 1 x 1 ม.,ตาข่าย 8X10 ซม.,wire 3.4/2.7/2.6</v>
          </cell>
          <cell r="W19">
            <v>2</v>
          </cell>
        </row>
        <row r="20">
          <cell r="S20">
            <v>2</v>
          </cell>
          <cell r="T20" t="str">
            <v>PVC Gabion ขนาด 1 x 1 x 1 ม.,ตาข่าย 8X10 ซม.,wire 3.4/2.7/2.6</v>
          </cell>
        </row>
        <row r="21">
          <cell r="M21">
            <v>1150</v>
          </cell>
        </row>
        <row r="22">
          <cell r="S22">
            <v>1</v>
          </cell>
          <cell r="T22" t="str">
            <v>Zinc Gabion ขนาด 2 x 1 x 0.3 ม.,ตาข่าย 6X8 ซม.,wire 2.7/2.2/2.2</v>
          </cell>
          <cell r="W22">
            <v>2</v>
          </cell>
        </row>
        <row r="23">
          <cell r="S23">
            <v>2</v>
          </cell>
          <cell r="T23" t="str">
            <v>PVC Gabion ขนาด 2 x 1 x 0.3 ม.,ตาข่าย 6X8 ซม.,wire 2.7/2.2/2.2</v>
          </cell>
        </row>
        <row r="25">
          <cell r="S25">
            <v>1</v>
          </cell>
          <cell r="T25" t="str">
            <v>Zinc Gabion ขนาด 3 x 2 x 0.3 ม.,ตาข่าย 6X8 ซม.,wire 2.7/2.2/2.3</v>
          </cell>
          <cell r="W25">
            <v>2</v>
          </cell>
        </row>
        <row r="26">
          <cell r="M26">
            <v>1253</v>
          </cell>
          <cell r="S26">
            <v>2</v>
          </cell>
          <cell r="T26" t="str">
            <v>PVC Gabion ขนาด 3 x 2 x 0.3 ม.,ตาข่าย 6X8 ซม.,wire 2.7/2.2/2.3</v>
          </cell>
        </row>
        <row r="28">
          <cell r="S28">
            <v>1</v>
          </cell>
          <cell r="T28" t="str">
            <v>Zinc Gabion ขนาด 4 x 2 x 0.3 ม.,ตาข่าย 6X8 ซม.,wire 2.7/2.2/2.4</v>
          </cell>
          <cell r="W28">
            <v>2</v>
          </cell>
        </row>
        <row r="29">
          <cell r="S29">
            <v>2</v>
          </cell>
          <cell r="T29" t="str">
            <v>PVC Gabion ขนาด 4 x 2 x 0.3 ม.,ตาข่าย 6X8 ซม.,wire 2.7/2.2/2.4</v>
          </cell>
        </row>
        <row r="31">
          <cell r="M31">
            <v>974</v>
          </cell>
          <cell r="S31">
            <v>1</v>
          </cell>
          <cell r="T31" t="str">
            <v>Zinc Gabion ขนาด 6 x 2 x 0.3 ม.,ตาข่าย 6X8 ซม.,wire 2.7/2.2/2.20</v>
          </cell>
          <cell r="W31">
            <v>2</v>
          </cell>
        </row>
        <row r="32">
          <cell r="S32">
            <v>2</v>
          </cell>
          <cell r="T32" t="str">
            <v>PVC Gabion ขนาด 6 x 2 x 0.3 ม.,ตาข่าย 6X8 ซม.,wire 2.7/2.2/2.20</v>
          </cell>
        </row>
        <row r="35">
          <cell r="T35" t="str">
            <v>แผ่นใยสังเคราะห์ weight 140 g/cm.2  TYPE 2</v>
          </cell>
        </row>
        <row r="36">
          <cell r="M36">
            <v>926</v>
          </cell>
          <cell r="T36" t="str">
            <v>แผ่นใยสังเคราะห์ weight 200 g/cm.2  TYPE 2</v>
          </cell>
        </row>
        <row r="41">
          <cell r="M41">
            <v>2258</v>
          </cell>
        </row>
        <row r="46">
          <cell r="M46">
            <v>3056</v>
          </cell>
        </row>
        <row r="51">
          <cell r="M51">
            <v>4336</v>
          </cell>
        </row>
        <row r="55">
          <cell r="M55">
            <v>44</v>
          </cell>
        </row>
        <row r="58">
          <cell r="M58">
            <v>60.5</v>
          </cell>
        </row>
        <row r="59">
          <cell r="B59" t="str">
            <v>หินสำหรับบรรจุในกล่องลวดตาข่าย</v>
          </cell>
        </row>
        <row r="62">
          <cell r="M62">
            <v>747.6</v>
          </cell>
        </row>
      </sheetData>
      <sheetData sheetId="9">
        <row r="22">
          <cell r="N22">
            <v>688.2</v>
          </cell>
        </row>
        <row r="23">
          <cell r="N23">
            <v>296</v>
          </cell>
        </row>
        <row r="32">
          <cell r="N32">
            <v>6928.71</v>
          </cell>
        </row>
        <row r="41">
          <cell r="N41">
            <v>11065.17</v>
          </cell>
        </row>
        <row r="51">
          <cell r="N51">
            <v>53680.57</v>
          </cell>
        </row>
        <row r="61">
          <cell r="N61">
            <v>70388.13</v>
          </cell>
        </row>
        <row r="86">
          <cell r="N86">
            <v>3213.26</v>
          </cell>
        </row>
        <row r="100">
          <cell r="N100">
            <v>7860.95</v>
          </cell>
        </row>
        <row r="114">
          <cell r="N114">
            <v>8205.2999999999993</v>
          </cell>
        </row>
        <row r="128">
          <cell r="N128">
            <v>8457.5499999999993</v>
          </cell>
        </row>
        <row r="142">
          <cell r="N142">
            <v>8457.5499999999993</v>
          </cell>
        </row>
        <row r="156">
          <cell r="N156">
            <v>7626.83</v>
          </cell>
        </row>
        <row r="170">
          <cell r="N170">
            <v>7626.83</v>
          </cell>
        </row>
        <row r="184">
          <cell r="N184">
            <v>8126.97</v>
          </cell>
        </row>
        <row r="198">
          <cell r="N198">
            <v>8126.97</v>
          </cell>
        </row>
        <row r="212">
          <cell r="N212">
            <v>8022.23</v>
          </cell>
        </row>
        <row r="226">
          <cell r="N226">
            <v>8022.23</v>
          </cell>
        </row>
        <row r="236">
          <cell r="N236">
            <v>499.17</v>
          </cell>
        </row>
        <row r="244">
          <cell r="N244">
            <v>690.16</v>
          </cell>
        </row>
        <row r="251">
          <cell r="N251">
            <v>1066.53</v>
          </cell>
        </row>
      </sheetData>
      <sheetData sheetId="10">
        <row r="23">
          <cell r="N23">
            <v>1260.55</v>
          </cell>
        </row>
        <row r="34">
          <cell r="N34">
            <v>1933.4</v>
          </cell>
        </row>
        <row r="45">
          <cell r="N45">
            <v>3254.2</v>
          </cell>
        </row>
        <row r="56">
          <cell r="N56">
            <v>4286.93</v>
          </cell>
        </row>
        <row r="67">
          <cell r="N67">
            <v>5617.26</v>
          </cell>
        </row>
        <row r="80">
          <cell r="N80">
            <v>9257.9599999999991</v>
          </cell>
        </row>
        <row r="92">
          <cell r="N92">
            <v>17795.96</v>
          </cell>
        </row>
        <row r="104">
          <cell r="N104">
            <v>9948.77</v>
          </cell>
        </row>
        <row r="116">
          <cell r="N116">
            <v>18270.490000000002</v>
          </cell>
        </row>
        <row r="128">
          <cell r="N128">
            <v>17795.96</v>
          </cell>
        </row>
        <row r="137">
          <cell r="N137" t="e">
            <v>#DIV/0!</v>
          </cell>
        </row>
      </sheetData>
      <sheetData sheetId="11">
        <row r="23">
          <cell r="I23">
            <v>11310.5</v>
          </cell>
        </row>
        <row r="24">
          <cell r="I24">
            <v>5431.5</v>
          </cell>
        </row>
        <row r="32">
          <cell r="O32">
            <v>14450</v>
          </cell>
        </row>
        <row r="33">
          <cell r="O33">
            <v>6500</v>
          </cell>
        </row>
        <row r="66">
          <cell r="O66">
            <v>4528.33</v>
          </cell>
        </row>
        <row r="68">
          <cell r="O68">
            <v>10930</v>
          </cell>
        </row>
        <row r="69">
          <cell r="O69">
            <v>2000</v>
          </cell>
        </row>
        <row r="75">
          <cell r="O75">
            <v>5990</v>
          </cell>
        </row>
        <row r="81">
          <cell r="O81">
            <v>86.06</v>
          </cell>
        </row>
        <row r="87">
          <cell r="O87">
            <v>38.5</v>
          </cell>
        </row>
        <row r="93">
          <cell r="O93">
            <v>10</v>
          </cell>
        </row>
        <row r="116">
          <cell r="O116">
            <v>1480.84</v>
          </cell>
        </row>
        <row r="125">
          <cell r="O125">
            <v>748.77</v>
          </cell>
        </row>
        <row r="133">
          <cell r="O133">
            <v>167.16</v>
          </cell>
        </row>
        <row r="144">
          <cell r="O144">
            <v>202.44</v>
          </cell>
        </row>
        <row r="154">
          <cell r="O154">
            <v>58.07</v>
          </cell>
        </row>
        <row r="164">
          <cell r="F164">
            <v>941</v>
          </cell>
        </row>
        <row r="169">
          <cell r="O169" t="e">
            <v>#DIV/0!</v>
          </cell>
        </row>
        <row r="177">
          <cell r="O177">
            <v>165</v>
          </cell>
        </row>
        <row r="178">
          <cell r="O178">
            <v>30</v>
          </cell>
        </row>
        <row r="185">
          <cell r="O185">
            <v>56.5</v>
          </cell>
        </row>
        <row r="186">
          <cell r="O186">
            <v>10</v>
          </cell>
        </row>
        <row r="239">
          <cell r="O239">
            <v>5557.8771288888893</v>
          </cell>
        </row>
        <row r="273">
          <cell r="H273">
            <v>20</v>
          </cell>
          <cell r="I273"/>
        </row>
        <row r="275">
          <cell r="H275">
            <v>30</v>
          </cell>
          <cell r="I275"/>
        </row>
      </sheetData>
      <sheetData sheetId="12"/>
      <sheetData sheetId="13"/>
      <sheetData sheetId="14">
        <row r="26">
          <cell r="C26" t="str">
            <v>รางระบายน้ำ คสล.ย่านชุมชน+ฝาปิด แบบ ข - 30</v>
          </cell>
        </row>
        <row r="147">
          <cell r="C147" t="str">
            <v>กรณีรางน้ำ 2 ด้าน มีท่อ คสล.Dai. 0.60 ม.ด้านเดียว</v>
          </cell>
        </row>
        <row r="148">
          <cell r="C148" t="str">
            <v>กรณีรางน้ำ 2 ด้าน มีท่อ คสล.Dai. 0.60 ม.ด้านเดียว</v>
          </cell>
        </row>
        <row r="154">
          <cell r="C154" t="str">
            <v>กรณีรางน้ำ 2 ด้าน มีท่อ คสล.Dai. 0.40 ม.สองด้าน</v>
          </cell>
        </row>
        <row r="155">
          <cell r="C155" t="str">
            <v>กรณีรางน้ำ 2 ด้าน มีท่อ คสล.Dai. 0.40 ม.สองด้าน</v>
          </cell>
        </row>
        <row r="161">
          <cell r="C161" t="str">
            <v>กรณีรางน้ำ 1 ด้าน มีท่อ คสล.Dai. 0.40 ม.ด้านเดียว</v>
          </cell>
        </row>
        <row r="162">
          <cell r="C162" t="str">
            <v>กรณีรางน้ำ 1 ด้าน มีท่อ คสล.Dai. 0.40 ม.ด้านเดียว</v>
          </cell>
        </row>
        <row r="168">
          <cell r="C168" t="str">
            <v>กรณีรางน้ำ 1 ด้าน มีท่อ คสล.Dai. 0.40 ม.สองด้าน</v>
          </cell>
        </row>
        <row r="169">
          <cell r="C169" t="str">
            <v>กรณีรางน้ำ 1 ด้าน มีท่อ คสล.Dai. 0.40 ม.สองด้าน</v>
          </cell>
        </row>
      </sheetData>
      <sheetData sheetId="15"/>
      <sheetData sheetId="16">
        <row r="22">
          <cell r="BJ22">
            <v>1.3642000000000001</v>
          </cell>
        </row>
        <row r="28">
          <cell r="BF28">
            <v>7.67</v>
          </cell>
        </row>
        <row r="29">
          <cell r="BF29">
            <v>7.41</v>
          </cell>
        </row>
        <row r="38">
          <cell r="BL38">
            <v>1.2749999999999999</v>
          </cell>
        </row>
      </sheetData>
      <sheetData sheetId="17"/>
      <sheetData sheetId="18"/>
      <sheetData sheetId="19"/>
      <sheetData sheetId="20"/>
      <sheetData sheetId="21">
        <row r="1">
          <cell r="C1">
            <v>2</v>
          </cell>
          <cell r="D1">
            <v>8</v>
          </cell>
          <cell r="E1">
            <v>6</v>
          </cell>
          <cell r="F1">
            <v>12</v>
          </cell>
          <cell r="G1">
            <v>8</v>
          </cell>
        </row>
        <row r="2">
          <cell r="AL2" t="str">
            <v>ป้ายกำหนดน้ำหนักบรรทุก</v>
          </cell>
          <cell r="AM2">
            <v>9910</v>
          </cell>
        </row>
        <row r="4">
          <cell r="A4">
            <v>1</v>
          </cell>
          <cell r="B4" t="str">
            <v>กำแพงปากท่อ ขนาด  1  -  Dia.  0.60  ม.</v>
          </cell>
          <cell r="AL4" t="str">
            <v>ป้ายจราจรแบบ บ 1</v>
          </cell>
        </row>
        <row r="5">
          <cell r="A5">
            <v>2</v>
          </cell>
          <cell r="B5" t="str">
            <v>กำแพงปากท่อ ขนาด  1  -  Dia.  0.80  ม.</v>
          </cell>
          <cell r="AL5" t="str">
            <v>ป้ายจราจรแบบ บ 1/1</v>
          </cell>
          <cell r="AM5">
            <v>5170</v>
          </cell>
          <cell r="AN5">
            <v>6580</v>
          </cell>
          <cell r="AO5">
            <v>10340</v>
          </cell>
          <cell r="AV5">
            <v>4670</v>
          </cell>
        </row>
        <row r="6">
          <cell r="A6">
            <v>3</v>
          </cell>
          <cell r="B6" t="str">
            <v>กำแพงปากท่อ ขนาด  1 -   Dia.  1.00  ม.</v>
          </cell>
          <cell r="AL6" t="str">
            <v>ป้ายจราจรแบบ บ 2</v>
          </cell>
          <cell r="AM6">
            <v>2380</v>
          </cell>
          <cell r="AN6">
            <v>2560</v>
          </cell>
          <cell r="AO6">
            <v>2820</v>
          </cell>
          <cell r="AR6">
            <v>1</v>
          </cell>
          <cell r="AS6" t="str">
            <v>ป้าย กม. ขนาด   80 X 40  จร.121/56(หน้าเดียว)</v>
          </cell>
          <cell r="AT6"/>
          <cell r="AW6">
            <v>3</v>
          </cell>
        </row>
        <row r="7">
          <cell r="A7">
            <v>4</v>
          </cell>
          <cell r="B7" t="str">
            <v>กำแพงปากท่อ ขนาด  1  -  Dia.  1.20  ม.</v>
          </cell>
          <cell r="AL7" t="str">
            <v>ป้ายจราจรแบบ บ 2/1</v>
          </cell>
          <cell r="AM7">
            <v>2560</v>
          </cell>
          <cell r="AN7">
            <v>2820</v>
          </cell>
          <cell r="AO7">
            <v>3450</v>
          </cell>
          <cell r="AR7">
            <v>2</v>
          </cell>
          <cell r="AS7" t="str">
            <v>ป้าย กม. ขนาด 100 X 50  จร.121/56(หน้าเดียว)</v>
          </cell>
          <cell r="AT7"/>
        </row>
        <row r="8">
          <cell r="A8">
            <v>5</v>
          </cell>
          <cell r="B8" t="str">
            <v>กำแพงปากท่อ ขนาด  1  -  Dia.  1.50  ม.</v>
          </cell>
          <cell r="AL8" t="str">
            <v>ป้ายจราจร บ 3 - บ 55</v>
          </cell>
          <cell r="AM8">
            <v>2660</v>
          </cell>
          <cell r="AN8">
            <v>3030</v>
          </cell>
          <cell r="AO8">
            <v>3490</v>
          </cell>
          <cell r="AR8">
            <v>3</v>
          </cell>
          <cell r="AS8" t="str">
            <v>ป้าย กม. ขนาด   80 X 40  จร.121/56(สองหน้า)</v>
          </cell>
          <cell r="AT8"/>
        </row>
        <row r="9">
          <cell r="A9">
            <v>6</v>
          </cell>
          <cell r="B9" t="str">
            <v>กำแพงปากท่อ ขนาด  2  -  Dia.  0.60  ม.</v>
          </cell>
          <cell r="AL9" t="str">
            <v>ป้ายจราจร บ 31/1, บ 33/1</v>
          </cell>
          <cell r="AM9">
            <v>2260</v>
          </cell>
          <cell r="AN9">
            <v>2380</v>
          </cell>
          <cell r="AO9">
            <v>2660</v>
          </cell>
          <cell r="AR9">
            <v>4</v>
          </cell>
          <cell r="AS9" t="str">
            <v>ป้าย กม. ขนาด 100 X 50  จร.121/56(สองหน้า)</v>
          </cell>
          <cell r="AT9"/>
        </row>
        <row r="10">
          <cell r="A10">
            <v>7</v>
          </cell>
          <cell r="B10" t="str">
            <v>กำแพงปากท่อ ขนาด  2  -  Dia.  0.80  ม.</v>
          </cell>
          <cell r="AL10" t="str">
            <v>ป้ายจราจร บ 34/1, บ 35/1, บ 36/1</v>
          </cell>
          <cell r="AM10">
            <v>2170</v>
          </cell>
          <cell r="AN10">
            <v>2260</v>
          </cell>
          <cell r="AO10">
            <v>2380</v>
          </cell>
        </row>
        <row r="11">
          <cell r="A11">
            <v>8</v>
          </cell>
          <cell r="B11" t="str">
            <v>กำแพงปากท่อ ขนาด  2  -  Dia.  1.00  ม.</v>
          </cell>
          <cell r="AL11" t="str">
            <v>ป้ายจราจรแบบ ต 1 - ต 27,ต 31 - ต 60,ต 75</v>
          </cell>
          <cell r="AR11">
            <v>1</v>
          </cell>
          <cell r="AS11" t="str">
            <v>สัญญาณไฟกระพริบ</v>
          </cell>
          <cell r="AT11"/>
          <cell r="AU11"/>
          <cell r="AV11"/>
          <cell r="AW11">
            <v>2</v>
          </cell>
          <cell r="AX11">
            <v>18200</v>
          </cell>
        </row>
        <row r="12">
          <cell r="A12">
            <v>9</v>
          </cell>
          <cell r="B12" t="str">
            <v>กำแพงปากท่อ ขนาด  2  -  Dia.  1.20  ม.</v>
          </cell>
          <cell r="AL12" t="str">
            <v>ป้ายจราจร ต 28 - ต 30,ต 62</v>
          </cell>
          <cell r="AM12">
            <v>4040</v>
          </cell>
          <cell r="AN12">
            <v>5170</v>
          </cell>
          <cell r="AO12">
            <v>6580</v>
          </cell>
          <cell r="AR12">
            <v>2</v>
          </cell>
          <cell r="AS12" t="str">
            <v>สัญญาณไฟกระพริบ + ป้าย บ 1 Size 2</v>
          </cell>
          <cell r="AT12"/>
          <cell r="AU12"/>
          <cell r="AV12"/>
          <cell r="AW12"/>
          <cell r="AX12">
            <v>20410</v>
          </cell>
        </row>
        <row r="13">
          <cell r="A13">
            <v>10</v>
          </cell>
          <cell r="B13" t="str">
            <v>กำแพงปากท่อ ขนาด  2  -  Dia.  1.50  ม.</v>
          </cell>
          <cell r="AL13" t="str">
            <v>ป้ายจราจร ต 61,ต 61/1</v>
          </cell>
          <cell r="AM13">
            <v>4830</v>
          </cell>
          <cell r="AN13">
            <v>7030</v>
          </cell>
          <cell r="AO13">
            <v>7030</v>
          </cell>
          <cell r="AR13">
            <v>3</v>
          </cell>
          <cell r="AS13" t="str">
            <v>สัญญาณไฟกระพริบ + ป้าย บ 1 Size 3</v>
          </cell>
          <cell r="AT13"/>
          <cell r="AU13"/>
          <cell r="AV13"/>
          <cell r="AW13"/>
          <cell r="AX13">
            <v>21650</v>
          </cell>
        </row>
        <row r="14">
          <cell r="A14">
            <v>11</v>
          </cell>
          <cell r="B14" t="str">
            <v>กำแพงปากท่อ ขนาด  3  -  Dia.  0.60  ม.</v>
          </cell>
          <cell r="AR14">
            <v>4</v>
          </cell>
          <cell r="AS14" t="str">
            <v>สัญญาณไฟกระพริบ + ป้าย บ 1 Size 4</v>
          </cell>
          <cell r="AT14"/>
          <cell r="AU14"/>
          <cell r="AV14"/>
          <cell r="AW14"/>
          <cell r="AX14">
            <v>23190</v>
          </cell>
        </row>
        <row r="15">
          <cell r="A15">
            <v>12</v>
          </cell>
          <cell r="B15" t="str">
            <v>กำแพงปากท่อ ขนาด  3  -  Dia.  0.80  ม.</v>
          </cell>
          <cell r="AL15" t="str">
            <v>ป้ายจราจรแบบ ต 64,ต 67</v>
          </cell>
          <cell r="AM15">
            <v>3920</v>
          </cell>
          <cell r="AN15">
            <v>3920</v>
          </cell>
          <cell r="AO15">
            <v>3920</v>
          </cell>
          <cell r="AR15">
            <v>5</v>
          </cell>
          <cell r="AS15" t="str">
            <v>สัญญาณไฟกระพริบ + ป้าย ต Size 2</v>
          </cell>
          <cell r="AT15"/>
          <cell r="AU15"/>
          <cell r="AV15"/>
          <cell r="AW15"/>
          <cell r="AX15">
            <v>19250</v>
          </cell>
        </row>
        <row r="16">
          <cell r="A16">
            <v>13</v>
          </cell>
          <cell r="B16" t="str">
            <v>กำแพงปากท่อ ขนาด  3  -  Dia.  1.00  ม.</v>
          </cell>
          <cell r="AL16" t="str">
            <v>ป้ายจราจรแบบ ต 65,ต 68, ต 70</v>
          </cell>
          <cell r="AM16">
            <v>6070</v>
          </cell>
          <cell r="AN16">
            <v>11360</v>
          </cell>
          <cell r="AO16">
            <v>18700</v>
          </cell>
          <cell r="AR16">
            <v>6</v>
          </cell>
          <cell r="AS16" t="str">
            <v>สัญญาณไฟกระพริบ + ป้าย ต Size 3</v>
          </cell>
          <cell r="AT16"/>
          <cell r="AU16"/>
          <cell r="AV16"/>
          <cell r="AW16"/>
          <cell r="AX16" t="e">
            <v>#REF!</v>
          </cell>
        </row>
        <row r="17">
          <cell r="A17">
            <v>14</v>
          </cell>
          <cell r="B17" t="str">
            <v>กำแพงปากท่อ ขนาด  3  -  Dia.  1.20  ม.</v>
          </cell>
          <cell r="AL17" t="str">
            <v>ป้ายจราจรแบบ ต 69</v>
          </cell>
          <cell r="AM17">
            <v>4940</v>
          </cell>
          <cell r="AN17">
            <v>4940</v>
          </cell>
          <cell r="AO17">
            <v>4940</v>
          </cell>
          <cell r="AR17">
            <v>7</v>
          </cell>
          <cell r="AS17" t="str">
            <v>สัญญาณไฟกระพริบ + ป้าย ต Size 4</v>
          </cell>
          <cell r="AT17"/>
          <cell r="AU17"/>
          <cell r="AV17"/>
          <cell r="AW17"/>
          <cell r="AX17">
            <v>20570</v>
          </cell>
        </row>
        <row r="18">
          <cell r="A18">
            <v>15</v>
          </cell>
          <cell r="B18" t="str">
            <v>กำแพงปากท่อ ขนาด  3  -  Dia.  1.50  ม.</v>
          </cell>
          <cell r="AL18" t="str">
            <v>ป้ายจราจรแบบ ต 71</v>
          </cell>
          <cell r="AM18">
            <v>3920</v>
          </cell>
          <cell r="AN18">
            <v>3920</v>
          </cell>
          <cell r="AO18">
            <v>3920</v>
          </cell>
        </row>
        <row r="19">
          <cell r="AL19" t="str">
            <v>ป้ายจราจรแบบ ต 72, ต 73</v>
          </cell>
          <cell r="AM19">
            <v>3920</v>
          </cell>
          <cell r="AN19">
            <v>3920</v>
          </cell>
          <cell r="AO19">
            <v>3920</v>
          </cell>
        </row>
        <row r="20">
          <cell r="AL20" t="str">
            <v>ป้ายจราจรแบบ ต 74</v>
          </cell>
          <cell r="AM20">
            <v>4310</v>
          </cell>
          <cell r="AN20">
            <v>4310</v>
          </cell>
          <cell r="AO20">
            <v>4310</v>
          </cell>
        </row>
        <row r="21">
          <cell r="AL21" t="str">
            <v>ป้ายจราจรแบบ ต 74/1</v>
          </cell>
          <cell r="AM21">
            <v>4840</v>
          </cell>
          <cell r="AN21">
            <v>4840</v>
          </cell>
          <cell r="AO21">
            <v>4840</v>
          </cell>
        </row>
        <row r="22">
          <cell r="AL22" t="str">
            <v>ป้ายจราจรแบบ ต 76</v>
          </cell>
          <cell r="AM22">
            <v>2470</v>
          </cell>
          <cell r="AN22">
            <v>2840</v>
          </cell>
          <cell r="AO22">
            <v>2840</v>
          </cell>
        </row>
        <row r="23">
          <cell r="A23">
            <v>2</v>
          </cell>
          <cell r="B23" t="str">
            <v>รื้อโครงสร้างถนน Pavement - In Place  เดิม</v>
          </cell>
          <cell r="AL23" t="str">
            <v>ป้ายจราจรแบบ ต 76/1</v>
          </cell>
          <cell r="AM23">
            <v>2580</v>
          </cell>
          <cell r="AN23">
            <v>2980</v>
          </cell>
          <cell r="AO23">
            <v>2980</v>
          </cell>
        </row>
        <row r="24">
          <cell r="AL24" t="str">
            <v>ป้ายจราจรแบบ ต 77/1</v>
          </cell>
          <cell r="AM24">
            <v>5560</v>
          </cell>
          <cell r="AN24">
            <v>5560</v>
          </cell>
          <cell r="AO24">
            <v>5560</v>
          </cell>
        </row>
        <row r="25">
          <cell r="AL25" t="str">
            <v>ป้ายจราจรแบบ ต 77</v>
          </cell>
          <cell r="AM25">
            <v>4240</v>
          </cell>
          <cell r="AN25">
            <v>4240</v>
          </cell>
          <cell r="AO25">
            <v>4240</v>
          </cell>
        </row>
        <row r="26">
          <cell r="AL26" t="str">
            <v>ป้ายจราจรแบบ ต 78</v>
          </cell>
          <cell r="AM26">
            <v>2960</v>
          </cell>
          <cell r="AN26">
            <v>3680</v>
          </cell>
          <cell r="AO26">
            <v>3680</v>
          </cell>
        </row>
        <row r="27">
          <cell r="AL27" t="str">
            <v>ป้ายจราจรแบบ น 1</v>
          </cell>
          <cell r="AM27">
            <v>4380</v>
          </cell>
          <cell r="AN27">
            <v>5780</v>
          </cell>
          <cell r="AO27">
            <v>5780</v>
          </cell>
        </row>
        <row r="28">
          <cell r="A28">
            <v>2</v>
          </cell>
          <cell r="AL28" t="str">
            <v>ป้ายจราจรแบบ น 1/1</v>
          </cell>
          <cell r="AM28">
            <v>2900</v>
          </cell>
          <cell r="AN28">
            <v>3400</v>
          </cell>
          <cell r="AO28">
            <v>4020</v>
          </cell>
        </row>
        <row r="29">
          <cell r="AL29" t="str">
            <v>ป้ายจราจรแบบ น 2 ( 1 ชิ้น)</v>
          </cell>
          <cell r="AM29">
            <v>8510</v>
          </cell>
          <cell r="AN29">
            <v>8510</v>
          </cell>
          <cell r="AO29">
            <v>8510</v>
          </cell>
        </row>
        <row r="30">
          <cell r="AL30" t="str">
            <v>ป้ายจราจรแบบ น 2 ( 2 ชิ้น)</v>
          </cell>
          <cell r="AM30">
            <v>13040</v>
          </cell>
          <cell r="AN30">
            <v>13040</v>
          </cell>
          <cell r="AO30">
            <v>13040</v>
          </cell>
        </row>
        <row r="31">
          <cell r="AL31" t="str">
            <v>ป้ายจราจรแบบ น 2 ( 3 ชิ้น)</v>
          </cell>
          <cell r="AM31">
            <v>17690</v>
          </cell>
          <cell r="AN31">
            <v>17690</v>
          </cell>
          <cell r="AO31">
            <v>17690</v>
          </cell>
        </row>
        <row r="32">
          <cell r="AL32" t="str">
            <v>ป้ายจราจรแบบ น 2 ( 4 ชิ้น)</v>
          </cell>
          <cell r="AM32">
            <v>21760</v>
          </cell>
          <cell r="AN32">
            <v>21760</v>
          </cell>
          <cell r="AO32">
            <v>21760</v>
          </cell>
        </row>
        <row r="33">
          <cell r="AL33" t="str">
            <v>ป้ายจราจรแบบ น 3 ( 1 ชิ้น)</v>
          </cell>
          <cell r="AM33">
            <v>7920</v>
          </cell>
          <cell r="AN33">
            <v>7920</v>
          </cell>
          <cell r="AO33">
            <v>7920</v>
          </cell>
        </row>
        <row r="34">
          <cell r="B34" t="str">
            <v>งานขุดรื้อผิวทาง AC เดิมแล้วบดทับ</v>
          </cell>
          <cell r="C34">
            <v>15.9208</v>
          </cell>
          <cell r="AL34" t="str">
            <v>ป้ายจราจรแบบ น 3 ( 2 ชิ้น)</v>
          </cell>
          <cell r="AM34">
            <v>11860</v>
          </cell>
          <cell r="AN34">
            <v>11860</v>
          </cell>
          <cell r="AO34">
            <v>11860</v>
          </cell>
        </row>
        <row r="35">
          <cell r="AL35" t="str">
            <v>ป้ายจราจรแบบ น 3 ( 3 ชิ้น)</v>
          </cell>
          <cell r="AM35">
            <v>15920</v>
          </cell>
          <cell r="AN35">
            <v>15920</v>
          </cell>
          <cell r="AO35">
            <v>15920</v>
          </cell>
        </row>
        <row r="36">
          <cell r="AL36" t="str">
            <v>ป้ายจราจรแบบ น 4</v>
          </cell>
          <cell r="AM36">
            <v>8510</v>
          </cell>
          <cell r="AN36">
            <v>8510</v>
          </cell>
          <cell r="AO36">
            <v>8510</v>
          </cell>
        </row>
        <row r="37">
          <cell r="AL37" t="str">
            <v>ป้ายจราจรแบบ น 5</v>
          </cell>
        </row>
        <row r="38">
          <cell r="AL38" t="str">
            <v>ป้ายจราจรแบบ น 6</v>
          </cell>
          <cell r="AM38">
            <v>3240</v>
          </cell>
          <cell r="AN38">
            <v>3240</v>
          </cell>
          <cell r="AO38">
            <v>3240</v>
          </cell>
        </row>
        <row r="39">
          <cell r="AI39"/>
          <cell r="AL39" t="str">
            <v>ป้ายจราจรแบบ น 7</v>
          </cell>
          <cell r="AM39">
            <v>3860</v>
          </cell>
          <cell r="AN39">
            <v>3860</v>
          </cell>
          <cell r="AO39">
            <v>3860</v>
          </cell>
        </row>
        <row r="40">
          <cell r="B40" t="str">
            <v>งานถางป่าขุดตอขนาดหนัก</v>
          </cell>
          <cell r="C40">
            <v>5.67</v>
          </cell>
          <cell r="AL40" t="str">
            <v>ป้ายจราจรแบบ น 8</v>
          </cell>
          <cell r="AM40">
            <v>2420</v>
          </cell>
          <cell r="AN40">
            <v>2420</v>
          </cell>
          <cell r="AO40">
            <v>2420</v>
          </cell>
        </row>
        <row r="41">
          <cell r="AL41" t="str">
            <v>ป้ายจราจรแบบ นส 1 - นส 14</v>
          </cell>
          <cell r="AM41">
            <v>2520</v>
          </cell>
          <cell r="AN41">
            <v>2860</v>
          </cell>
          <cell r="AO41">
            <v>3170</v>
          </cell>
        </row>
        <row r="42">
          <cell r="AL42" t="str">
            <v>ป้ายจราจรแบบ บ 3-บ 55 + ต 1-ต 27,ต 31- ต 60</v>
          </cell>
          <cell r="AM42">
            <v>3490</v>
          </cell>
          <cell r="AN42">
            <v>4540</v>
          </cell>
          <cell r="AO42">
            <v>5580</v>
          </cell>
        </row>
        <row r="43">
          <cell r="AL43" t="str">
            <v>ป้ายจราจรแบบ ต 1- ต 27 + ต1 - ต 27</v>
          </cell>
          <cell r="AM43">
            <v>3670</v>
          </cell>
          <cell r="AN43">
            <v>4820</v>
          </cell>
          <cell r="AO43">
            <v>5980</v>
          </cell>
        </row>
        <row r="44">
          <cell r="AL44" t="str">
            <v>ป้ายจราจรแบบ ต 1- ต 27 + ต31 - ต 60</v>
          </cell>
          <cell r="AM44">
            <v>3670</v>
          </cell>
          <cell r="AN44">
            <v>4820</v>
          </cell>
          <cell r="AO44">
            <v>5980</v>
          </cell>
        </row>
        <row r="45">
          <cell r="AL45" t="str">
            <v>ป้ายจราจรแบบ ต 31- ต 60 + ต31 - ต 60</v>
          </cell>
          <cell r="AM45">
            <v>3670</v>
          </cell>
          <cell r="AN45">
            <v>4820</v>
          </cell>
          <cell r="AO45">
            <v>5980</v>
          </cell>
        </row>
        <row r="46">
          <cell r="AL46" t="str">
            <v>ป้ายจราจรแบบ ต 1- ต 27 + ต 74</v>
          </cell>
          <cell r="AM46">
            <v>5350</v>
          </cell>
          <cell r="AN46">
            <v>5820</v>
          </cell>
          <cell r="AO46">
            <v>6400</v>
          </cell>
        </row>
        <row r="47">
          <cell r="AL47" t="str">
            <v>ป้ายจราจรแบบ ต 31- ต 60 + ต 74</v>
          </cell>
          <cell r="AM47">
            <v>5350</v>
          </cell>
          <cell r="AN47">
            <v>5820</v>
          </cell>
          <cell r="AO47">
            <v>6400</v>
          </cell>
        </row>
        <row r="48">
          <cell r="AL48" t="str">
            <v>ป้ายจราจรแบบ ต 1- ต 27 + ต 75</v>
          </cell>
          <cell r="AM48">
            <v>3670</v>
          </cell>
          <cell r="AN48">
            <v>4820</v>
          </cell>
          <cell r="AO48">
            <v>5980</v>
          </cell>
        </row>
        <row r="49">
          <cell r="AL49" t="str">
            <v>ป้ายจราจรแบบ ต 31- ต 60 + ต 75</v>
          </cell>
          <cell r="AM49">
            <v>3670</v>
          </cell>
          <cell r="AN49">
            <v>4820</v>
          </cell>
          <cell r="AO49">
            <v>5980</v>
          </cell>
        </row>
        <row r="50">
          <cell r="AL50" t="str">
            <v>ป้ายจราจรแบบ ต 1- ต 27 + ต 76</v>
          </cell>
          <cell r="AM50">
            <v>3300</v>
          </cell>
          <cell r="AN50">
            <v>4140</v>
          </cell>
          <cell r="AO50">
            <v>4930</v>
          </cell>
        </row>
        <row r="51">
          <cell r="AL51" t="str">
            <v>ป้ายจราจรแบบ ต 31- ต 60 + ต 76</v>
          </cell>
          <cell r="AM51">
            <v>3300</v>
          </cell>
          <cell r="AN51">
            <v>4140</v>
          </cell>
          <cell r="AO51">
            <v>4930</v>
          </cell>
        </row>
        <row r="52">
          <cell r="L52">
            <v>5</v>
          </cell>
          <cell r="AL52" t="str">
            <v>ป้ายจราจรแบบ ต 1- ต 27 + ต 77</v>
          </cell>
          <cell r="AM52">
            <v>5280</v>
          </cell>
          <cell r="AN52">
            <v>5750</v>
          </cell>
          <cell r="AO52">
            <v>6330</v>
          </cell>
        </row>
        <row r="53">
          <cell r="L53">
            <v>5</v>
          </cell>
          <cell r="AL53" t="str">
            <v>ป้ายจราจรแบบ ต 31- ต 60 + ต 77</v>
          </cell>
          <cell r="AM53">
            <v>5280</v>
          </cell>
          <cell r="AN53">
            <v>5750</v>
          </cell>
          <cell r="AO53">
            <v>6330</v>
          </cell>
        </row>
        <row r="54">
          <cell r="AL54" t="str">
            <v>ป้ายจราจรแบบ ต 1- ต 27 + ต 78</v>
          </cell>
          <cell r="AM54">
            <v>3790</v>
          </cell>
          <cell r="AN54">
            <v>4980</v>
          </cell>
          <cell r="AO54">
            <v>5770</v>
          </cell>
        </row>
        <row r="55">
          <cell r="AL55" t="str">
            <v>ป้ายจราจรแบบ ต 31- ต 60 + ต 78</v>
          </cell>
          <cell r="AM55">
            <v>3790</v>
          </cell>
          <cell r="AN55">
            <v>4980</v>
          </cell>
          <cell r="AO55">
            <v>5770</v>
          </cell>
        </row>
        <row r="56">
          <cell r="A56">
            <v>1</v>
          </cell>
          <cell r="B56" t="str">
            <v>ลึก 15 ซม.</v>
          </cell>
          <cell r="K56">
            <v>1</v>
          </cell>
          <cell r="L56" t="str">
            <v>SIZE 2</v>
          </cell>
          <cell r="AL56" t="str">
            <v>ป้ายจราจรแบบ น 1 + นส 1 - นส 14</v>
          </cell>
          <cell r="AM56">
            <v>5100</v>
          </cell>
          <cell r="AN56">
            <v>6630</v>
          </cell>
          <cell r="AO56">
            <v>6940</v>
          </cell>
        </row>
        <row r="57">
          <cell r="A57">
            <v>2</v>
          </cell>
          <cell r="B57" t="str">
            <v>ลึก 20 ซม.</v>
          </cell>
          <cell r="K57">
            <v>2</v>
          </cell>
          <cell r="L57" t="str">
            <v>SIZE 3</v>
          </cell>
          <cell r="AL57" t="str">
            <v>ป้ายจราจรแบบ น 1/1 + นส 1 - นส 14</v>
          </cell>
          <cell r="AM57">
            <v>3410</v>
          </cell>
          <cell r="AN57">
            <v>4250</v>
          </cell>
          <cell r="AO57">
            <v>5390</v>
          </cell>
        </row>
        <row r="58">
          <cell r="A58">
            <v>3</v>
          </cell>
          <cell r="B58" t="str">
            <v>ลึก 25 ซม.</v>
          </cell>
          <cell r="K58">
            <v>3</v>
          </cell>
          <cell r="L58" t="str">
            <v>SIZE 4</v>
          </cell>
          <cell r="AL58" t="str">
            <v>ป้ายจราจรแบบ น 1(2ชิ้น) + นส 14(2ชิ้น)</v>
          </cell>
          <cell r="AM58">
            <v>7980</v>
          </cell>
          <cell r="AN58">
            <v>11270</v>
          </cell>
          <cell r="AO58">
            <v>11890</v>
          </cell>
        </row>
        <row r="59">
          <cell r="A59">
            <v>4</v>
          </cell>
          <cell r="B59" t="str">
            <v>ลึก 30 ซม.</v>
          </cell>
          <cell r="AL59" t="str">
            <v>ป้ายจราจรแบบ น 1+น1/1+ นส 14(2ชิ้น)</v>
          </cell>
          <cell r="AM59">
            <v>6500</v>
          </cell>
          <cell r="AN59">
            <v>9100</v>
          </cell>
          <cell r="AO59">
            <v>10340</v>
          </cell>
        </row>
        <row r="60">
          <cell r="A60">
            <v>2</v>
          </cell>
          <cell r="AL60" t="str">
            <v>ป้ายจราจรแบบ น 1+น 1/1(2ชิ้น)+นส 1 - นส 14(3ชิ้น)</v>
          </cell>
          <cell r="AM60">
            <v>7900</v>
          </cell>
          <cell r="AN60">
            <v>11340</v>
          </cell>
          <cell r="AO60">
            <v>13510</v>
          </cell>
        </row>
        <row r="63">
          <cell r="A63">
            <v>1</v>
          </cell>
          <cell r="B63" t="str">
            <v>Milling  5 cm.</v>
          </cell>
        </row>
        <row r="64">
          <cell r="A64">
            <v>2</v>
          </cell>
          <cell r="B64" t="str">
            <v>Milling  10 cm.</v>
          </cell>
        </row>
        <row r="65">
          <cell r="A65">
            <v>1</v>
          </cell>
        </row>
        <row r="67">
          <cell r="AM67">
            <v>1280</v>
          </cell>
        </row>
        <row r="68">
          <cell r="A68">
            <v>1</v>
          </cell>
          <cell r="B68" t="str">
            <v>หลักนำโค้ง 0.125x0.125 ม.</v>
          </cell>
          <cell r="AM68">
            <v>870</v>
          </cell>
        </row>
        <row r="69">
          <cell r="A69">
            <v>2</v>
          </cell>
          <cell r="B69" t="str">
            <v>หลักนำโค้ง 0.15x0.15 ม.</v>
          </cell>
        </row>
        <row r="70">
          <cell r="A70">
            <v>2</v>
          </cell>
          <cell r="B70">
            <v>620</v>
          </cell>
        </row>
        <row r="76">
          <cell r="AL76" t="str">
            <v>ป้ายเตือนแนวทาง(โค้งขวาและโค้งซ้าย)</v>
          </cell>
          <cell r="AM76">
            <v>8540</v>
          </cell>
        </row>
        <row r="95">
          <cell r="A95">
            <v>1</v>
          </cell>
          <cell r="B95" t="str">
            <v>Asphaltic  Concrete(Wearing Course)</v>
          </cell>
        </row>
        <row r="96">
          <cell r="B96" t="str">
            <v>PARA  Asphaltic  Concrete(Wearing Course)</v>
          </cell>
        </row>
        <row r="97">
          <cell r="B97"/>
        </row>
        <row r="98">
          <cell r="B98" t="str">
            <v xml:space="preserve"> -  Asphaltic  Concrete  (ปูบน Prime  Coat)</v>
          </cell>
        </row>
        <row r="99">
          <cell r="B99" t="str">
            <v xml:space="preserve"> -  PARA Asphaltic  Concrete  (ปูบน Prime  Coat)</v>
          </cell>
        </row>
        <row r="100">
          <cell r="B100" t="str">
            <v xml:space="preserve"> -  PMA Asphaltic  Concrete  (ปูบน Prime  Coat)</v>
          </cell>
        </row>
        <row r="101">
          <cell r="B101" t="str">
            <v xml:space="preserve"> -  Asphaltic  Concrete  (ปูบน Tack  Coat)</v>
          </cell>
        </row>
        <row r="102">
          <cell r="B102" t="str">
            <v xml:space="preserve"> -  PARA Asphaltic  Concrete  (ปูบน Tack  Coat)</v>
          </cell>
        </row>
        <row r="103">
          <cell r="B103" t="str">
            <v xml:space="preserve"> -  PMA Asphaltic  Concrete  (ปูบน Tack  Coat)</v>
          </cell>
        </row>
        <row r="109">
          <cell r="A109">
            <v>1</v>
          </cell>
        </row>
        <row r="120">
          <cell r="B120" t="str">
            <v>บ่อรับน้ำปากท่อ คสล.กลม 1 - 0.60 m.</v>
          </cell>
        </row>
        <row r="127">
          <cell r="B127" t="str">
            <v>บ่อรับน้ำปากท่อ คสล.กลม 2 - 0.60 m.</v>
          </cell>
        </row>
        <row r="134">
          <cell r="B134" t="str">
            <v>รางส่งน้ำขั้นบันไดปากท่อ คสล.กลม 1 - 1.20 m.</v>
          </cell>
        </row>
        <row r="147">
          <cell r="B147">
            <v>35</v>
          </cell>
        </row>
        <row r="152">
          <cell r="A152">
            <v>1</v>
          </cell>
          <cell r="B152" t="str">
            <v>งาน SKIN PATCH</v>
          </cell>
        </row>
        <row r="153">
          <cell r="B153">
            <v>233.47043695629631</v>
          </cell>
        </row>
        <row r="159">
          <cell r="B159" t="str">
            <v>Ground Rod แท่งเหล็กหุ้มทองแดง 5/8" x 8'</v>
          </cell>
          <cell r="C159">
            <v>1200.7670000000001</v>
          </cell>
        </row>
      </sheetData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94459-2C48-4C3C-A1A2-0409EEEB71C5}">
  <dimension ref="A1:P238"/>
  <sheetViews>
    <sheetView tabSelected="1" topLeftCell="A196" zoomScaleNormal="100" workbookViewId="0">
      <selection activeCell="L232" sqref="L232"/>
    </sheetView>
  </sheetViews>
  <sheetFormatPr defaultRowHeight="13.8" x14ac:dyDescent="0.25"/>
  <cols>
    <col min="10" max="10" width="11.09765625" customWidth="1"/>
    <col min="13" max="13" width="12.19921875" customWidth="1"/>
  </cols>
  <sheetData>
    <row r="1" spans="1:16" ht="25.2" x14ac:dyDescent="0.75">
      <c r="A1" s="271" t="str">
        <f>"รายละเอียดการประมาณราคา "&amp;'[1]ต้นทุนถนน AC.'!D6</f>
        <v>รายละเอียดการประมาณราคา เสริมผิวแอสฟัลต์คอนกรีตโดยวิธี  ( Overlay )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1"/>
    </row>
    <row r="2" spans="1:16" ht="21.6" x14ac:dyDescent="0.25">
      <c r="A2" s="272" t="str">
        <f>[1]ปร.5_Roads!A7</f>
        <v>รหัสทางหลวงท้องถิ่น</v>
      </c>
      <c r="B2" s="272"/>
      <c r="C2" s="272"/>
      <c r="D2" s="2" t="str">
        <f>[1]ข้อมูล!C7</f>
        <v>รอ.</v>
      </c>
      <c r="E2" s="3" t="s">
        <v>0</v>
      </c>
      <c r="F2" s="4" t="str">
        <f>[1]ปร.5_Roads!F7</f>
        <v xml:space="preserve"> บ้านหินตั้ง หมู่ที่4 ระยะทาง 528 เมตร </v>
      </c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25.2" x14ac:dyDescent="0.25">
      <c r="A3" s="3" t="s">
        <v>1</v>
      </c>
      <c r="B3" s="5"/>
      <c r="C3" s="5"/>
      <c r="D3" s="2" t="str">
        <f>+[1]ปร.5_Roads!C8</f>
        <v xml:space="preserve"> บ้านหินตั้ง หมู่ที่4 ต.โนนรัง อ.เมืองร้อยเอ็ด  จ.ร้อยเอ็ด</v>
      </c>
      <c r="E3" s="5"/>
      <c r="F3" s="5"/>
      <c r="G3" s="6"/>
      <c r="H3" s="7" t="str">
        <f>[1]ปร.5_Roads!A11</f>
        <v>ปริมาณงาน</v>
      </c>
      <c r="I3" s="8"/>
      <c r="J3" s="9">
        <f>+[1]ปร.5_Roads!D11</f>
        <v>0.52800000000000002</v>
      </c>
      <c r="K3" s="10" t="str">
        <f>+[1]ปร.5_Roads!E11</f>
        <v>กม.</v>
      </c>
      <c r="L3" s="3" t="str">
        <f>+[1]ปร.5_Roads!I4&amp;"  "&amp;[1]ปร.5_Roads!$K$4</f>
        <v>ประจำปีงบประมาณ  2567</v>
      </c>
      <c r="M3" s="7"/>
      <c r="N3" s="11"/>
      <c r="O3" s="11"/>
      <c r="P3" s="5"/>
    </row>
    <row r="4" spans="1:16" ht="21.6" x14ac:dyDescent="0.25">
      <c r="A4" s="250" t="s">
        <v>2</v>
      </c>
      <c r="B4" s="252" t="s">
        <v>3</v>
      </c>
      <c r="C4" s="253"/>
      <c r="D4" s="254"/>
      <c r="E4" s="250" t="s">
        <v>4</v>
      </c>
      <c r="F4" s="250" t="s">
        <v>5</v>
      </c>
      <c r="G4" s="243" t="s">
        <v>6</v>
      </c>
      <c r="H4" s="244"/>
      <c r="I4" s="245"/>
      <c r="J4" s="12" t="s">
        <v>7</v>
      </c>
      <c r="K4" s="250" t="s">
        <v>8</v>
      </c>
      <c r="L4" s="243" t="s">
        <v>9</v>
      </c>
      <c r="M4" s="245"/>
      <c r="N4" s="252" t="s">
        <v>10</v>
      </c>
      <c r="O4" s="254"/>
      <c r="P4" s="5"/>
    </row>
    <row r="5" spans="1:16" ht="21.6" x14ac:dyDescent="0.25">
      <c r="A5" s="251"/>
      <c r="B5" s="255"/>
      <c r="C5" s="256"/>
      <c r="D5" s="257"/>
      <c r="E5" s="251"/>
      <c r="F5" s="251"/>
      <c r="G5" s="13" t="s">
        <v>11</v>
      </c>
      <c r="H5" s="13" t="s">
        <v>12</v>
      </c>
      <c r="I5" s="13" t="s">
        <v>13</v>
      </c>
      <c r="J5" s="14" t="s">
        <v>14</v>
      </c>
      <c r="K5" s="251"/>
      <c r="L5" s="15" t="s">
        <v>15</v>
      </c>
      <c r="M5" s="15" t="s">
        <v>13</v>
      </c>
      <c r="N5" s="255"/>
      <c r="O5" s="257"/>
      <c r="P5" s="5"/>
    </row>
    <row r="6" spans="1:16" ht="21.6" x14ac:dyDescent="0.25">
      <c r="A6" s="16">
        <v>1</v>
      </c>
      <c r="B6" s="17" t="s">
        <v>16</v>
      </c>
      <c r="C6" s="18"/>
      <c r="D6" s="18"/>
      <c r="E6" s="19"/>
      <c r="F6" s="20"/>
      <c r="G6" s="20"/>
      <c r="H6" s="20"/>
      <c r="I6" s="20"/>
      <c r="J6" s="20"/>
      <c r="K6" s="21"/>
      <c r="L6" s="22"/>
      <c r="M6" s="21"/>
      <c r="N6" s="21"/>
      <c r="O6" s="23"/>
      <c r="P6" s="5"/>
    </row>
    <row r="7" spans="1:16" ht="21.6" x14ac:dyDescent="0.25">
      <c r="A7" s="24"/>
      <c r="B7" s="5">
        <v>1.1000000000000001</v>
      </c>
      <c r="C7" s="25" t="str">
        <f>+'[1]NO DELETE'!B40</f>
        <v>งานถางป่าขุดตอขนาดหนัก</v>
      </c>
      <c r="D7" s="25"/>
      <c r="E7" s="26">
        <v>0</v>
      </c>
      <c r="F7" s="27" t="s">
        <v>17</v>
      </c>
      <c r="G7" s="28">
        <f>IF(E7&lt;=0,0,)</f>
        <v>0</v>
      </c>
      <c r="H7" s="29">
        <f>IF(E7&gt;0,'[1]NO DELETE'!C40,)</f>
        <v>0</v>
      </c>
      <c r="I7" s="30">
        <f>(G7+H7)</f>
        <v>0</v>
      </c>
      <c r="J7" s="31">
        <f t="shared" ref="J7:J19" si="0">E7*I7</f>
        <v>0</v>
      </c>
      <c r="K7" s="32">
        <f>IF(E7&gt;0,[1]S2!$BJ$22,)</f>
        <v>0</v>
      </c>
      <c r="L7" s="33">
        <f>K7*I7</f>
        <v>0</v>
      </c>
      <c r="M7" s="33">
        <f>L7*E7</f>
        <v>0</v>
      </c>
      <c r="N7" s="34"/>
      <c r="O7" s="35"/>
      <c r="P7" s="5"/>
    </row>
    <row r="8" spans="1:16" ht="21.6" x14ac:dyDescent="0.25">
      <c r="A8" s="36"/>
      <c r="B8" s="5">
        <v>1.2</v>
      </c>
      <c r="C8" s="37" t="str">
        <f>+'[1]NO DELETE'!B34</f>
        <v>งานขุดรื้อผิวทาง AC เดิมแล้วบดทับ</v>
      </c>
      <c r="D8" s="37"/>
      <c r="E8" s="26">
        <v>0</v>
      </c>
      <c r="F8" s="38" t="s">
        <v>17</v>
      </c>
      <c r="G8" s="39">
        <f>IF(E8&lt;=0,0,)</f>
        <v>0</v>
      </c>
      <c r="H8" s="29">
        <f>IF(E8&gt;0,'[1]NO DELETE'!$C$34,)</f>
        <v>0</v>
      </c>
      <c r="I8" s="40">
        <f>(G8+H8)</f>
        <v>0</v>
      </c>
      <c r="J8" s="41">
        <f>E8*I8</f>
        <v>0</v>
      </c>
      <c r="K8" s="32">
        <f>IF(E8&gt;0,[1]S2!$BJ$22,)</f>
        <v>0</v>
      </c>
      <c r="L8" s="42">
        <f>K8*I8</f>
        <v>0</v>
      </c>
      <c r="M8" s="42">
        <f>L8*E8</f>
        <v>0</v>
      </c>
      <c r="N8" s="43"/>
      <c r="O8" s="44"/>
      <c r="P8" s="45"/>
    </row>
    <row r="9" spans="1:16" ht="21.6" x14ac:dyDescent="0.25">
      <c r="A9" s="24"/>
      <c r="B9" s="5">
        <v>1.3</v>
      </c>
      <c r="C9" s="37" t="str">
        <f>+'[1]NO DELETE'!B23</f>
        <v>รื้อโครงสร้างถนน Pavement - In Place  เดิม</v>
      </c>
      <c r="D9" s="37"/>
      <c r="E9" s="46">
        <v>0</v>
      </c>
      <c r="F9" s="38" t="s">
        <v>17</v>
      </c>
      <c r="G9" s="39">
        <f>IF(E9&lt;=0,0,)</f>
        <v>0</v>
      </c>
      <c r="H9" s="47">
        <f>+IF(E9&gt;0,IF('[1]NO DELETE'!A23=1,'[1]ต้นทุนถนน AC.'!Q77,'[1]ต้นทุนถนน AC.'!Q78),)</f>
        <v>0</v>
      </c>
      <c r="I9" s="40">
        <f>(G9+H9)</f>
        <v>0</v>
      </c>
      <c r="J9" s="41">
        <f t="shared" si="0"/>
        <v>0</v>
      </c>
      <c r="K9" s="32">
        <f>IF(E9&gt;0,[1]S2!$BJ$22,)</f>
        <v>0</v>
      </c>
      <c r="L9" s="42">
        <f t="shared" ref="L9:L21" si="1">K9*I9</f>
        <v>0</v>
      </c>
      <c r="M9" s="42">
        <f t="shared" ref="M9:M43" si="2">L9*E9</f>
        <v>0</v>
      </c>
      <c r="N9" s="48"/>
      <c r="O9" s="49"/>
      <c r="P9" s="5"/>
    </row>
    <row r="10" spans="1:16" ht="21.6" x14ac:dyDescent="0.25">
      <c r="A10" s="50"/>
      <c r="B10" s="5">
        <v>1.4</v>
      </c>
      <c r="C10" s="37" t="s">
        <v>18</v>
      </c>
      <c r="D10" s="49"/>
      <c r="E10" s="46">
        <f>[1]BackupAC!L32</f>
        <v>0</v>
      </c>
      <c r="F10" s="38" t="s">
        <v>19</v>
      </c>
      <c r="G10" s="39">
        <f>IF(E10&lt;=0,0,0)</f>
        <v>0</v>
      </c>
      <c r="H10" s="47">
        <f>IF(E10&gt;0,'[1]ต้นทุนถนน AC.'!$Q$34,0)</f>
        <v>0</v>
      </c>
      <c r="I10" s="40">
        <f t="shared" ref="I10:I30" si="3">(G10+H10)</f>
        <v>0</v>
      </c>
      <c r="J10" s="41">
        <f>E10*I10</f>
        <v>0</v>
      </c>
      <c r="K10" s="32">
        <f>IF(E10&gt;0,[1]S2!$BJ$22,)</f>
        <v>0</v>
      </c>
      <c r="L10" s="42">
        <f t="shared" si="1"/>
        <v>0</v>
      </c>
      <c r="M10" s="42">
        <f t="shared" si="2"/>
        <v>0</v>
      </c>
      <c r="N10" s="43"/>
      <c r="O10" s="44"/>
      <c r="P10" s="51"/>
    </row>
    <row r="11" spans="1:16" ht="21.6" x14ac:dyDescent="0.25">
      <c r="A11" s="50"/>
      <c r="B11" s="5">
        <v>1.5</v>
      </c>
      <c r="C11" s="37" t="s">
        <v>20</v>
      </c>
      <c r="D11" s="49"/>
      <c r="E11" s="46">
        <v>0</v>
      </c>
      <c r="F11" s="38" t="s">
        <v>19</v>
      </c>
      <c r="G11" s="39">
        <f>IF(E11&lt;=0,0,0)</f>
        <v>0</v>
      </c>
      <c r="H11" s="47">
        <f>IF(E11&gt;0,'[1]ต้นทุนถนน AC.'!$Q$20,0)</f>
        <v>0</v>
      </c>
      <c r="I11" s="40">
        <f t="shared" si="3"/>
        <v>0</v>
      </c>
      <c r="J11" s="41">
        <f>E11*I11</f>
        <v>0</v>
      </c>
      <c r="K11" s="32">
        <f>IF(E11&gt;0,[1]S2!$BJ$22,)</f>
        <v>0</v>
      </c>
      <c r="L11" s="42">
        <f t="shared" si="1"/>
        <v>0</v>
      </c>
      <c r="M11" s="42">
        <f t="shared" si="2"/>
        <v>0</v>
      </c>
      <c r="N11" s="43"/>
      <c r="O11" s="44"/>
      <c r="P11" s="51"/>
    </row>
    <row r="12" spans="1:16" ht="21.6" x14ac:dyDescent="0.25">
      <c r="A12" s="50"/>
      <c r="B12" s="5">
        <v>1.6</v>
      </c>
      <c r="C12" s="37" t="s">
        <v>21</v>
      </c>
      <c r="D12" s="49"/>
      <c r="E12" s="46">
        <v>0</v>
      </c>
      <c r="F12" s="38" t="s">
        <v>19</v>
      </c>
      <c r="G12" s="39">
        <f>IF(E12&lt;=0,0,+'[1]ต้นทุนถนน AC.'!$Q$14)</f>
        <v>0</v>
      </c>
      <c r="H12" s="39">
        <f>IF(E12&lt;=0,0,+'[1]ต้นทุนถนน AC.'!$Q$15)</f>
        <v>0</v>
      </c>
      <c r="I12" s="40">
        <f t="shared" si="3"/>
        <v>0</v>
      </c>
      <c r="J12" s="41">
        <f>E12*I12</f>
        <v>0</v>
      </c>
      <c r="K12" s="32">
        <f>IF(E12&gt;0,[1]S2!$BJ$22,)</f>
        <v>0</v>
      </c>
      <c r="L12" s="42">
        <f t="shared" si="1"/>
        <v>0</v>
      </c>
      <c r="M12" s="42">
        <f t="shared" si="2"/>
        <v>0</v>
      </c>
      <c r="N12" s="43"/>
      <c r="O12" s="44"/>
      <c r="P12" s="45"/>
    </row>
    <row r="13" spans="1:16" ht="21.6" x14ac:dyDescent="0.25">
      <c r="A13" s="52"/>
      <c r="B13" s="5">
        <v>1.7</v>
      </c>
      <c r="C13" s="37" t="s">
        <v>22</v>
      </c>
      <c r="D13" s="49"/>
      <c r="E13" s="46">
        <v>0</v>
      </c>
      <c r="F13" s="38" t="s">
        <v>19</v>
      </c>
      <c r="G13" s="39">
        <f>IF(E13&lt;=0,0,'[1]ต้นทุนถนน AC.'!$Q$25)</f>
        <v>0</v>
      </c>
      <c r="H13" s="39">
        <f>IF(E13&lt;=0,0,'[1]ต้นทุนถนน AC.'!$Q$26)</f>
        <v>0</v>
      </c>
      <c r="I13" s="40">
        <f t="shared" si="3"/>
        <v>0</v>
      </c>
      <c r="J13" s="41">
        <f t="shared" si="0"/>
        <v>0</v>
      </c>
      <c r="K13" s="32">
        <f>IF(E13&gt;0,[1]S2!$BJ$22,)</f>
        <v>0</v>
      </c>
      <c r="L13" s="42">
        <f t="shared" si="1"/>
        <v>0</v>
      </c>
      <c r="M13" s="42">
        <f t="shared" si="2"/>
        <v>0</v>
      </c>
      <c r="N13" s="48"/>
      <c r="O13" s="49"/>
      <c r="P13" s="5"/>
    </row>
    <row r="14" spans="1:16" ht="21.6" x14ac:dyDescent="0.25">
      <c r="A14" s="52"/>
      <c r="B14" s="5">
        <v>1.8</v>
      </c>
      <c r="C14" s="37" t="s">
        <v>23</v>
      </c>
      <c r="D14" s="37"/>
      <c r="E14" s="46">
        <v>0</v>
      </c>
      <c r="F14" s="38" t="s">
        <v>19</v>
      </c>
      <c r="G14" s="39">
        <f>IF(E14&lt;=0,0,+'[1]ต้นทุนถนน AC.'!$Q$46)</f>
        <v>0</v>
      </c>
      <c r="H14" s="39">
        <f>IF(E14&lt;=0,0,+'[1]ต้นทุนถนน AC.'!$Q$47)</f>
        <v>0</v>
      </c>
      <c r="I14" s="40">
        <f t="shared" si="3"/>
        <v>0</v>
      </c>
      <c r="J14" s="41">
        <f t="shared" si="0"/>
        <v>0</v>
      </c>
      <c r="K14" s="32">
        <f>IF(E14&gt;0,[1]S2!$BJ$22,)</f>
        <v>0</v>
      </c>
      <c r="L14" s="42">
        <f t="shared" si="1"/>
        <v>0</v>
      </c>
      <c r="M14" s="42">
        <f t="shared" si="2"/>
        <v>0</v>
      </c>
      <c r="N14" s="48"/>
      <c r="O14" s="49"/>
      <c r="P14" s="5"/>
    </row>
    <row r="15" spans="1:16" ht="21.6" x14ac:dyDescent="0.25">
      <c r="A15" s="52"/>
      <c r="B15" s="5">
        <v>1.9</v>
      </c>
      <c r="C15" s="37" t="s">
        <v>24</v>
      </c>
      <c r="D15" s="37"/>
      <c r="E15" s="46">
        <v>0</v>
      </c>
      <c r="F15" s="38" t="s">
        <v>19</v>
      </c>
      <c r="G15" s="39">
        <f>IF(E15&lt;=0,0,+'[1]ต้นทุนถนน AC.'!$Q$51)</f>
        <v>0</v>
      </c>
      <c r="H15" s="39">
        <f>IF(E15&lt;=0,0,+'[1]ต้นทุนถนน AC.'!$Q$52+'[1]ต้นทุนถนน AC.'!$Q$53)</f>
        <v>0</v>
      </c>
      <c r="I15" s="40">
        <f t="shared" si="3"/>
        <v>0</v>
      </c>
      <c r="J15" s="41">
        <f t="shared" si="0"/>
        <v>0</v>
      </c>
      <c r="K15" s="32">
        <f>IF(E15&gt;0,[1]S2!$BJ$22,)</f>
        <v>0</v>
      </c>
      <c r="L15" s="42">
        <f t="shared" si="1"/>
        <v>0</v>
      </c>
      <c r="M15" s="42">
        <f t="shared" si="2"/>
        <v>0</v>
      </c>
      <c r="N15" s="53"/>
      <c r="O15" s="49"/>
      <c r="P15" s="5"/>
    </row>
    <row r="16" spans="1:16" ht="21.6" x14ac:dyDescent="0.25">
      <c r="A16" s="52"/>
      <c r="B16" s="54">
        <v>1.1000000000000001</v>
      </c>
      <c r="C16" s="37" t="s">
        <v>25</v>
      </c>
      <c r="D16" s="37"/>
      <c r="E16" s="46">
        <v>0</v>
      </c>
      <c r="F16" s="38" t="s">
        <v>19</v>
      </c>
      <c r="G16" s="39">
        <f>IF(E16&lt;=0,0,+'[1]ต้นทุนถนน AC.'!$Q$57)</f>
        <v>0</v>
      </c>
      <c r="H16" s="39">
        <f>IF(E16&lt;=0,0,+'[1]ต้นทุนถนน AC.'!$Q$58)</f>
        <v>0</v>
      </c>
      <c r="I16" s="40">
        <f t="shared" si="3"/>
        <v>0</v>
      </c>
      <c r="J16" s="41">
        <f t="shared" si="0"/>
        <v>0</v>
      </c>
      <c r="K16" s="32">
        <f>IF(E16&gt;0,[1]S2!$BJ$22,)</f>
        <v>0</v>
      </c>
      <c r="L16" s="42">
        <f t="shared" si="1"/>
        <v>0</v>
      </c>
      <c r="M16" s="42">
        <f t="shared" si="2"/>
        <v>0</v>
      </c>
      <c r="N16" s="53"/>
      <c r="O16" s="49"/>
      <c r="P16" s="5"/>
    </row>
    <row r="17" spans="1:16" ht="21.6" x14ac:dyDescent="0.25">
      <c r="A17" s="50"/>
      <c r="B17" s="5">
        <v>1.1100000000000001</v>
      </c>
      <c r="C17" s="37" t="s">
        <v>26</v>
      </c>
      <c r="D17" s="37"/>
      <c r="E17" s="46">
        <f>[1]BackupAC!J30</f>
        <v>0</v>
      </c>
      <c r="F17" s="38" t="s">
        <v>19</v>
      </c>
      <c r="G17" s="39">
        <f>IF(E17&lt;=0,0,'[1]ต้นทุนถนน AC.'!$Q$91)</f>
        <v>0</v>
      </c>
      <c r="H17" s="39">
        <v>0</v>
      </c>
      <c r="I17" s="40">
        <f t="shared" si="3"/>
        <v>0</v>
      </c>
      <c r="J17" s="41">
        <f>E17*I17</f>
        <v>0</v>
      </c>
      <c r="K17" s="32">
        <f>IF(E17&gt;0,[1]S2!$BJ$22,)</f>
        <v>0</v>
      </c>
      <c r="L17" s="42">
        <f t="shared" si="1"/>
        <v>0</v>
      </c>
      <c r="M17" s="42">
        <f t="shared" si="2"/>
        <v>0</v>
      </c>
      <c r="N17" s="266" t="s">
        <v>27</v>
      </c>
      <c r="O17" s="267"/>
      <c r="P17" s="45"/>
    </row>
    <row r="18" spans="1:16" ht="21.6" x14ac:dyDescent="0.25">
      <c r="A18" s="52"/>
      <c r="B18" s="54">
        <v>1.1200000000000001</v>
      </c>
      <c r="C18" s="37" t="str">
        <f>+'[1]NO DELETE'!B152</f>
        <v>งาน SKIN PATCH</v>
      </c>
      <c r="D18" s="37"/>
      <c r="E18" s="46">
        <v>0</v>
      </c>
      <c r="F18" s="38" t="str">
        <f>+IF('[1]NO DELETE'!$A$152=1,"ตร.ม.","ตัน")</f>
        <v>ตร.ม.</v>
      </c>
      <c r="G18" s="39">
        <v>0</v>
      </c>
      <c r="H18" s="39">
        <v>0</v>
      </c>
      <c r="I18" s="40">
        <f>+IF(E18&gt;0,'[1]NO DELETE'!B153,)</f>
        <v>0</v>
      </c>
      <c r="J18" s="41">
        <f t="shared" si="0"/>
        <v>0</v>
      </c>
      <c r="K18" s="32">
        <f>IF(E18&gt;0,[1]S2!$BJ$22,)</f>
        <v>0</v>
      </c>
      <c r="L18" s="42">
        <f t="shared" si="1"/>
        <v>0</v>
      </c>
      <c r="M18" s="42">
        <f t="shared" si="2"/>
        <v>0</v>
      </c>
      <c r="N18" s="48"/>
      <c r="O18" s="49"/>
      <c r="P18" s="5"/>
    </row>
    <row r="19" spans="1:16" ht="21.6" x14ac:dyDescent="0.25">
      <c r="A19" s="52"/>
      <c r="B19" s="5">
        <v>1.1299999999999999</v>
      </c>
      <c r="C19" s="37" t="s">
        <v>28</v>
      </c>
      <c r="D19" s="37"/>
      <c r="E19" s="46">
        <v>0</v>
      </c>
      <c r="F19" s="38" t="s">
        <v>17</v>
      </c>
      <c r="G19" s="39">
        <f>IF(E19&lt;=0,0,SUM('[1]ต้นทุนถนน AC.'!$Q$62:$Q$65))</f>
        <v>0</v>
      </c>
      <c r="H19" s="39">
        <f>IF(E19&lt;=0,0,SUM('[1]ต้นทุนถนน AC.'!$Q$66:$Q$67))</f>
        <v>0</v>
      </c>
      <c r="I19" s="40">
        <f t="shared" si="3"/>
        <v>0</v>
      </c>
      <c r="J19" s="41">
        <f t="shared" si="0"/>
        <v>0</v>
      </c>
      <c r="K19" s="32">
        <f>IF(E19&gt;0,[1]S2!$BJ$22,)</f>
        <v>0</v>
      </c>
      <c r="L19" s="42">
        <f t="shared" si="1"/>
        <v>0</v>
      </c>
      <c r="M19" s="42">
        <f t="shared" si="2"/>
        <v>0</v>
      </c>
      <c r="N19" s="48"/>
      <c r="O19" s="49"/>
      <c r="P19" s="5"/>
    </row>
    <row r="20" spans="1:16" ht="21.6" x14ac:dyDescent="0.25">
      <c r="A20" s="52"/>
      <c r="B20" s="54">
        <v>1.1399999999999999</v>
      </c>
      <c r="C20" s="37" t="str">
        <f>"งาน Pavement In - Place Recycling( "&amp;'[1]ต้นทุนถนน AC.'!F121&amp;"0 %)"</f>
        <v>งาน Pavement In - Place Recycling( 0.0350 %)</v>
      </c>
      <c r="D20" s="37"/>
      <c r="E20" s="46">
        <f>[1]BackupAC!G30+[1]BackupAC!H30</f>
        <v>0</v>
      </c>
      <c r="F20" s="38" t="s">
        <v>17</v>
      </c>
      <c r="G20" s="39">
        <f>IF(E20&lt;=0,0,'[1]ต้นทุนถนน AC.'!Q123)</f>
        <v>0</v>
      </c>
      <c r="H20" s="39">
        <f>IF(E20&lt;=0,0,'[1]ต้นทุนถนน AC.'!Q119+'[1]ต้นทุนถนน AC.'!Q124)</f>
        <v>0</v>
      </c>
      <c r="I20" s="40">
        <f>(G20+H20)</f>
        <v>0</v>
      </c>
      <c r="J20" s="41">
        <f>E20*I20</f>
        <v>0</v>
      </c>
      <c r="K20" s="32">
        <f>IF(E20&gt;0,[1]S2!$BJ$22,)</f>
        <v>0</v>
      </c>
      <c r="L20" s="42">
        <f t="shared" si="1"/>
        <v>0</v>
      </c>
      <c r="M20" s="42">
        <f t="shared" si="2"/>
        <v>0</v>
      </c>
      <c r="N20" s="241" t="str">
        <f>+VLOOKUP('[1]NO DELETE'!A60,'[1]NO DELETE'!A56:B59,2)</f>
        <v>ลึก 20 ซม.</v>
      </c>
      <c r="O20" s="242"/>
      <c r="P20" s="5"/>
    </row>
    <row r="21" spans="1:16" ht="21.6" x14ac:dyDescent="0.25">
      <c r="A21" s="52"/>
      <c r="B21" s="5">
        <v>1.1499999999999999</v>
      </c>
      <c r="C21" s="37" t="str">
        <f>"งาน "&amp;N21</f>
        <v>งาน Milling  5 cm.</v>
      </c>
      <c r="D21" s="37"/>
      <c r="E21" s="46">
        <v>0</v>
      </c>
      <c r="F21" s="38" t="s">
        <v>17</v>
      </c>
      <c r="G21" s="39">
        <v>0</v>
      </c>
      <c r="H21" s="39">
        <f>IF(E21&lt;=0,0,'[1]ต้นทุนถนน AC.'!Q89)</f>
        <v>0</v>
      </c>
      <c r="I21" s="40">
        <f t="shared" si="3"/>
        <v>0</v>
      </c>
      <c r="J21" s="41">
        <f>E21*I21</f>
        <v>0</v>
      </c>
      <c r="K21" s="32">
        <f>IF(E21&gt;0,[1]S2!$BJ$22,)</f>
        <v>0</v>
      </c>
      <c r="L21" s="42">
        <f t="shared" si="1"/>
        <v>0</v>
      </c>
      <c r="M21" s="42">
        <f t="shared" si="2"/>
        <v>0</v>
      </c>
      <c r="N21" s="268" t="str">
        <f>+VLOOKUP('[1]NO DELETE'!A65,'[1]NO DELETE'!A63:B64,2)</f>
        <v>Milling  5 cm.</v>
      </c>
      <c r="O21" s="269"/>
      <c r="P21" s="5"/>
    </row>
    <row r="22" spans="1:16" ht="21.6" x14ac:dyDescent="0.25">
      <c r="A22" s="55">
        <v>2</v>
      </c>
      <c r="B22" s="270" t="s">
        <v>29</v>
      </c>
      <c r="C22" s="270"/>
      <c r="D22" s="56"/>
      <c r="E22" s="57"/>
      <c r="F22" s="52"/>
      <c r="G22" s="58"/>
      <c r="H22" s="58"/>
      <c r="I22" s="58"/>
      <c r="J22" s="58"/>
      <c r="K22" s="59"/>
      <c r="L22" s="60"/>
      <c r="M22" s="60"/>
      <c r="N22" s="53"/>
      <c r="O22" s="56"/>
      <c r="P22" s="5"/>
    </row>
    <row r="23" spans="1:16" ht="21.6" x14ac:dyDescent="0.25">
      <c r="A23" s="52"/>
      <c r="B23" s="5">
        <v>2.1</v>
      </c>
      <c r="C23" s="25" t="s">
        <v>30</v>
      </c>
      <c r="D23" s="25"/>
      <c r="E23" s="26">
        <f>[1]BackupAC!G30</f>
        <v>0</v>
      </c>
      <c r="F23" s="27" t="s">
        <v>17</v>
      </c>
      <c r="G23" s="28">
        <f>IF(E23&lt;=0,0,+'[1]ต้นทุนถนน AC.'!$Q$101)</f>
        <v>0</v>
      </c>
      <c r="H23" s="28">
        <f>IF(E23&lt;=0,0,+[1]S2!$BF$28)</f>
        <v>0</v>
      </c>
      <c r="I23" s="30">
        <f t="shared" si="3"/>
        <v>0</v>
      </c>
      <c r="J23" s="31">
        <f>E23*I23</f>
        <v>0</v>
      </c>
      <c r="K23" s="32">
        <f>IF(E23&gt;0,[1]S2!$BJ$22,)</f>
        <v>0</v>
      </c>
      <c r="L23" s="33">
        <f>K23*I23</f>
        <v>0</v>
      </c>
      <c r="M23" s="33">
        <f t="shared" si="2"/>
        <v>0</v>
      </c>
      <c r="N23" s="34"/>
      <c r="O23" s="35"/>
      <c r="P23" s="5"/>
    </row>
    <row r="24" spans="1:16" ht="21.6" x14ac:dyDescent="0.25">
      <c r="A24" s="52"/>
      <c r="B24" s="5">
        <v>2.2000000000000002</v>
      </c>
      <c r="C24" s="37" t="s">
        <v>31</v>
      </c>
      <c r="D24" s="49"/>
      <c r="E24" s="46">
        <f>[1]BackupAC!G14</f>
        <v>2112</v>
      </c>
      <c r="F24" s="38" t="s">
        <v>17</v>
      </c>
      <c r="G24" s="39"/>
      <c r="H24" s="39"/>
      <c r="I24" s="40">
        <f t="shared" si="3"/>
        <v>0</v>
      </c>
      <c r="J24" s="41">
        <f>E24*I24</f>
        <v>0</v>
      </c>
      <c r="K24" s="32"/>
      <c r="L24" s="42">
        <f>K24*I24</f>
        <v>0</v>
      </c>
      <c r="M24" s="42">
        <f t="shared" si="2"/>
        <v>0</v>
      </c>
      <c r="N24" s="48"/>
      <c r="O24" s="49"/>
      <c r="P24" s="5"/>
    </row>
    <row r="25" spans="1:16" ht="21.6" x14ac:dyDescent="0.25">
      <c r="A25" s="52"/>
      <c r="B25" s="5">
        <v>2.2999999999999998</v>
      </c>
      <c r="C25" s="5" t="str">
        <f>+IF('[1]NO DELETE'!$A$95=1,'[1]NO DELETE'!$B$95,IF('[1]NO DELETE'!$A$95=2,'[1]NO DELETE'!$B$96,'[1]NO DELETE'!$B$97))</f>
        <v>Asphaltic  Concrete(Wearing Course)</v>
      </c>
      <c r="D25" s="5"/>
      <c r="E25" s="61"/>
      <c r="F25" s="52"/>
      <c r="G25" s="58"/>
      <c r="H25" s="58"/>
      <c r="I25" s="58"/>
      <c r="J25" s="58"/>
      <c r="K25" s="59"/>
      <c r="L25" s="60"/>
      <c r="M25" s="60"/>
      <c r="N25" s="53"/>
      <c r="O25" s="56"/>
      <c r="P25" s="5"/>
    </row>
    <row r="26" spans="1:16" ht="25.2" x14ac:dyDescent="0.25">
      <c r="A26" s="52"/>
      <c r="B26" s="5"/>
      <c r="C26" s="25" t="str">
        <f>+IF('[1]NO DELETE'!$A$95=1,'[1]NO DELETE'!$B$98,IF('[1]NO DELETE'!$A$95=2,'[1]NO DELETE'!$B$99,'[1]NO DELETE'!$B$100))</f>
        <v xml:space="preserve"> -  Asphaltic  Concrete  (ปูบน Prime  Coat)</v>
      </c>
      <c r="D26" s="35"/>
      <c r="E26" s="62">
        <f>+E23</f>
        <v>0</v>
      </c>
      <c r="F26" s="27" t="s">
        <v>17</v>
      </c>
      <c r="G26" s="28">
        <v>0</v>
      </c>
      <c r="H26" s="28">
        <v>0</v>
      </c>
      <c r="I26" s="30">
        <f>+IF(E26&gt;0,'[1]ต้นทุนถนน AC.'!$Q$138,0)</f>
        <v>0</v>
      </c>
      <c r="J26" s="31">
        <f>E26*I26</f>
        <v>0</v>
      </c>
      <c r="K26" s="32">
        <f>IF(E26&gt;0,[1]S2!$BJ$22,)</f>
        <v>0</v>
      </c>
      <c r="L26" s="33">
        <f>K26*I26</f>
        <v>0</v>
      </c>
      <c r="M26" s="31">
        <f t="shared" si="2"/>
        <v>0</v>
      </c>
      <c r="N26" s="63">
        <f>'[1]NO DELETE'!L52</f>
        <v>5</v>
      </c>
      <c r="O26" s="35" t="s">
        <v>32</v>
      </c>
      <c r="P26" s="5"/>
    </row>
    <row r="27" spans="1:16" ht="25.2" x14ac:dyDescent="0.25">
      <c r="A27" s="52"/>
      <c r="B27" s="5"/>
      <c r="C27" s="37" t="str">
        <f>+IF('[1]NO DELETE'!$A$95=1,'[1]NO DELETE'!$B$101,IF('[1]NO DELETE'!$A$95=2,'[1]NO DELETE'!$B$102,'[1]NO DELETE'!$B$103))</f>
        <v xml:space="preserve"> -  Asphaltic  Concrete  (ปูบน Tack  Coat)</v>
      </c>
      <c r="D27" s="49"/>
      <c r="E27" s="64">
        <f>+E24</f>
        <v>2112</v>
      </c>
      <c r="F27" s="38" t="s">
        <v>17</v>
      </c>
      <c r="G27" s="28">
        <v>0</v>
      </c>
      <c r="H27" s="28">
        <v>0</v>
      </c>
      <c r="I27" s="30"/>
      <c r="J27" s="41">
        <f>E27*I27</f>
        <v>0</v>
      </c>
      <c r="K27" s="32"/>
      <c r="L27" s="42">
        <f>K27*I27</f>
        <v>0</v>
      </c>
      <c r="M27" s="41">
        <f t="shared" si="2"/>
        <v>0</v>
      </c>
      <c r="N27" s="65">
        <f>'[1]NO DELETE'!L53</f>
        <v>5</v>
      </c>
      <c r="O27" s="49" t="s">
        <v>32</v>
      </c>
      <c r="P27" s="5"/>
    </row>
    <row r="28" spans="1:16" ht="21.6" x14ac:dyDescent="0.25">
      <c r="A28" s="55">
        <v>3</v>
      </c>
      <c r="B28" s="66" t="s">
        <v>33</v>
      </c>
      <c r="C28" s="67"/>
      <c r="D28" s="5"/>
      <c r="E28" s="61"/>
      <c r="F28" s="24"/>
      <c r="G28" s="58"/>
      <c r="H28" s="58"/>
      <c r="I28" s="68"/>
      <c r="J28" s="58"/>
      <c r="K28" s="59"/>
      <c r="L28" s="60"/>
      <c r="M28" s="60"/>
      <c r="N28" s="53"/>
      <c r="O28" s="56"/>
      <c r="P28" s="5"/>
    </row>
    <row r="29" spans="1:16" ht="21.6" x14ac:dyDescent="0.25">
      <c r="A29" s="52"/>
      <c r="B29" s="5">
        <v>3.1</v>
      </c>
      <c r="C29" s="69" t="s">
        <v>30</v>
      </c>
      <c r="D29" s="25"/>
      <c r="E29" s="26">
        <f>[1]BackupAC!H30</f>
        <v>0</v>
      </c>
      <c r="F29" s="27" t="s">
        <v>17</v>
      </c>
      <c r="G29" s="28">
        <f>IF(E29&lt;=0,0,+'[1]ต้นทุนถนน AC.'!$Q$101)</f>
        <v>0</v>
      </c>
      <c r="H29" s="28">
        <f>IF(E29&lt;=0,0,+[1]S2!$BF$28)</f>
        <v>0</v>
      </c>
      <c r="I29" s="30">
        <f t="shared" si="3"/>
        <v>0</v>
      </c>
      <c r="J29" s="31">
        <f>E29*I29</f>
        <v>0</v>
      </c>
      <c r="K29" s="32">
        <f>IF(E29&gt;0,[1]S2!$BJ$22,)</f>
        <v>0</v>
      </c>
      <c r="L29" s="33">
        <f>K29*I29</f>
        <v>0</v>
      </c>
      <c r="M29" s="31">
        <f t="shared" si="2"/>
        <v>0</v>
      </c>
      <c r="N29" s="34"/>
      <c r="O29" s="35"/>
      <c r="P29" s="5"/>
    </row>
    <row r="30" spans="1:16" ht="21.6" x14ac:dyDescent="0.25">
      <c r="A30" s="52"/>
      <c r="B30" s="5">
        <v>3.2</v>
      </c>
      <c r="C30" s="70" t="s">
        <v>31</v>
      </c>
      <c r="D30" s="37"/>
      <c r="E30" s="46">
        <f>[1]BackupAC!H14</f>
        <v>0</v>
      </c>
      <c r="F30" s="38" t="s">
        <v>17</v>
      </c>
      <c r="G30" s="39">
        <f>IF(E30&lt;=0,0,+'[1]ต้นทุนถนน AC.'!$Q$106)</f>
        <v>0</v>
      </c>
      <c r="H30" s="39">
        <f>IF(E30&lt;=0,0,+[1]S2!$BF$29)</f>
        <v>0</v>
      </c>
      <c r="I30" s="40">
        <f t="shared" si="3"/>
        <v>0</v>
      </c>
      <c r="J30" s="41">
        <f>E30*I30</f>
        <v>0</v>
      </c>
      <c r="K30" s="32">
        <f>IF(E30&gt;0,[1]S2!$BJ$22,)</f>
        <v>0</v>
      </c>
      <c r="L30" s="42">
        <f>K30*I30</f>
        <v>0</v>
      </c>
      <c r="M30" s="41">
        <f t="shared" si="2"/>
        <v>0</v>
      </c>
      <c r="N30" s="48"/>
      <c r="O30" s="49"/>
      <c r="P30" s="5"/>
    </row>
    <row r="31" spans="1:16" ht="21.6" x14ac:dyDescent="0.25">
      <c r="A31" s="52"/>
      <c r="B31" s="5">
        <v>3.3</v>
      </c>
      <c r="C31" s="37" t="str">
        <f>+$C$25</f>
        <v>Asphaltic  Concrete(Wearing Course)</v>
      </c>
      <c r="D31" s="37"/>
      <c r="E31" s="64"/>
      <c r="F31" s="38"/>
      <c r="G31" s="39"/>
      <c r="H31" s="39"/>
      <c r="I31" s="41"/>
      <c r="J31" s="41"/>
      <c r="K31" s="32"/>
      <c r="L31" s="42"/>
      <c r="M31" s="42"/>
      <c r="N31" s="48"/>
      <c r="O31" s="49"/>
      <c r="P31" s="5"/>
    </row>
    <row r="32" spans="1:16" ht="21.6" x14ac:dyDescent="0.65">
      <c r="A32" s="52"/>
      <c r="B32" s="5"/>
      <c r="C32" s="71" t="str">
        <f>+$C$26</f>
        <v xml:space="preserve"> -  Asphaltic  Concrete  (ปูบน Prime  Coat)</v>
      </c>
      <c r="D32" s="72"/>
      <c r="E32" s="64">
        <f>+E29</f>
        <v>0</v>
      </c>
      <c r="F32" s="38" t="s">
        <v>17</v>
      </c>
      <c r="G32" s="39">
        <v>0</v>
      </c>
      <c r="H32" s="28">
        <v>0</v>
      </c>
      <c r="I32" s="40">
        <f>+IF(E32&gt;0,'[1]ต้นทุนถนน AC.'!$Q$138,0)</f>
        <v>0</v>
      </c>
      <c r="J32" s="41">
        <f>E32*I32</f>
        <v>0</v>
      </c>
      <c r="K32" s="32">
        <f>IF(E32&gt;0,[1]S2!$BJ$22,)</f>
        <v>0</v>
      </c>
      <c r="L32" s="42">
        <f>K32*I32</f>
        <v>0</v>
      </c>
      <c r="M32" s="42">
        <f t="shared" si="2"/>
        <v>0</v>
      </c>
      <c r="N32" s="73">
        <f>+$N$26</f>
        <v>5</v>
      </c>
      <c r="O32" s="49" t="s">
        <v>32</v>
      </c>
      <c r="P32" s="5"/>
    </row>
    <row r="33" spans="1:16" ht="21.6" x14ac:dyDescent="0.65">
      <c r="A33" s="52"/>
      <c r="B33" s="5"/>
      <c r="C33" s="71" t="str">
        <f>+$C$27</f>
        <v xml:space="preserve"> -  Asphaltic  Concrete  (ปูบน Tack  Coat)</v>
      </c>
      <c r="D33" s="72"/>
      <c r="E33" s="64">
        <f>+E30</f>
        <v>0</v>
      </c>
      <c r="F33" s="38" t="s">
        <v>17</v>
      </c>
      <c r="G33" s="39">
        <v>0</v>
      </c>
      <c r="H33" s="28">
        <v>0</v>
      </c>
      <c r="I33" s="40">
        <f>+IF(E33&gt;0,'[1]ต้นทุนถนน AC.'!$Q$144,0)</f>
        <v>0</v>
      </c>
      <c r="J33" s="41">
        <f>E33*I33</f>
        <v>0</v>
      </c>
      <c r="K33" s="32">
        <f>IF(E33&gt;0,[1]S2!$BJ$22,)</f>
        <v>0</v>
      </c>
      <c r="L33" s="42">
        <f>K33*I33</f>
        <v>0</v>
      </c>
      <c r="M33" s="42">
        <f t="shared" si="2"/>
        <v>0</v>
      </c>
      <c r="N33" s="73">
        <f>+$N$27</f>
        <v>5</v>
      </c>
      <c r="O33" s="49" t="s">
        <v>32</v>
      </c>
      <c r="P33" s="5"/>
    </row>
    <row r="34" spans="1:16" ht="21.6" x14ac:dyDescent="0.25">
      <c r="A34" s="55">
        <v>4</v>
      </c>
      <c r="B34" s="66" t="s">
        <v>34</v>
      </c>
      <c r="C34" s="67"/>
      <c r="D34" s="5"/>
      <c r="E34" s="61"/>
      <c r="F34" s="52"/>
      <c r="G34" s="58"/>
      <c r="H34" s="58"/>
      <c r="I34" s="68"/>
      <c r="J34" s="58"/>
      <c r="K34" s="59"/>
      <c r="L34" s="60"/>
      <c r="M34" s="60"/>
      <c r="N34" s="53"/>
      <c r="O34" s="56"/>
      <c r="P34" s="5"/>
    </row>
    <row r="35" spans="1:16" ht="21.6" x14ac:dyDescent="0.25">
      <c r="A35" s="52"/>
      <c r="B35" s="5">
        <v>4.0999999999999996</v>
      </c>
      <c r="C35" s="25" t="s">
        <v>30</v>
      </c>
      <c r="D35" s="25"/>
      <c r="E35" s="26">
        <v>0</v>
      </c>
      <c r="F35" s="27" t="s">
        <v>17</v>
      </c>
      <c r="G35" s="28">
        <f>IF(E35&lt;=0,0,+'[1]ต้นทุนถนน AC.'!$Q$101)</f>
        <v>0</v>
      </c>
      <c r="H35" s="28">
        <f>IF(E35&lt;=0,0,+[1]S2!$BF$28)</f>
        <v>0</v>
      </c>
      <c r="I35" s="30">
        <f t="shared" ref="I35:I36" si="4">(G35+H35)</f>
        <v>0</v>
      </c>
      <c r="J35" s="31">
        <f>E35*I35</f>
        <v>0</v>
      </c>
      <c r="K35" s="32">
        <f>IF(E35&gt;0,[1]S2!$BJ$22,)</f>
        <v>0</v>
      </c>
      <c r="L35" s="33">
        <f>K35*I35</f>
        <v>0</v>
      </c>
      <c r="M35" s="33">
        <f t="shared" ref="M35:M38" si="5">L35*E35</f>
        <v>0</v>
      </c>
      <c r="N35" s="34"/>
      <c r="O35" s="35"/>
      <c r="P35" s="5"/>
    </row>
    <row r="36" spans="1:16" ht="21.6" x14ac:dyDescent="0.25">
      <c r="A36" s="52"/>
      <c r="B36" s="5">
        <v>4.2</v>
      </c>
      <c r="C36" s="37" t="s">
        <v>31</v>
      </c>
      <c r="D36" s="49"/>
      <c r="E36" s="46"/>
      <c r="F36" s="38" t="s">
        <v>17</v>
      </c>
      <c r="G36" s="39">
        <f>IF(E36&lt;=0,0,+'[1]ต้นทุนถนน AC.'!$Q$106)</f>
        <v>0</v>
      </c>
      <c r="H36" s="39">
        <f>IF(E36&lt;=0,0,+[1]S2!$BF$29)</f>
        <v>0</v>
      </c>
      <c r="I36" s="40">
        <f t="shared" si="4"/>
        <v>0</v>
      </c>
      <c r="J36" s="41">
        <f>E36*I36</f>
        <v>0</v>
      </c>
      <c r="K36" s="32">
        <f>IF(E36&gt;0,[1]S2!$BJ$22,)</f>
        <v>0</v>
      </c>
      <c r="L36" s="42">
        <f>K36*I36</f>
        <v>0</v>
      </c>
      <c r="M36" s="42">
        <f t="shared" si="5"/>
        <v>0</v>
      </c>
      <c r="N36" s="48"/>
      <c r="O36" s="49"/>
      <c r="P36" s="5"/>
    </row>
    <row r="37" spans="1:16" ht="25.2" x14ac:dyDescent="0.25">
      <c r="A37" s="52"/>
      <c r="B37" s="5"/>
      <c r="C37" s="25" t="str">
        <f>+IF('[1]NO DELETE'!$A$95=1,'[1]NO DELETE'!$B$98,IF('[1]NO DELETE'!$A$95=2,'[1]NO DELETE'!$B$99,'[1]NO DELETE'!$B$100))</f>
        <v xml:space="preserve"> -  Asphaltic  Concrete  (ปูบน Prime  Coat)</v>
      </c>
      <c r="D37" s="35"/>
      <c r="E37" s="62">
        <f>+E35</f>
        <v>0</v>
      </c>
      <c r="F37" s="27" t="s">
        <v>17</v>
      </c>
      <c r="G37" s="28">
        <v>0</v>
      </c>
      <c r="H37" s="28">
        <v>0</v>
      </c>
      <c r="I37" s="30">
        <f>+IF(E37&gt;0,'[1]ต้นทุนถนน AC.'!$Q$138,0)</f>
        <v>0</v>
      </c>
      <c r="J37" s="31">
        <f>E37*I37</f>
        <v>0</v>
      </c>
      <c r="K37" s="32">
        <f>IF(E37&gt;0,[1]S2!$BJ$22,)</f>
        <v>0</v>
      </c>
      <c r="L37" s="33">
        <f>K37*I37</f>
        <v>0</v>
      </c>
      <c r="M37" s="31">
        <f t="shared" si="5"/>
        <v>0</v>
      </c>
      <c r="N37" s="63"/>
      <c r="O37" s="35"/>
      <c r="P37" s="5"/>
    </row>
    <row r="38" spans="1:16" ht="25.2" x14ac:dyDescent="0.25">
      <c r="A38" s="52"/>
      <c r="B38" s="5"/>
      <c r="C38" s="37" t="str">
        <f>+IF('[1]NO DELETE'!$A$95=1,'[1]NO DELETE'!$B$101,IF('[1]NO DELETE'!$A$95=2,'[1]NO DELETE'!$B$102,'[1]NO DELETE'!$B$103))</f>
        <v xml:space="preserve"> -  Asphaltic  Concrete  (ปูบน Tack  Coat)</v>
      </c>
      <c r="D38" s="49"/>
      <c r="E38" s="64">
        <f>+E36</f>
        <v>0</v>
      </c>
      <c r="F38" s="38" t="s">
        <v>17</v>
      </c>
      <c r="G38" s="39">
        <v>0</v>
      </c>
      <c r="H38" s="28">
        <v>0</v>
      </c>
      <c r="I38" s="30">
        <f>+IF(E38&gt;0,'[1]ต้นทุนถนน AC.'!$Q$144,0)</f>
        <v>0</v>
      </c>
      <c r="J38" s="41">
        <f>E38*I38</f>
        <v>0</v>
      </c>
      <c r="K38" s="32">
        <f>IF(E38&gt;0,[1]S2!$BJ$22,)</f>
        <v>0</v>
      </c>
      <c r="L38" s="42">
        <f>K38*I38</f>
        <v>0</v>
      </c>
      <c r="M38" s="41">
        <f t="shared" si="5"/>
        <v>0</v>
      </c>
      <c r="N38" s="65">
        <f>N32</f>
        <v>5</v>
      </c>
      <c r="O38" s="49" t="str">
        <f>O32</f>
        <v>ซม.</v>
      </c>
      <c r="P38" s="5"/>
    </row>
    <row r="39" spans="1:16" ht="21.6" x14ac:dyDescent="0.25">
      <c r="A39" s="55">
        <v>5</v>
      </c>
      <c r="B39" s="74" t="s">
        <v>35</v>
      </c>
      <c r="C39" s="67"/>
      <c r="D39" s="5"/>
      <c r="E39" s="61"/>
      <c r="F39" s="52"/>
      <c r="G39" s="58"/>
      <c r="H39" s="58"/>
      <c r="I39" s="58"/>
      <c r="J39" s="58"/>
      <c r="K39" s="59"/>
      <c r="L39" s="60"/>
      <c r="M39" s="60"/>
      <c r="N39" s="53"/>
      <c r="O39" s="56"/>
      <c r="P39" s="5"/>
    </row>
    <row r="40" spans="1:16" ht="21.6" x14ac:dyDescent="0.25">
      <c r="A40" s="52"/>
      <c r="B40" s="5">
        <v>5.0999999999999996</v>
      </c>
      <c r="C40" s="25" t="s">
        <v>36</v>
      </c>
      <c r="D40" s="35"/>
      <c r="E40" s="75">
        <f>[1]BackupAC!E71</f>
        <v>118</v>
      </c>
      <c r="F40" s="27" t="s">
        <v>17</v>
      </c>
      <c r="G40" s="28">
        <v>0</v>
      </c>
      <c r="H40" s="28">
        <v>0</v>
      </c>
      <c r="I40" s="76"/>
      <c r="J40" s="31">
        <f>E40*I40</f>
        <v>0</v>
      </c>
      <c r="K40" s="32"/>
      <c r="L40" s="33">
        <f>K40*I40</f>
        <v>0</v>
      </c>
      <c r="M40" s="33">
        <f t="shared" si="2"/>
        <v>0</v>
      </c>
      <c r="N40" s="262"/>
      <c r="O40" s="263"/>
      <c r="P40" s="5"/>
    </row>
    <row r="41" spans="1:16" ht="21.6" x14ac:dyDescent="0.25">
      <c r="A41" s="52"/>
      <c r="B41" s="5">
        <v>5.2</v>
      </c>
      <c r="C41" s="25" t="s">
        <v>37</v>
      </c>
      <c r="D41" s="35"/>
      <c r="E41" s="46">
        <v>0</v>
      </c>
      <c r="F41" s="38" t="s">
        <v>38</v>
      </c>
      <c r="G41" s="39">
        <f>IF(E41&lt;=0,0,)</f>
        <v>0</v>
      </c>
      <c r="H41" s="39">
        <f>IF(E41&lt;=0,0,)</f>
        <v>0</v>
      </c>
      <c r="I41" s="76">
        <f>IF(E41&lt;=0,0,290*5.2)</f>
        <v>0</v>
      </c>
      <c r="J41" s="41">
        <f>E41*I41</f>
        <v>0</v>
      </c>
      <c r="K41" s="32">
        <f>IF(E41&gt;0,[1]S2!$BJ$22,)</f>
        <v>0</v>
      </c>
      <c r="L41" s="42">
        <f>K41*I41</f>
        <v>0</v>
      </c>
      <c r="M41" s="42">
        <f t="shared" si="2"/>
        <v>0</v>
      </c>
      <c r="N41" s="77"/>
      <c r="O41" s="78"/>
      <c r="P41" s="5"/>
    </row>
    <row r="42" spans="1:16" ht="21.6" x14ac:dyDescent="0.25">
      <c r="A42" s="52"/>
      <c r="B42" s="5">
        <v>5.3</v>
      </c>
      <c r="C42" s="25" t="s">
        <v>39</v>
      </c>
      <c r="D42" s="49"/>
      <c r="E42" s="79">
        <v>0</v>
      </c>
      <c r="F42" s="38" t="s">
        <v>17</v>
      </c>
      <c r="G42" s="39">
        <f>IF(E42&lt;=0,0,)</f>
        <v>0</v>
      </c>
      <c r="H42" s="39">
        <f>IF(E42&lt;=0,0,)</f>
        <v>0</v>
      </c>
      <c r="I42" s="76">
        <f>IF(E42&lt;=0,0,410)</f>
        <v>0</v>
      </c>
      <c r="J42" s="41">
        <f>E42*I42</f>
        <v>0</v>
      </c>
      <c r="K42" s="32">
        <f>IF(E42&gt;0,[1]S2!$BJ$22,)</f>
        <v>0</v>
      </c>
      <c r="L42" s="42">
        <f t="shared" ref="L42:L43" si="6">K42*I42</f>
        <v>0</v>
      </c>
      <c r="M42" s="42">
        <f t="shared" si="2"/>
        <v>0</v>
      </c>
      <c r="N42" s="77"/>
      <c r="O42" s="49"/>
      <c r="P42" s="5"/>
    </row>
    <row r="43" spans="1:16" ht="21.6" x14ac:dyDescent="0.25">
      <c r="A43" s="52"/>
      <c r="B43" s="5">
        <v>5.4</v>
      </c>
      <c r="C43" s="80" t="s">
        <v>40</v>
      </c>
      <c r="D43" s="81"/>
      <c r="E43" s="46">
        <v>0</v>
      </c>
      <c r="F43" s="82" t="s">
        <v>38</v>
      </c>
      <c r="G43" s="39">
        <f>IF(E43&lt;=0,0,)</f>
        <v>0</v>
      </c>
      <c r="H43" s="39">
        <f>IF(E43&lt;=0,0,)</f>
        <v>0</v>
      </c>
      <c r="I43" s="83">
        <f>IF(E43&lt;=0,0,2659)</f>
        <v>0</v>
      </c>
      <c r="J43" s="41">
        <f>E43*I43</f>
        <v>0</v>
      </c>
      <c r="K43" s="32">
        <f>IF(E43&gt;0,[1]S2!$BJ$22,)</f>
        <v>0</v>
      </c>
      <c r="L43" s="42">
        <f t="shared" si="6"/>
        <v>0</v>
      </c>
      <c r="M43" s="42">
        <f t="shared" si="2"/>
        <v>0</v>
      </c>
      <c r="N43" s="48"/>
      <c r="O43" s="49"/>
      <c r="P43" s="5"/>
    </row>
    <row r="44" spans="1:16" ht="21.6" x14ac:dyDescent="0.25">
      <c r="A44" s="55">
        <v>6</v>
      </c>
      <c r="B44" s="74" t="s">
        <v>41</v>
      </c>
      <c r="C44" s="5"/>
      <c r="D44" s="56"/>
      <c r="E44" s="61"/>
      <c r="F44" s="52"/>
      <c r="G44" s="58"/>
      <c r="H44" s="58"/>
      <c r="I44" s="58"/>
      <c r="J44" s="58"/>
      <c r="K44" s="59"/>
      <c r="L44" s="60"/>
      <c r="M44" s="60"/>
      <c r="N44" s="53"/>
      <c r="O44" s="56"/>
      <c r="P44" s="5"/>
    </row>
    <row r="45" spans="1:16" ht="21.6" x14ac:dyDescent="0.25">
      <c r="A45" s="84"/>
      <c r="B45" s="5">
        <v>6.1</v>
      </c>
      <c r="C45" s="5" t="s">
        <v>42</v>
      </c>
      <c r="D45" s="56"/>
      <c r="E45" s="61"/>
      <c r="F45" s="24"/>
      <c r="G45" s="58"/>
      <c r="H45" s="58"/>
      <c r="I45" s="58"/>
      <c r="J45" s="58"/>
      <c r="K45" s="59"/>
      <c r="L45" s="60"/>
      <c r="M45" s="60"/>
      <c r="N45" s="53"/>
      <c r="O45" s="56"/>
      <c r="P45" s="5"/>
    </row>
    <row r="46" spans="1:16" ht="21.6" x14ac:dyDescent="0.25">
      <c r="A46" s="52"/>
      <c r="B46" s="5"/>
      <c r="C46" s="85" t="s">
        <v>43</v>
      </c>
      <c r="D46" s="86" t="s">
        <v>44</v>
      </c>
      <c r="E46" s="26">
        <v>0</v>
      </c>
      <c r="F46" s="87" t="s">
        <v>45</v>
      </c>
      <c r="G46" s="28">
        <f>IF(E46&lt;=0,0,90)</f>
        <v>0</v>
      </c>
      <c r="H46" s="28">
        <f>IF(E46&lt;=0,0,20)</f>
        <v>0</v>
      </c>
      <c r="I46" s="31">
        <f>(G46+H46)</f>
        <v>0</v>
      </c>
      <c r="J46" s="31">
        <f>E46*I46</f>
        <v>0</v>
      </c>
      <c r="K46" s="32">
        <f>IF(E46&gt;0,[1]S2!$BJ$22,)</f>
        <v>0</v>
      </c>
      <c r="L46" s="33">
        <f>K46*I46</f>
        <v>0</v>
      </c>
      <c r="M46" s="33">
        <f>L46*E46</f>
        <v>0</v>
      </c>
      <c r="N46" s="34"/>
      <c r="O46" s="35"/>
      <c r="P46" s="5"/>
    </row>
    <row r="47" spans="1:16" ht="21.6" x14ac:dyDescent="0.25">
      <c r="A47" s="52"/>
      <c r="B47" s="5"/>
      <c r="C47" s="88" t="s">
        <v>46</v>
      </c>
      <c r="D47" s="89" t="s">
        <v>47</v>
      </c>
      <c r="E47" s="46">
        <v>0</v>
      </c>
      <c r="F47" s="82" t="s">
        <v>45</v>
      </c>
      <c r="G47" s="39">
        <f>IF(E47&lt;=0,0,325)</f>
        <v>0</v>
      </c>
      <c r="H47" s="39">
        <f>IF(E47&lt;=0,0,75)</f>
        <v>0</v>
      </c>
      <c r="I47" s="31">
        <f t="shared" ref="I47:I49" si="7">(G47+H47)</f>
        <v>0</v>
      </c>
      <c r="J47" s="41">
        <f>E47*I47</f>
        <v>0</v>
      </c>
      <c r="K47" s="32">
        <f>IF(E47&gt;0,[1]S2!$BJ$22,)</f>
        <v>0</v>
      </c>
      <c r="L47" s="42">
        <f>K47*I47</f>
        <v>0</v>
      </c>
      <c r="M47" s="42">
        <f>L47*E47</f>
        <v>0</v>
      </c>
      <c r="N47" s="48"/>
      <c r="O47" s="49"/>
      <c r="P47" s="5"/>
    </row>
    <row r="48" spans="1:16" ht="21.6" x14ac:dyDescent="0.25">
      <c r="A48" s="52"/>
      <c r="B48" s="5"/>
      <c r="C48" s="85" t="s">
        <v>48</v>
      </c>
      <c r="D48" s="89" t="s">
        <v>49</v>
      </c>
      <c r="E48" s="46">
        <v>0</v>
      </c>
      <c r="F48" s="82" t="s">
        <v>50</v>
      </c>
      <c r="G48" s="39">
        <f>IF(E48&lt;=0,0,)</f>
        <v>0</v>
      </c>
      <c r="H48" s="39">
        <f>ROUND(IF(E48&lt;=0,0,200),2)</f>
        <v>0</v>
      </c>
      <c r="I48" s="31">
        <f t="shared" si="7"/>
        <v>0</v>
      </c>
      <c r="J48" s="41">
        <f>E48*I48</f>
        <v>0</v>
      </c>
      <c r="K48" s="32">
        <f>IF(E48&gt;0,[1]S2!$BJ$22,)</f>
        <v>0</v>
      </c>
      <c r="L48" s="42">
        <f t="shared" ref="L48:L49" si="8">K48*I48</f>
        <v>0</v>
      </c>
      <c r="M48" s="42">
        <f>L48*E48</f>
        <v>0</v>
      </c>
      <c r="N48" s="48"/>
      <c r="O48" s="49"/>
      <c r="P48" s="5"/>
    </row>
    <row r="49" spans="1:16" ht="21.6" x14ac:dyDescent="0.25">
      <c r="A49" s="52"/>
      <c r="B49" s="5"/>
      <c r="C49" s="88" t="s">
        <v>51</v>
      </c>
      <c r="D49" s="89" t="s">
        <v>52</v>
      </c>
      <c r="E49" s="46">
        <v>0</v>
      </c>
      <c r="F49" s="82" t="s">
        <v>53</v>
      </c>
      <c r="G49" s="39">
        <f>IF(E49&lt;=0,0,)</f>
        <v>0</v>
      </c>
      <c r="H49" s="39">
        <f>ROUND(IF(E49&lt;=0,0,100),2)</f>
        <v>0</v>
      </c>
      <c r="I49" s="31">
        <f t="shared" si="7"/>
        <v>0</v>
      </c>
      <c r="J49" s="41">
        <f>E49*I49</f>
        <v>0</v>
      </c>
      <c r="K49" s="32">
        <f>IF(E49&gt;0,[1]S2!$BJ$22,)</f>
        <v>0</v>
      </c>
      <c r="L49" s="42">
        <f t="shared" si="8"/>
        <v>0</v>
      </c>
      <c r="M49" s="42">
        <f>L49*E49</f>
        <v>0</v>
      </c>
      <c r="N49" s="48"/>
      <c r="O49" s="49"/>
      <c r="P49" s="5"/>
    </row>
    <row r="50" spans="1:16" ht="21.6" x14ac:dyDescent="0.25">
      <c r="A50" s="52"/>
      <c r="B50" s="90">
        <v>6.2</v>
      </c>
      <c r="C50" s="5" t="s">
        <v>54</v>
      </c>
      <c r="D50" s="56"/>
      <c r="E50" s="91"/>
      <c r="F50" s="24"/>
      <c r="G50" s="58"/>
      <c r="H50" s="58"/>
      <c r="I50" s="58"/>
      <c r="J50" s="58"/>
      <c r="K50" s="59"/>
      <c r="L50" s="60"/>
      <c r="M50" s="60"/>
      <c r="N50" s="53"/>
      <c r="O50" s="56"/>
      <c r="P50" s="5"/>
    </row>
    <row r="51" spans="1:16" ht="21.6" x14ac:dyDescent="0.25">
      <c r="A51" s="52"/>
      <c r="B51" s="5"/>
      <c r="C51" s="85" t="s">
        <v>55</v>
      </c>
      <c r="D51" s="86" t="str">
        <f>+'[1]NO DELETE'!AL2</f>
        <v>ป้ายกำหนดน้ำหนักบรรทุก</v>
      </c>
      <c r="E51" s="26">
        <v>0</v>
      </c>
      <c r="F51" s="87" t="s">
        <v>50</v>
      </c>
      <c r="G51" s="28">
        <f t="shared" ref="G51:G89" si="9">IF(E51&lt;=0,0,)</f>
        <v>0</v>
      </c>
      <c r="H51" s="28">
        <f t="shared" ref="H51:H89" si="10">IF(E51&lt;=0,0,)</f>
        <v>0</v>
      </c>
      <c r="I51" s="76">
        <f>IF(E51&lt;=0,0,'[1]NO DELETE'!AM2)</f>
        <v>0</v>
      </c>
      <c r="J51" s="31">
        <f t="shared" ref="J51:J114" si="11">E51*I51</f>
        <v>0</v>
      </c>
      <c r="K51" s="32">
        <f>IF(E51&gt;0,[1]S2!$BJ$22,)</f>
        <v>0</v>
      </c>
      <c r="L51" s="33">
        <f>K51*I51</f>
        <v>0</v>
      </c>
      <c r="M51" s="33">
        <f t="shared" ref="M51:M97" si="12">L51*E51</f>
        <v>0</v>
      </c>
      <c r="N51" s="247"/>
      <c r="O51" s="248"/>
      <c r="P51" s="5"/>
    </row>
    <row r="52" spans="1:16" ht="21.6" x14ac:dyDescent="0.25">
      <c r="A52" s="52"/>
      <c r="B52" s="5"/>
      <c r="C52" s="88" t="s">
        <v>56</v>
      </c>
      <c r="D52" s="89" t="str">
        <f>+'[1]NO DELETE'!AL4</f>
        <v>ป้ายจราจรแบบ บ 1</v>
      </c>
      <c r="E52" s="26">
        <v>0</v>
      </c>
      <c r="F52" s="87" t="s">
        <v>50</v>
      </c>
      <c r="G52" s="39">
        <f t="shared" si="9"/>
        <v>0</v>
      </c>
      <c r="H52" s="39">
        <f t="shared" si="10"/>
        <v>0</v>
      </c>
      <c r="I52" s="83">
        <v>0</v>
      </c>
      <c r="J52" s="41">
        <f t="shared" si="11"/>
        <v>0</v>
      </c>
      <c r="K52" s="32">
        <f>IF(E52&gt;0,[1]S2!$BJ$22,)</f>
        <v>0</v>
      </c>
      <c r="L52" s="42">
        <f>K52*I52</f>
        <v>0</v>
      </c>
      <c r="M52" s="42">
        <f t="shared" si="12"/>
        <v>0</v>
      </c>
      <c r="N52" s="264" t="str">
        <f>+VLOOKUP('[1]NO DELETE'!$A$109,'[1]NO DELETE'!$K$56:$L$58,2)</f>
        <v>SIZE 2</v>
      </c>
      <c r="O52" s="265"/>
      <c r="P52" s="5"/>
    </row>
    <row r="53" spans="1:16" ht="21.6" x14ac:dyDescent="0.25">
      <c r="A53" s="52"/>
      <c r="B53" s="5"/>
      <c r="C53" s="85" t="s">
        <v>57</v>
      </c>
      <c r="D53" s="89" t="str">
        <f>+'[1]NO DELETE'!AL5</f>
        <v>ป้ายจราจรแบบ บ 1/1</v>
      </c>
      <c r="E53" s="26">
        <v>0</v>
      </c>
      <c r="F53" s="87" t="s">
        <v>50</v>
      </c>
      <c r="G53" s="39">
        <f t="shared" si="9"/>
        <v>0</v>
      </c>
      <c r="H53" s="39">
        <f t="shared" si="10"/>
        <v>0</v>
      </c>
      <c r="I53" s="83">
        <f>IF(E53&lt;=0,0,IF('[1]NO DELETE'!$A$109=1,'[1]NO DELETE'!AM5,IF('[1]NO DELETE'!$A$109=2,'[1]NO DELETE'!AN5,'[1]NO DELETE'!AO5)))</f>
        <v>0</v>
      </c>
      <c r="J53" s="41">
        <f t="shared" si="11"/>
        <v>0</v>
      </c>
      <c r="K53" s="32">
        <f>IF(E53&gt;0,[1]S2!$BJ$22,)</f>
        <v>0</v>
      </c>
      <c r="L53" s="42">
        <f t="shared" ref="L53:L55" si="13">K53*I53</f>
        <v>0</v>
      </c>
      <c r="M53" s="42">
        <f t="shared" si="12"/>
        <v>0</v>
      </c>
      <c r="N53" s="264" t="str">
        <f>+VLOOKUP('[1]NO DELETE'!$A$109,'[1]NO DELETE'!$K$56:$L$58,2)</f>
        <v>SIZE 2</v>
      </c>
      <c r="O53" s="265"/>
      <c r="P53" s="5"/>
    </row>
    <row r="54" spans="1:16" ht="21.6" x14ac:dyDescent="0.25">
      <c r="A54" s="52"/>
      <c r="B54" s="5"/>
      <c r="C54" s="88" t="s">
        <v>58</v>
      </c>
      <c r="D54" s="89" t="str">
        <f>+'[1]NO DELETE'!AL6</f>
        <v>ป้ายจราจรแบบ บ 2</v>
      </c>
      <c r="E54" s="26">
        <v>0</v>
      </c>
      <c r="F54" s="87" t="s">
        <v>50</v>
      </c>
      <c r="G54" s="39">
        <f t="shared" si="9"/>
        <v>0</v>
      </c>
      <c r="H54" s="39">
        <f t="shared" si="10"/>
        <v>0</v>
      </c>
      <c r="I54" s="83">
        <f>IF(E54&lt;=0,0,IF('[1]NO DELETE'!$A$109=1,'[1]NO DELETE'!AM6,IF('[1]NO DELETE'!$A$109=2,'[1]NO DELETE'!AN6,'[1]NO DELETE'!AO6)))</f>
        <v>0</v>
      </c>
      <c r="J54" s="41">
        <f t="shared" si="11"/>
        <v>0</v>
      </c>
      <c r="K54" s="32">
        <f>IF(E54&gt;0,[1]S2!$BJ$22,)</f>
        <v>0</v>
      </c>
      <c r="L54" s="42">
        <f t="shared" si="13"/>
        <v>0</v>
      </c>
      <c r="M54" s="42">
        <f t="shared" si="12"/>
        <v>0</v>
      </c>
      <c r="N54" s="264" t="str">
        <f>+VLOOKUP('[1]NO DELETE'!$A$109,'[1]NO DELETE'!$K$56:$L$58,2)</f>
        <v>SIZE 2</v>
      </c>
      <c r="O54" s="265"/>
      <c r="P54" s="5"/>
    </row>
    <row r="55" spans="1:16" ht="21.6" x14ac:dyDescent="0.25">
      <c r="A55" s="52"/>
      <c r="B55" s="5"/>
      <c r="C55" s="85" t="s">
        <v>59</v>
      </c>
      <c r="D55" s="89" t="str">
        <f>+'[1]NO DELETE'!AL7</f>
        <v>ป้ายจราจรแบบ บ 2/1</v>
      </c>
      <c r="E55" s="26">
        <v>0</v>
      </c>
      <c r="F55" s="87" t="s">
        <v>50</v>
      </c>
      <c r="G55" s="39">
        <f t="shared" si="9"/>
        <v>0</v>
      </c>
      <c r="H55" s="39">
        <f t="shared" si="10"/>
        <v>0</v>
      </c>
      <c r="I55" s="83">
        <f>IF(E55&lt;=0,0,IF('[1]NO DELETE'!$A$109=1,'[1]NO DELETE'!AM7,IF('[1]NO DELETE'!$A$109=2,'[1]NO DELETE'!AN7,'[1]NO DELETE'!AO7)))</f>
        <v>0</v>
      </c>
      <c r="J55" s="41">
        <f t="shared" si="11"/>
        <v>0</v>
      </c>
      <c r="K55" s="92">
        <f>IF(E55&gt;0,[1]S2!$BJ$22,)</f>
        <v>0</v>
      </c>
      <c r="L55" s="42">
        <f t="shared" si="13"/>
        <v>0</v>
      </c>
      <c r="M55" s="42">
        <f t="shared" si="12"/>
        <v>0</v>
      </c>
      <c r="N55" s="264" t="str">
        <f>+VLOOKUP('[1]NO DELETE'!$A$109,'[1]NO DELETE'!$K$56:$L$58,2)</f>
        <v>SIZE 2</v>
      </c>
      <c r="O55" s="265"/>
      <c r="P55" s="5"/>
    </row>
    <row r="56" spans="1:16" ht="21.6" x14ac:dyDescent="0.25">
      <c r="A56" s="243" t="s">
        <v>60</v>
      </c>
      <c r="B56" s="244"/>
      <c r="C56" s="244"/>
      <c r="D56" s="244"/>
      <c r="E56" s="244"/>
      <c r="F56" s="244"/>
      <c r="G56" s="244"/>
      <c r="H56" s="244"/>
      <c r="I56" s="245"/>
      <c r="J56" s="93">
        <f>SUM(J6:J55)</f>
        <v>0</v>
      </c>
      <c r="K56" s="94"/>
      <c r="L56" s="95"/>
      <c r="M56" s="93">
        <f>SUM(M6:M55)</f>
        <v>0</v>
      </c>
      <c r="N56" s="21"/>
      <c r="O56" s="18"/>
      <c r="P56" s="5"/>
    </row>
    <row r="57" spans="1:16" ht="25.2" x14ac:dyDescent="0.25">
      <c r="A57" s="249" t="str">
        <f>+A1</f>
        <v>รายละเอียดการประมาณราคา เสริมผิวแอสฟัลต์คอนกรีตโดยวิธี  ( Overlay )</v>
      </c>
      <c r="B57" s="249"/>
      <c r="C57" s="249"/>
      <c r="D57" s="249"/>
      <c r="E57" s="249"/>
      <c r="F57" s="249"/>
      <c r="G57" s="249"/>
      <c r="H57" s="249"/>
      <c r="I57" s="249"/>
      <c r="J57" s="249"/>
      <c r="K57" s="249"/>
      <c r="L57" s="249"/>
      <c r="M57" s="249"/>
      <c r="N57" s="249"/>
      <c r="O57" s="249"/>
      <c r="P57" s="5"/>
    </row>
    <row r="58" spans="1:16" ht="21.6" x14ac:dyDescent="0.25">
      <c r="A58" s="3" t="str">
        <f>+A2</f>
        <v>รหัสทางหลวงท้องถิ่น</v>
      </c>
      <c r="B58" s="96"/>
      <c r="C58" s="96"/>
      <c r="D58" s="2" t="str">
        <f>+D2</f>
        <v>รอ.</v>
      </c>
      <c r="E58" s="3" t="str">
        <f>+E2</f>
        <v>ชื่อสายทาง</v>
      </c>
      <c r="F58" s="4" t="str">
        <f>+F2</f>
        <v xml:space="preserve"> บ้านหินตั้ง หมู่ที่4 ระยะทาง 528 เมตร </v>
      </c>
      <c r="G58" s="96"/>
      <c r="H58" s="96"/>
      <c r="I58" s="96"/>
      <c r="J58" s="96"/>
      <c r="K58" s="96"/>
      <c r="L58" s="97"/>
      <c r="M58" s="3"/>
      <c r="N58" s="5"/>
      <c r="O58" s="5"/>
      <c r="P58" s="5"/>
    </row>
    <row r="59" spans="1:16" ht="25.2" x14ac:dyDescent="0.25">
      <c r="A59" s="3" t="str">
        <f>+A3</f>
        <v>สถานที่ตั้ง</v>
      </c>
      <c r="B59" s="96"/>
      <c r="C59" s="96"/>
      <c r="D59" s="2" t="str">
        <f>+D3</f>
        <v xml:space="preserve"> บ้านหินตั้ง หมู่ที่4 ต.โนนรัง อ.เมืองร้อยเอ็ด  จ.ร้อยเอ็ด</v>
      </c>
      <c r="E59" s="5"/>
      <c r="F59" s="98"/>
      <c r="G59" s="98"/>
      <c r="H59" s="3" t="str">
        <f>+H3</f>
        <v>ปริมาณงาน</v>
      </c>
      <c r="I59" s="5"/>
      <c r="J59" s="99">
        <f>+J3</f>
        <v>0.52800000000000002</v>
      </c>
      <c r="K59" s="10" t="str">
        <f>+K3</f>
        <v>กม.</v>
      </c>
      <c r="L59" s="100" t="str">
        <f>+L3</f>
        <v>ประจำปีงบประมาณ  2567</v>
      </c>
      <c r="M59" s="7"/>
      <c r="N59" s="11"/>
      <c r="O59" s="11"/>
      <c r="P59" s="5"/>
    </row>
    <row r="60" spans="1:16" ht="21.6" x14ac:dyDescent="0.25">
      <c r="A60" s="250" t="s">
        <v>2</v>
      </c>
      <c r="B60" s="252" t="s">
        <v>3</v>
      </c>
      <c r="C60" s="253"/>
      <c r="D60" s="254"/>
      <c r="E60" s="250" t="s">
        <v>4</v>
      </c>
      <c r="F60" s="250" t="s">
        <v>5</v>
      </c>
      <c r="G60" s="243" t="s">
        <v>6</v>
      </c>
      <c r="H60" s="244"/>
      <c r="I60" s="245"/>
      <c r="J60" s="12" t="s">
        <v>7</v>
      </c>
      <c r="K60" s="250" t="s">
        <v>8</v>
      </c>
      <c r="L60" s="243" t="s">
        <v>9</v>
      </c>
      <c r="M60" s="245"/>
      <c r="N60" s="252" t="s">
        <v>10</v>
      </c>
      <c r="O60" s="254"/>
      <c r="P60" s="5"/>
    </row>
    <row r="61" spans="1:16" ht="21.6" x14ac:dyDescent="0.25">
      <c r="A61" s="251"/>
      <c r="B61" s="255"/>
      <c r="C61" s="256"/>
      <c r="D61" s="257"/>
      <c r="E61" s="251"/>
      <c r="F61" s="251"/>
      <c r="G61" s="13" t="s">
        <v>11</v>
      </c>
      <c r="H61" s="13" t="s">
        <v>12</v>
      </c>
      <c r="I61" s="13" t="s">
        <v>13</v>
      </c>
      <c r="J61" s="14" t="s">
        <v>14</v>
      </c>
      <c r="K61" s="251"/>
      <c r="L61" s="15" t="s">
        <v>15</v>
      </c>
      <c r="M61" s="15" t="s">
        <v>13</v>
      </c>
      <c r="N61" s="255"/>
      <c r="O61" s="257"/>
      <c r="P61" s="5"/>
    </row>
    <row r="62" spans="1:16" ht="21.6" x14ac:dyDescent="0.25">
      <c r="A62" s="55"/>
      <c r="B62" s="101"/>
      <c r="C62" s="102"/>
      <c r="D62" s="103" t="s">
        <v>61</v>
      </c>
      <c r="E62" s="104"/>
      <c r="F62" s="104"/>
      <c r="G62" s="104"/>
      <c r="H62" s="104"/>
      <c r="I62" s="104"/>
      <c r="J62" s="105">
        <f>J56</f>
        <v>0</v>
      </c>
      <c r="K62" s="106"/>
      <c r="L62" s="107"/>
      <c r="M62" s="105">
        <f>M56</f>
        <v>0</v>
      </c>
      <c r="N62" s="101"/>
      <c r="O62" s="108"/>
      <c r="P62" s="5"/>
    </row>
    <row r="63" spans="1:16" ht="21.6" x14ac:dyDescent="0.25">
      <c r="A63" s="52"/>
      <c r="B63" s="5"/>
      <c r="C63" s="85" t="s">
        <v>62</v>
      </c>
      <c r="D63" s="86" t="str">
        <f>+'[1]NO DELETE'!AL8</f>
        <v>ป้ายจราจร บ 3 - บ 55</v>
      </c>
      <c r="E63" s="26">
        <v>0</v>
      </c>
      <c r="F63" s="87" t="s">
        <v>50</v>
      </c>
      <c r="G63" s="28">
        <f t="shared" ref="G63:G70" si="14">IF(E63&lt;=0,0,)</f>
        <v>0</v>
      </c>
      <c r="H63" s="28">
        <f t="shared" ref="H63:H70" si="15">IF(E63&lt;=0,0,)</f>
        <v>0</v>
      </c>
      <c r="I63" s="76">
        <f>IF(E63&lt;=0,0,IF('[1]NO DELETE'!$A$109=1,'[1]NO DELETE'!AM8,IF('[1]NO DELETE'!$A$109=2,'[1]NO DELETE'!AN8,'[1]NO DELETE'!AO8)))</f>
        <v>0</v>
      </c>
      <c r="J63" s="31">
        <f>E63*I63</f>
        <v>0</v>
      </c>
      <c r="K63" s="32">
        <f>IF(E63&gt;0,[1]S2!$BJ$22,)</f>
        <v>0</v>
      </c>
      <c r="L63" s="33">
        <f>K63*I63</f>
        <v>0</v>
      </c>
      <c r="M63" s="33">
        <f>L63*E63</f>
        <v>0</v>
      </c>
      <c r="N63" s="262" t="str">
        <f>+VLOOKUP('[1]NO DELETE'!$A$109,'[1]NO DELETE'!$K$56:$L$58,2)</f>
        <v>SIZE 2</v>
      </c>
      <c r="O63" s="263"/>
      <c r="P63" s="5"/>
    </row>
    <row r="64" spans="1:16" ht="21.6" x14ac:dyDescent="0.25">
      <c r="A64" s="52"/>
      <c r="B64" s="5"/>
      <c r="C64" s="85" t="s">
        <v>63</v>
      </c>
      <c r="D64" s="89" t="str">
        <f>+'[1]NO DELETE'!AL9</f>
        <v>ป้ายจราจร บ 31/1, บ 33/1</v>
      </c>
      <c r="E64" s="26">
        <v>0</v>
      </c>
      <c r="F64" s="87" t="s">
        <v>50</v>
      </c>
      <c r="G64" s="39">
        <f t="shared" si="14"/>
        <v>0</v>
      </c>
      <c r="H64" s="39">
        <f t="shared" si="15"/>
        <v>0</v>
      </c>
      <c r="I64" s="83">
        <f>IF(E64&lt;=0,0,IF('[1]NO DELETE'!$A$109=1,'[1]NO DELETE'!AM9,IF('[1]NO DELETE'!$A$109=2,'[1]NO DELETE'!AN9,'[1]NO DELETE'!AO9)))</f>
        <v>0</v>
      </c>
      <c r="J64" s="41">
        <f>E64*I64</f>
        <v>0</v>
      </c>
      <c r="K64" s="32">
        <f>IF(E64&gt;0,[1]S2!$BJ$22,)</f>
        <v>0</v>
      </c>
      <c r="L64" s="42">
        <f>K64*I64</f>
        <v>0</v>
      </c>
      <c r="M64" s="42">
        <f>L64*E64</f>
        <v>0</v>
      </c>
      <c r="N64" s="264" t="str">
        <f>+VLOOKUP('[1]NO DELETE'!$A$109,'[1]NO DELETE'!$K$56:$L$58,2)</f>
        <v>SIZE 2</v>
      </c>
      <c r="O64" s="265"/>
      <c r="P64" s="5"/>
    </row>
    <row r="65" spans="1:16" ht="21.6" x14ac:dyDescent="0.25">
      <c r="A65" s="52"/>
      <c r="B65" s="5"/>
      <c r="C65" s="88" t="s">
        <v>64</v>
      </c>
      <c r="D65" s="89" t="str">
        <f>+'[1]NO DELETE'!AL10</f>
        <v>ป้ายจราจร บ 34/1, บ 35/1, บ 36/1</v>
      </c>
      <c r="E65" s="26">
        <v>0</v>
      </c>
      <c r="F65" s="87" t="s">
        <v>50</v>
      </c>
      <c r="G65" s="39">
        <f t="shared" si="14"/>
        <v>0</v>
      </c>
      <c r="H65" s="39">
        <f t="shared" si="15"/>
        <v>0</v>
      </c>
      <c r="I65" s="83">
        <f>IF(E65&lt;=0,0,IF('[1]NO DELETE'!$A$109=1,'[1]NO DELETE'!AM10,IF('[1]NO DELETE'!$A$109=2,'[1]NO DELETE'!AN10,'[1]NO DELETE'!AO10)))</f>
        <v>0</v>
      </c>
      <c r="J65" s="41">
        <f>E65*I65</f>
        <v>0</v>
      </c>
      <c r="K65" s="32">
        <f>IF(E65&gt;0,[1]S2!$BJ$22,)</f>
        <v>0</v>
      </c>
      <c r="L65" s="42">
        <f>K65*I65</f>
        <v>0</v>
      </c>
      <c r="M65" s="42">
        <f>L65*E65</f>
        <v>0</v>
      </c>
      <c r="N65" s="264" t="str">
        <f>+VLOOKUP('[1]NO DELETE'!$A$109,'[1]NO DELETE'!$K$56:$L$58,2)</f>
        <v>SIZE 2</v>
      </c>
      <c r="O65" s="265"/>
      <c r="P65" s="5"/>
    </row>
    <row r="66" spans="1:16" ht="21.6" x14ac:dyDescent="0.25">
      <c r="A66" s="52"/>
      <c r="B66" s="5"/>
      <c r="C66" s="85" t="s">
        <v>65</v>
      </c>
      <c r="D66" s="89" t="str">
        <f>+'[1]NO DELETE'!AL11</f>
        <v>ป้ายจราจรแบบ ต 1 - ต 27,ต 31 - ต 60,ต 75</v>
      </c>
      <c r="E66" s="26">
        <v>0</v>
      </c>
      <c r="F66" s="87" t="s">
        <v>50</v>
      </c>
      <c r="G66" s="39">
        <f t="shared" si="14"/>
        <v>0</v>
      </c>
      <c r="H66" s="39">
        <f t="shared" si="15"/>
        <v>0</v>
      </c>
      <c r="I66" s="83">
        <v>0</v>
      </c>
      <c r="J66" s="41">
        <f t="shared" ref="J66:J68" si="16">E66*I66</f>
        <v>0</v>
      </c>
      <c r="K66" s="32">
        <f>IF(E66&gt;0,[1]S2!$BJ$22,)</f>
        <v>0</v>
      </c>
      <c r="L66" s="42">
        <f>K66*I66</f>
        <v>0</v>
      </c>
      <c r="M66" s="42">
        <f t="shared" ref="M66:M68" si="17">L66*E66</f>
        <v>0</v>
      </c>
      <c r="N66" s="264" t="str">
        <f>+VLOOKUP('[1]NO DELETE'!$A$109,'[1]NO DELETE'!$K$56:$L$58,2)</f>
        <v>SIZE 2</v>
      </c>
      <c r="O66" s="265"/>
      <c r="P66" s="5"/>
    </row>
    <row r="67" spans="1:16" ht="21.6" x14ac:dyDescent="0.25">
      <c r="A67" s="52"/>
      <c r="B67" s="5"/>
      <c r="C67" s="88" t="s">
        <v>66</v>
      </c>
      <c r="D67" s="89" t="str">
        <f>+'[1]NO DELETE'!AL12</f>
        <v>ป้ายจราจร ต 28 - ต 30,ต 62</v>
      </c>
      <c r="E67" s="26">
        <v>0</v>
      </c>
      <c r="F67" s="87" t="s">
        <v>50</v>
      </c>
      <c r="G67" s="39">
        <f t="shared" si="14"/>
        <v>0</v>
      </c>
      <c r="H67" s="39">
        <f t="shared" si="15"/>
        <v>0</v>
      </c>
      <c r="I67" s="83">
        <f>IF(E67&lt;=0,0,IF('[1]NO DELETE'!$A$109=1,'[1]NO DELETE'!AM12,IF('[1]NO DELETE'!$A$109=2,'[1]NO DELETE'!AN12,'[1]NO DELETE'!AO12)))</f>
        <v>0</v>
      </c>
      <c r="J67" s="41">
        <f t="shared" si="16"/>
        <v>0</v>
      </c>
      <c r="K67" s="32">
        <f>IF(E67&gt;0,[1]S2!$BJ$22,)</f>
        <v>0</v>
      </c>
      <c r="L67" s="42">
        <f>K67*I67</f>
        <v>0</v>
      </c>
      <c r="M67" s="42">
        <f t="shared" si="17"/>
        <v>0</v>
      </c>
      <c r="N67" s="264" t="str">
        <f>+VLOOKUP('[1]NO DELETE'!$A$109,'[1]NO DELETE'!$K$56:$L$58,2)</f>
        <v>SIZE 2</v>
      </c>
      <c r="O67" s="265"/>
      <c r="P67" s="5"/>
    </row>
    <row r="68" spans="1:16" ht="21.6" x14ac:dyDescent="0.25">
      <c r="A68" s="52"/>
      <c r="B68" s="5"/>
      <c r="C68" s="88" t="s">
        <v>67</v>
      </c>
      <c r="D68" s="89" t="str">
        <f>+'[1]NO DELETE'!AL13</f>
        <v>ป้ายจราจร ต 61,ต 61/1</v>
      </c>
      <c r="E68" s="26">
        <v>0</v>
      </c>
      <c r="F68" s="87" t="s">
        <v>50</v>
      </c>
      <c r="G68" s="39">
        <f t="shared" si="14"/>
        <v>0</v>
      </c>
      <c r="H68" s="39">
        <f t="shared" si="15"/>
        <v>0</v>
      </c>
      <c r="I68" s="83">
        <f>IF(E68&lt;=0,0,IF('[1]NO DELETE'!$A$109=1,'[1]NO DELETE'!AM13,IF('[1]NO DELETE'!$A$109=2,'[1]NO DELETE'!AN13,'[1]NO DELETE'!AO13)))</f>
        <v>0</v>
      </c>
      <c r="J68" s="41">
        <f t="shared" si="16"/>
        <v>0</v>
      </c>
      <c r="K68" s="32">
        <f>IF(E68&gt;0,[1]S2!$BJ$22,)</f>
        <v>0</v>
      </c>
      <c r="L68" s="42">
        <f t="shared" ref="L68:L69" si="18">K68*I68</f>
        <v>0</v>
      </c>
      <c r="M68" s="42">
        <f t="shared" si="17"/>
        <v>0</v>
      </c>
      <c r="N68" s="264" t="str">
        <f>+VLOOKUP('[1]NO DELETE'!$A$109,'[1]NO DELETE'!$K$56:$L$58,2)</f>
        <v>SIZE 2</v>
      </c>
      <c r="O68" s="265"/>
      <c r="P68" s="5"/>
    </row>
    <row r="69" spans="1:16" ht="21.6" x14ac:dyDescent="0.25">
      <c r="A69" s="52"/>
      <c r="B69" s="5"/>
      <c r="C69" s="88" t="s">
        <v>68</v>
      </c>
      <c r="D69" s="89" t="str">
        <f>+'[1]NO DELETE'!AL76</f>
        <v>ป้ายเตือนแนวทาง(โค้งขวาและโค้งซ้าย)</v>
      </c>
      <c r="E69" s="26">
        <v>0</v>
      </c>
      <c r="F69" s="87" t="s">
        <v>50</v>
      </c>
      <c r="G69" s="28">
        <f t="shared" si="14"/>
        <v>0</v>
      </c>
      <c r="H69" s="28">
        <f t="shared" si="15"/>
        <v>0</v>
      </c>
      <c r="I69" s="76">
        <f>(IF(E69&lt;=0,0,'[1]NO DELETE'!AM76))</f>
        <v>0</v>
      </c>
      <c r="J69" s="31">
        <f>E69*I69</f>
        <v>0</v>
      </c>
      <c r="K69" s="32">
        <f>IF(E69&gt;0,[1]S2!$BJ$22,)</f>
        <v>0</v>
      </c>
      <c r="L69" s="42">
        <f t="shared" si="18"/>
        <v>0</v>
      </c>
      <c r="M69" s="31">
        <f>L69*E69</f>
        <v>0</v>
      </c>
      <c r="N69" s="264" t="str">
        <f>+VLOOKUP('[1]NO DELETE'!$A$109,'[1]NO DELETE'!$K$56:$L$58,2)</f>
        <v>SIZE 2</v>
      </c>
      <c r="O69" s="265"/>
      <c r="P69" s="5"/>
    </row>
    <row r="70" spans="1:16" ht="21.6" x14ac:dyDescent="0.25">
      <c r="A70" s="52"/>
      <c r="B70" s="5"/>
      <c r="C70" s="88" t="s">
        <v>69</v>
      </c>
      <c r="D70" s="89" t="str">
        <f>+'[1]NO DELETE'!AL15</f>
        <v>ป้ายจราจรแบบ ต 64,ต 67</v>
      </c>
      <c r="E70" s="26">
        <v>0</v>
      </c>
      <c r="F70" s="87" t="s">
        <v>50</v>
      </c>
      <c r="G70" s="39">
        <f t="shared" si="14"/>
        <v>0</v>
      </c>
      <c r="H70" s="39">
        <f t="shared" si="15"/>
        <v>0</v>
      </c>
      <c r="I70" s="83">
        <f>IF(E70&lt;=0,0,IF('[1]NO DELETE'!$A$109=1,'[1]NO DELETE'!AM15,IF('[1]NO DELETE'!$A$109=2,'[1]NO DELETE'!AN15,'[1]NO DELETE'!AO15)))</f>
        <v>0</v>
      </c>
      <c r="J70" s="41">
        <f>E70*I70</f>
        <v>0</v>
      </c>
      <c r="K70" s="32">
        <f>IF(E70&gt;0,[1]S2!$BJ$22,)</f>
        <v>0</v>
      </c>
      <c r="L70" s="42">
        <f>K70*I70</f>
        <v>0</v>
      </c>
      <c r="M70" s="42">
        <f>L70*E70</f>
        <v>0</v>
      </c>
      <c r="N70" s="264" t="str">
        <f>+VLOOKUP('[1]NO DELETE'!$A$109,'[1]NO DELETE'!$K$56:$L$58,2)</f>
        <v>SIZE 2</v>
      </c>
      <c r="O70" s="265"/>
      <c r="P70" s="5"/>
    </row>
    <row r="71" spans="1:16" ht="21.6" x14ac:dyDescent="0.25">
      <c r="A71" s="52"/>
      <c r="B71" s="53"/>
      <c r="C71" s="88" t="s">
        <v>70</v>
      </c>
      <c r="D71" s="89" t="str">
        <f>+'[1]NO DELETE'!AL16</f>
        <v>ป้ายจราจรแบบ ต 65,ต 68, ต 70</v>
      </c>
      <c r="E71" s="26">
        <v>0</v>
      </c>
      <c r="F71" s="82" t="s">
        <v>50</v>
      </c>
      <c r="G71" s="39">
        <f t="shared" si="9"/>
        <v>0</v>
      </c>
      <c r="H71" s="39">
        <f t="shared" si="10"/>
        <v>0</v>
      </c>
      <c r="I71" s="83">
        <f>IF(E71&lt;=0,0,IF('[1]NO DELETE'!$A$109=1,'[1]NO DELETE'!AM16,IF('[1]NO DELETE'!$A$109=2,'[1]NO DELETE'!AN16,'[1]NO DELETE'!AO16)))</f>
        <v>0</v>
      </c>
      <c r="J71" s="41">
        <f t="shared" si="11"/>
        <v>0</v>
      </c>
      <c r="K71" s="32">
        <f>IF(E71&gt;0,[1]S2!$BJ$22,)</f>
        <v>0</v>
      </c>
      <c r="L71" s="42">
        <f t="shared" ref="L71:L112" si="19">K71*I71</f>
        <v>0</v>
      </c>
      <c r="M71" s="42">
        <f t="shared" si="12"/>
        <v>0</v>
      </c>
      <c r="N71" s="264" t="str">
        <f>+VLOOKUP('[1]NO DELETE'!$A$109,'[1]NO DELETE'!$K$56:$L$58,2)</f>
        <v>SIZE 2</v>
      </c>
      <c r="O71" s="265"/>
      <c r="P71" s="5"/>
    </row>
    <row r="72" spans="1:16" ht="21.6" x14ac:dyDescent="0.25">
      <c r="A72" s="52"/>
      <c r="B72" s="53"/>
      <c r="C72" s="88" t="s">
        <v>71</v>
      </c>
      <c r="D72" s="89" t="str">
        <f>+'[1]NO DELETE'!AL17</f>
        <v>ป้ายจราจรแบบ ต 69</v>
      </c>
      <c r="E72" s="26">
        <v>0</v>
      </c>
      <c r="F72" s="82" t="s">
        <v>50</v>
      </c>
      <c r="G72" s="39">
        <f t="shared" si="9"/>
        <v>0</v>
      </c>
      <c r="H72" s="39">
        <f t="shared" si="10"/>
        <v>0</v>
      </c>
      <c r="I72" s="83">
        <f>IF(E72&lt;=0,0,IF('[1]NO DELETE'!$A$109=1,'[1]NO DELETE'!AM17,IF('[1]NO DELETE'!$A$109=2,'[1]NO DELETE'!AN17,'[1]NO DELETE'!AO17)))</f>
        <v>0</v>
      </c>
      <c r="J72" s="41">
        <f t="shared" si="11"/>
        <v>0</v>
      </c>
      <c r="K72" s="32">
        <f>IF(E72&gt;0,[1]S2!$BJ$22,)</f>
        <v>0</v>
      </c>
      <c r="L72" s="42">
        <f t="shared" si="19"/>
        <v>0</v>
      </c>
      <c r="M72" s="42">
        <f t="shared" si="12"/>
        <v>0</v>
      </c>
      <c r="N72" s="264" t="str">
        <f>+VLOOKUP('[1]NO DELETE'!$A$109,'[1]NO DELETE'!$K$56:$L$58,2)</f>
        <v>SIZE 2</v>
      </c>
      <c r="O72" s="265"/>
      <c r="P72" s="5"/>
    </row>
    <row r="73" spans="1:16" ht="21.6" x14ac:dyDescent="0.25">
      <c r="A73" s="52"/>
      <c r="B73" s="53"/>
      <c r="C73" s="88" t="s">
        <v>72</v>
      </c>
      <c r="D73" s="89" t="str">
        <f>+'[1]NO DELETE'!AL18</f>
        <v>ป้ายจราจรแบบ ต 71</v>
      </c>
      <c r="E73" s="26">
        <v>0</v>
      </c>
      <c r="F73" s="82" t="s">
        <v>50</v>
      </c>
      <c r="G73" s="39">
        <f t="shared" si="9"/>
        <v>0</v>
      </c>
      <c r="H73" s="39">
        <f t="shared" si="10"/>
        <v>0</v>
      </c>
      <c r="I73" s="83">
        <f>IF(E73&lt;=0,0,IF('[1]NO DELETE'!$A$109=1,'[1]NO DELETE'!AM18,IF('[1]NO DELETE'!$A$109=2,'[1]NO DELETE'!AN18,'[1]NO DELETE'!AO18)))</f>
        <v>0</v>
      </c>
      <c r="J73" s="41">
        <f t="shared" si="11"/>
        <v>0</v>
      </c>
      <c r="K73" s="32">
        <f>IF(E73&gt;0,[1]S2!$BJ$22,)</f>
        <v>0</v>
      </c>
      <c r="L73" s="42">
        <f t="shared" si="19"/>
        <v>0</v>
      </c>
      <c r="M73" s="42">
        <f t="shared" si="12"/>
        <v>0</v>
      </c>
      <c r="N73" s="264" t="str">
        <f>+VLOOKUP('[1]NO DELETE'!$A$109,'[1]NO DELETE'!$K$56:$L$58,2)</f>
        <v>SIZE 2</v>
      </c>
      <c r="O73" s="265"/>
      <c r="P73" s="5"/>
    </row>
    <row r="74" spans="1:16" ht="21.6" x14ac:dyDescent="0.25">
      <c r="A74" s="52"/>
      <c r="B74" s="53"/>
      <c r="C74" s="88" t="s">
        <v>73</v>
      </c>
      <c r="D74" s="89" t="str">
        <f>+'[1]NO DELETE'!AL19</f>
        <v>ป้ายจราจรแบบ ต 72, ต 73</v>
      </c>
      <c r="E74" s="26">
        <v>0</v>
      </c>
      <c r="F74" s="82" t="s">
        <v>50</v>
      </c>
      <c r="G74" s="39">
        <f t="shared" si="9"/>
        <v>0</v>
      </c>
      <c r="H74" s="39">
        <f t="shared" si="10"/>
        <v>0</v>
      </c>
      <c r="I74" s="83">
        <f>IF(E74&lt;=0,0,IF('[1]NO DELETE'!$A$109=1,'[1]NO DELETE'!AM19,IF('[1]NO DELETE'!$A$109=2,'[1]NO DELETE'!AN19,'[1]NO DELETE'!AO19)))</f>
        <v>0</v>
      </c>
      <c r="J74" s="41">
        <f t="shared" si="11"/>
        <v>0</v>
      </c>
      <c r="K74" s="32">
        <f>IF(E74&gt;0,[1]S2!$BJ$22,)</f>
        <v>0</v>
      </c>
      <c r="L74" s="42">
        <f t="shared" si="19"/>
        <v>0</v>
      </c>
      <c r="M74" s="42">
        <f t="shared" si="12"/>
        <v>0</v>
      </c>
      <c r="N74" s="264" t="str">
        <f>+VLOOKUP('[1]NO DELETE'!$A$109,'[1]NO DELETE'!$K$56:$L$58,2)</f>
        <v>SIZE 2</v>
      </c>
      <c r="O74" s="265"/>
      <c r="P74" s="5"/>
    </row>
    <row r="75" spans="1:16" ht="21.6" x14ac:dyDescent="0.25">
      <c r="A75" s="52"/>
      <c r="B75" s="53"/>
      <c r="C75" s="88" t="s">
        <v>74</v>
      </c>
      <c r="D75" s="89" t="str">
        <f>+'[1]NO DELETE'!AL20</f>
        <v>ป้ายจราจรแบบ ต 74</v>
      </c>
      <c r="E75" s="26">
        <v>0</v>
      </c>
      <c r="F75" s="82" t="s">
        <v>50</v>
      </c>
      <c r="G75" s="39">
        <f t="shared" si="9"/>
        <v>0</v>
      </c>
      <c r="H75" s="39">
        <f t="shared" si="10"/>
        <v>0</v>
      </c>
      <c r="I75" s="83">
        <f>IF(E75&lt;=0,0,IF('[1]NO DELETE'!$A$109=1,'[1]NO DELETE'!AM20,IF('[1]NO DELETE'!$A$109=2,'[1]NO DELETE'!AN20,'[1]NO DELETE'!AO20)))</f>
        <v>0</v>
      </c>
      <c r="J75" s="41">
        <f t="shared" si="11"/>
        <v>0</v>
      </c>
      <c r="K75" s="32">
        <f>IF(E75&gt;0,[1]S2!$BJ$22,)</f>
        <v>0</v>
      </c>
      <c r="L75" s="42">
        <f t="shared" si="19"/>
        <v>0</v>
      </c>
      <c r="M75" s="42">
        <f t="shared" si="12"/>
        <v>0</v>
      </c>
      <c r="N75" s="264" t="str">
        <f>+VLOOKUP('[1]NO DELETE'!$A$109,'[1]NO DELETE'!$K$56:$L$58,2)</f>
        <v>SIZE 2</v>
      </c>
      <c r="O75" s="265"/>
      <c r="P75" s="5"/>
    </row>
    <row r="76" spans="1:16" ht="21.6" x14ac:dyDescent="0.25">
      <c r="A76" s="52"/>
      <c r="B76" s="53"/>
      <c r="C76" s="88" t="s">
        <v>75</v>
      </c>
      <c r="D76" s="89" t="str">
        <f>+'[1]NO DELETE'!AL21</f>
        <v>ป้ายจราจรแบบ ต 74/1</v>
      </c>
      <c r="E76" s="26">
        <v>0</v>
      </c>
      <c r="F76" s="82" t="s">
        <v>50</v>
      </c>
      <c r="G76" s="39">
        <f t="shared" si="9"/>
        <v>0</v>
      </c>
      <c r="H76" s="39">
        <f t="shared" si="10"/>
        <v>0</v>
      </c>
      <c r="I76" s="83">
        <f>IF(E76&lt;=0,0,IF('[1]NO DELETE'!$A$109=1,'[1]NO DELETE'!AM21,IF('[1]NO DELETE'!$A$109=2,'[1]NO DELETE'!AN21,'[1]NO DELETE'!AO21)))</f>
        <v>0</v>
      </c>
      <c r="J76" s="41">
        <f t="shared" si="11"/>
        <v>0</v>
      </c>
      <c r="K76" s="32">
        <f>IF(E76&gt;0,[1]S2!$BJ$22,)</f>
        <v>0</v>
      </c>
      <c r="L76" s="42">
        <f t="shared" si="19"/>
        <v>0</v>
      </c>
      <c r="M76" s="42">
        <f t="shared" si="12"/>
        <v>0</v>
      </c>
      <c r="N76" s="264" t="str">
        <f>+VLOOKUP('[1]NO DELETE'!$A$109,'[1]NO DELETE'!$K$56:$L$58,2)</f>
        <v>SIZE 2</v>
      </c>
      <c r="O76" s="265"/>
      <c r="P76" s="5"/>
    </row>
    <row r="77" spans="1:16" ht="21.6" x14ac:dyDescent="0.25">
      <c r="A77" s="52"/>
      <c r="B77" s="53"/>
      <c r="C77" s="88" t="s">
        <v>76</v>
      </c>
      <c r="D77" s="89" t="str">
        <f>+'[1]NO DELETE'!AL22</f>
        <v>ป้ายจราจรแบบ ต 76</v>
      </c>
      <c r="E77" s="26">
        <v>0</v>
      </c>
      <c r="F77" s="82" t="s">
        <v>50</v>
      </c>
      <c r="G77" s="39">
        <f t="shared" si="9"/>
        <v>0</v>
      </c>
      <c r="H77" s="39">
        <f t="shared" si="10"/>
        <v>0</v>
      </c>
      <c r="I77" s="83">
        <f>IF(E77&lt;=0,0,IF('[1]NO DELETE'!$A$109=1,'[1]NO DELETE'!AM22,IF('[1]NO DELETE'!$A$109=2,'[1]NO DELETE'!AN22,'[1]NO DELETE'!AO22)))</f>
        <v>0</v>
      </c>
      <c r="J77" s="41">
        <f t="shared" si="11"/>
        <v>0</v>
      </c>
      <c r="K77" s="32">
        <f>IF(E77&gt;0,[1]S2!$BJ$22,)</f>
        <v>0</v>
      </c>
      <c r="L77" s="42">
        <f t="shared" si="19"/>
        <v>0</v>
      </c>
      <c r="M77" s="42">
        <f t="shared" si="12"/>
        <v>0</v>
      </c>
      <c r="N77" s="264" t="str">
        <f>+VLOOKUP('[1]NO DELETE'!$A$109,'[1]NO DELETE'!$K$56:$L$58,2)</f>
        <v>SIZE 2</v>
      </c>
      <c r="O77" s="265"/>
      <c r="P77" s="5"/>
    </row>
    <row r="78" spans="1:16" ht="21.6" x14ac:dyDescent="0.25">
      <c r="A78" s="52"/>
      <c r="B78" s="53"/>
      <c r="C78" s="88" t="s">
        <v>77</v>
      </c>
      <c r="D78" s="89" t="str">
        <f>+'[1]NO DELETE'!AL23</f>
        <v>ป้ายจราจรแบบ ต 76/1</v>
      </c>
      <c r="E78" s="26">
        <v>0</v>
      </c>
      <c r="F78" s="82" t="s">
        <v>50</v>
      </c>
      <c r="G78" s="39">
        <f t="shared" si="9"/>
        <v>0</v>
      </c>
      <c r="H78" s="39">
        <f t="shared" si="10"/>
        <v>0</v>
      </c>
      <c r="I78" s="83">
        <f>IF(E78&lt;=0,0,IF('[1]NO DELETE'!$A$109=1,'[1]NO DELETE'!AM23,IF('[1]NO DELETE'!$A$109=2,'[1]NO DELETE'!AN23,'[1]NO DELETE'!AO23)))</f>
        <v>0</v>
      </c>
      <c r="J78" s="41">
        <f t="shared" si="11"/>
        <v>0</v>
      </c>
      <c r="K78" s="32">
        <f>IF(E78&gt;0,[1]S2!$BJ$22,)</f>
        <v>0</v>
      </c>
      <c r="L78" s="42">
        <f t="shared" si="19"/>
        <v>0</v>
      </c>
      <c r="M78" s="42">
        <f t="shared" si="12"/>
        <v>0</v>
      </c>
      <c r="N78" s="264" t="str">
        <f>+VLOOKUP('[1]NO DELETE'!$A$109,'[1]NO DELETE'!$K$56:$L$58,2)</f>
        <v>SIZE 2</v>
      </c>
      <c r="O78" s="265"/>
      <c r="P78" s="5"/>
    </row>
    <row r="79" spans="1:16" ht="21.6" x14ac:dyDescent="0.25">
      <c r="A79" s="52"/>
      <c r="B79" s="53"/>
      <c r="C79" s="88" t="s">
        <v>78</v>
      </c>
      <c r="D79" s="89" t="str">
        <f>+'[1]NO DELETE'!AL24</f>
        <v>ป้ายจราจรแบบ ต 77/1</v>
      </c>
      <c r="E79" s="26">
        <v>0</v>
      </c>
      <c r="F79" s="82" t="s">
        <v>50</v>
      </c>
      <c r="G79" s="39">
        <f t="shared" si="9"/>
        <v>0</v>
      </c>
      <c r="H79" s="39">
        <f t="shared" si="10"/>
        <v>0</v>
      </c>
      <c r="I79" s="83">
        <f>IF(E79&lt;=0,0,IF('[1]NO DELETE'!$A$109=1,'[1]NO DELETE'!AM24,IF('[1]NO DELETE'!$A$109=2,'[1]NO DELETE'!AN24,'[1]NO DELETE'!AO24)))</f>
        <v>0</v>
      </c>
      <c r="J79" s="41">
        <f t="shared" si="11"/>
        <v>0</v>
      </c>
      <c r="K79" s="32">
        <f>IF(E79&gt;0,[1]S2!$BJ$22,)</f>
        <v>0</v>
      </c>
      <c r="L79" s="42">
        <f t="shared" si="19"/>
        <v>0</v>
      </c>
      <c r="M79" s="42">
        <f t="shared" si="12"/>
        <v>0</v>
      </c>
      <c r="N79" s="264" t="str">
        <f>+VLOOKUP('[1]NO DELETE'!$A$109,'[1]NO DELETE'!$K$56:$L$58,2)</f>
        <v>SIZE 2</v>
      </c>
      <c r="O79" s="265"/>
      <c r="P79" s="5"/>
    </row>
    <row r="80" spans="1:16" ht="21.6" x14ac:dyDescent="0.25">
      <c r="A80" s="52"/>
      <c r="B80" s="53"/>
      <c r="C80" s="88" t="s">
        <v>79</v>
      </c>
      <c r="D80" s="89" t="str">
        <f>+'[1]NO DELETE'!AL25</f>
        <v>ป้ายจราจรแบบ ต 77</v>
      </c>
      <c r="E80" s="26">
        <v>0</v>
      </c>
      <c r="F80" s="82" t="s">
        <v>50</v>
      </c>
      <c r="G80" s="39">
        <f t="shared" si="9"/>
        <v>0</v>
      </c>
      <c r="H80" s="39">
        <f t="shared" si="10"/>
        <v>0</v>
      </c>
      <c r="I80" s="83">
        <f>IF(E80&lt;=0,0,IF('[1]NO DELETE'!$A$109=1,'[1]NO DELETE'!AM25,IF('[1]NO DELETE'!$A$109=2,'[1]NO DELETE'!AN25,'[1]NO DELETE'!AO25)))</f>
        <v>0</v>
      </c>
      <c r="J80" s="41">
        <f t="shared" si="11"/>
        <v>0</v>
      </c>
      <c r="K80" s="32">
        <f>IF(E80&gt;0,[1]S2!$BJ$22,)</f>
        <v>0</v>
      </c>
      <c r="L80" s="42">
        <f t="shared" si="19"/>
        <v>0</v>
      </c>
      <c r="M80" s="42">
        <f t="shared" si="12"/>
        <v>0</v>
      </c>
      <c r="N80" s="264" t="str">
        <f>+VLOOKUP('[1]NO DELETE'!$A$109,'[1]NO DELETE'!$K$56:$L$58,2)</f>
        <v>SIZE 2</v>
      </c>
      <c r="O80" s="265"/>
      <c r="P80" s="5"/>
    </row>
    <row r="81" spans="1:16" ht="21.6" x14ac:dyDescent="0.25">
      <c r="A81" s="52"/>
      <c r="B81" s="53"/>
      <c r="C81" s="88" t="s">
        <v>80</v>
      </c>
      <c r="D81" s="89" t="str">
        <f>+'[1]NO DELETE'!AL26</f>
        <v>ป้ายจราจรแบบ ต 78</v>
      </c>
      <c r="E81" s="26">
        <v>0</v>
      </c>
      <c r="F81" s="82" t="s">
        <v>50</v>
      </c>
      <c r="G81" s="39">
        <f t="shared" si="9"/>
        <v>0</v>
      </c>
      <c r="H81" s="39">
        <f t="shared" si="10"/>
        <v>0</v>
      </c>
      <c r="I81" s="83">
        <f>IF(E81&lt;=0,0,IF('[1]NO DELETE'!$A$109=1,'[1]NO DELETE'!AM26,IF('[1]NO DELETE'!$A$109=2,'[1]NO DELETE'!AN26,'[1]NO DELETE'!AO26)))</f>
        <v>0</v>
      </c>
      <c r="J81" s="41">
        <f t="shared" si="11"/>
        <v>0</v>
      </c>
      <c r="K81" s="32">
        <f>IF(E81&gt;0,[1]S2!$BJ$22,)</f>
        <v>0</v>
      </c>
      <c r="L81" s="42">
        <f t="shared" si="19"/>
        <v>0</v>
      </c>
      <c r="M81" s="42">
        <f t="shared" si="12"/>
        <v>0</v>
      </c>
      <c r="N81" s="264" t="str">
        <f>+VLOOKUP('[1]NO DELETE'!$A$109,'[1]NO DELETE'!$K$56:$L$58,2)</f>
        <v>SIZE 2</v>
      </c>
      <c r="O81" s="265"/>
      <c r="P81" s="5"/>
    </row>
    <row r="82" spans="1:16" ht="21.6" x14ac:dyDescent="0.25">
      <c r="A82" s="52"/>
      <c r="B82" s="53"/>
      <c r="C82" s="88" t="s">
        <v>81</v>
      </c>
      <c r="D82" s="89" t="str">
        <f>+'[1]NO DELETE'!AL27</f>
        <v>ป้ายจราจรแบบ น 1</v>
      </c>
      <c r="E82" s="26">
        <v>0</v>
      </c>
      <c r="F82" s="82" t="s">
        <v>50</v>
      </c>
      <c r="G82" s="39">
        <f t="shared" si="9"/>
        <v>0</v>
      </c>
      <c r="H82" s="39">
        <f t="shared" si="10"/>
        <v>0</v>
      </c>
      <c r="I82" s="83">
        <f>IF(E82&lt;=0,0,IF('[1]NO DELETE'!$A$109=1,'[1]NO DELETE'!AM27,IF('[1]NO DELETE'!$A$109=2,'[1]NO DELETE'!AN27,'[1]NO DELETE'!AO27)))</f>
        <v>0</v>
      </c>
      <c r="J82" s="41">
        <f t="shared" si="11"/>
        <v>0</v>
      </c>
      <c r="K82" s="32">
        <f>IF(E82&gt;0,[1]S2!$BJ$22,)</f>
        <v>0</v>
      </c>
      <c r="L82" s="42">
        <f t="shared" si="19"/>
        <v>0</v>
      </c>
      <c r="M82" s="42">
        <f t="shared" si="12"/>
        <v>0</v>
      </c>
      <c r="N82" s="264" t="str">
        <f>+VLOOKUP('[1]NO DELETE'!$A$109,'[1]NO DELETE'!$K$56:$L$58,2)</f>
        <v>SIZE 2</v>
      </c>
      <c r="O82" s="265"/>
      <c r="P82" s="5"/>
    </row>
    <row r="83" spans="1:16" ht="21.6" x14ac:dyDescent="0.25">
      <c r="A83" s="52"/>
      <c r="B83" s="53"/>
      <c r="C83" s="88" t="s">
        <v>82</v>
      </c>
      <c r="D83" s="89" t="str">
        <f>+'[1]NO DELETE'!AL28</f>
        <v>ป้ายจราจรแบบ น 1/1</v>
      </c>
      <c r="E83" s="26">
        <v>0</v>
      </c>
      <c r="F83" s="82" t="s">
        <v>50</v>
      </c>
      <c r="G83" s="39">
        <f t="shared" si="9"/>
        <v>0</v>
      </c>
      <c r="H83" s="39">
        <f t="shared" si="10"/>
        <v>0</v>
      </c>
      <c r="I83" s="83">
        <f>IF(E83&lt;=0,0,IF('[1]NO DELETE'!$A$109=1,'[1]NO DELETE'!AM28,IF('[1]NO DELETE'!$A$109=2,'[1]NO DELETE'!AN28,'[1]NO DELETE'!AO28)))</f>
        <v>0</v>
      </c>
      <c r="J83" s="41">
        <f t="shared" si="11"/>
        <v>0</v>
      </c>
      <c r="K83" s="32">
        <f>IF(E83&gt;0,[1]S2!$BJ$22,)</f>
        <v>0</v>
      </c>
      <c r="L83" s="42">
        <f t="shared" si="19"/>
        <v>0</v>
      </c>
      <c r="M83" s="42">
        <f t="shared" si="12"/>
        <v>0</v>
      </c>
      <c r="N83" s="264" t="str">
        <f>+VLOOKUP('[1]NO DELETE'!$A$109,'[1]NO DELETE'!$K$56:$L$58,2)</f>
        <v>SIZE 2</v>
      </c>
      <c r="O83" s="265"/>
      <c r="P83" s="5"/>
    </row>
    <row r="84" spans="1:16" ht="21.6" x14ac:dyDescent="0.25">
      <c r="A84" s="52"/>
      <c r="B84" s="53"/>
      <c r="C84" s="88" t="s">
        <v>83</v>
      </c>
      <c r="D84" s="89" t="str">
        <f>+'[1]NO DELETE'!AL29</f>
        <v>ป้ายจราจรแบบ น 2 ( 1 ชิ้น)</v>
      </c>
      <c r="E84" s="26">
        <v>0</v>
      </c>
      <c r="F84" s="82" t="s">
        <v>50</v>
      </c>
      <c r="G84" s="39">
        <f t="shared" si="9"/>
        <v>0</v>
      </c>
      <c r="H84" s="39">
        <f t="shared" si="10"/>
        <v>0</v>
      </c>
      <c r="I84" s="83">
        <f>IF(E84&lt;=0,0,IF('[1]NO DELETE'!$A$109=1,'[1]NO DELETE'!AM29,IF('[1]NO DELETE'!$A$109=2,'[1]NO DELETE'!AN29,'[1]NO DELETE'!AO29)))</f>
        <v>0</v>
      </c>
      <c r="J84" s="41">
        <f t="shared" si="11"/>
        <v>0</v>
      </c>
      <c r="K84" s="32">
        <f>IF(E84&gt;0,[1]S2!$BJ$22,)</f>
        <v>0</v>
      </c>
      <c r="L84" s="42">
        <f t="shared" si="19"/>
        <v>0</v>
      </c>
      <c r="M84" s="42">
        <f t="shared" si="12"/>
        <v>0</v>
      </c>
      <c r="N84" s="264" t="str">
        <f>+VLOOKUP('[1]NO DELETE'!$A$109,'[1]NO DELETE'!$K$56:$L$58,2)</f>
        <v>SIZE 2</v>
      </c>
      <c r="O84" s="265"/>
      <c r="P84" s="5"/>
    </row>
    <row r="85" spans="1:16" ht="21.6" x14ac:dyDescent="0.25">
      <c r="A85" s="52"/>
      <c r="B85" s="53"/>
      <c r="C85" s="88" t="s">
        <v>84</v>
      </c>
      <c r="D85" s="89" t="str">
        <f>+'[1]NO DELETE'!AL30</f>
        <v>ป้ายจราจรแบบ น 2 ( 2 ชิ้น)</v>
      </c>
      <c r="E85" s="26">
        <v>0</v>
      </c>
      <c r="F85" s="82" t="s">
        <v>50</v>
      </c>
      <c r="G85" s="39">
        <f t="shared" si="9"/>
        <v>0</v>
      </c>
      <c r="H85" s="39">
        <f t="shared" si="10"/>
        <v>0</v>
      </c>
      <c r="I85" s="83">
        <f>IF(E85&lt;=0,0,IF('[1]NO DELETE'!$A$109=1,'[1]NO DELETE'!AM30,IF('[1]NO DELETE'!$A$109=2,'[1]NO DELETE'!AN30,'[1]NO DELETE'!AO30)))</f>
        <v>0</v>
      </c>
      <c r="J85" s="41">
        <f t="shared" si="11"/>
        <v>0</v>
      </c>
      <c r="K85" s="32">
        <f>IF(E85&gt;0,[1]S2!$BJ$22,)</f>
        <v>0</v>
      </c>
      <c r="L85" s="42">
        <f t="shared" si="19"/>
        <v>0</v>
      </c>
      <c r="M85" s="42">
        <f t="shared" si="12"/>
        <v>0</v>
      </c>
      <c r="N85" s="264" t="str">
        <f>+VLOOKUP('[1]NO DELETE'!$A$109,'[1]NO DELETE'!$K$56:$L$58,2)</f>
        <v>SIZE 2</v>
      </c>
      <c r="O85" s="265"/>
      <c r="P85" s="5"/>
    </row>
    <row r="86" spans="1:16" ht="21.6" x14ac:dyDescent="0.25">
      <c r="A86" s="52"/>
      <c r="B86" s="53"/>
      <c r="C86" s="88" t="s">
        <v>85</v>
      </c>
      <c r="D86" s="89" t="str">
        <f>+'[1]NO DELETE'!AL31</f>
        <v>ป้ายจราจรแบบ น 2 ( 3 ชิ้น)</v>
      </c>
      <c r="E86" s="26">
        <v>0</v>
      </c>
      <c r="F86" s="109" t="s">
        <v>50</v>
      </c>
      <c r="G86" s="47">
        <f t="shared" si="9"/>
        <v>0</v>
      </c>
      <c r="H86" s="47">
        <f t="shared" si="10"/>
        <v>0</v>
      </c>
      <c r="I86" s="83">
        <f>IF(E86&lt;=0,0,IF('[1]NO DELETE'!$A$109=1,'[1]NO DELETE'!AM31,IF('[1]NO DELETE'!$A$109=2,'[1]NO DELETE'!AN31,'[1]NO DELETE'!AO31)))</f>
        <v>0</v>
      </c>
      <c r="J86" s="110">
        <f t="shared" si="11"/>
        <v>0</v>
      </c>
      <c r="K86" s="32">
        <f>IF(E86&gt;0,[1]S2!$BJ$22,)</f>
        <v>0</v>
      </c>
      <c r="L86" s="42">
        <f t="shared" si="19"/>
        <v>0</v>
      </c>
      <c r="M86" s="110">
        <f t="shared" si="12"/>
        <v>0</v>
      </c>
      <c r="N86" s="264" t="str">
        <f>+VLOOKUP('[1]NO DELETE'!$A$109,'[1]NO DELETE'!$K$56:$L$58,2)</f>
        <v>SIZE 2</v>
      </c>
      <c r="O86" s="265"/>
      <c r="P86" s="5"/>
    </row>
    <row r="87" spans="1:16" ht="21.6" x14ac:dyDescent="0.25">
      <c r="A87" s="52"/>
      <c r="B87" s="53"/>
      <c r="C87" s="88" t="s">
        <v>86</v>
      </c>
      <c r="D87" s="89" t="str">
        <f>+'[1]NO DELETE'!AL32</f>
        <v>ป้ายจราจรแบบ น 2 ( 4 ชิ้น)</v>
      </c>
      <c r="E87" s="26">
        <v>0</v>
      </c>
      <c r="F87" s="109" t="s">
        <v>50</v>
      </c>
      <c r="G87" s="47">
        <f t="shared" si="9"/>
        <v>0</v>
      </c>
      <c r="H87" s="47">
        <f t="shared" si="10"/>
        <v>0</v>
      </c>
      <c r="I87" s="83">
        <f>IF(E87&lt;=0,0,IF('[1]NO DELETE'!$A$109=1,'[1]NO DELETE'!AM32,IF('[1]NO DELETE'!$A$109=2,'[1]NO DELETE'!AN32,'[1]NO DELETE'!AO32)))</f>
        <v>0</v>
      </c>
      <c r="J87" s="110">
        <f t="shared" si="11"/>
        <v>0</v>
      </c>
      <c r="K87" s="32">
        <f>IF(E87&gt;0,[1]S2!$BJ$22,)</f>
        <v>0</v>
      </c>
      <c r="L87" s="42">
        <f t="shared" si="19"/>
        <v>0</v>
      </c>
      <c r="M87" s="110">
        <f t="shared" si="12"/>
        <v>0</v>
      </c>
      <c r="N87" s="264" t="str">
        <f>+VLOOKUP('[1]NO DELETE'!$A$109,'[1]NO DELETE'!$K$56:$L$58,2)</f>
        <v>SIZE 2</v>
      </c>
      <c r="O87" s="265"/>
      <c r="P87" s="5"/>
    </row>
    <row r="88" spans="1:16" ht="21.6" x14ac:dyDescent="0.25">
      <c r="A88" s="52"/>
      <c r="B88" s="53"/>
      <c r="C88" s="88" t="s">
        <v>87</v>
      </c>
      <c r="D88" s="89" t="str">
        <f>+'[1]NO DELETE'!AL33</f>
        <v>ป้ายจราจรแบบ น 3 ( 1 ชิ้น)</v>
      </c>
      <c r="E88" s="26">
        <v>0</v>
      </c>
      <c r="F88" s="109" t="s">
        <v>50</v>
      </c>
      <c r="G88" s="47">
        <f t="shared" si="9"/>
        <v>0</v>
      </c>
      <c r="H88" s="47">
        <f t="shared" si="10"/>
        <v>0</v>
      </c>
      <c r="I88" s="83">
        <f>IF(E88&lt;=0,0,IF('[1]NO DELETE'!$A$109=1,'[1]NO DELETE'!AM33,IF('[1]NO DELETE'!$A$109=2,'[1]NO DELETE'!AN33,'[1]NO DELETE'!AO33)))</f>
        <v>0</v>
      </c>
      <c r="J88" s="110">
        <f t="shared" si="11"/>
        <v>0</v>
      </c>
      <c r="K88" s="32">
        <f>IF(E88&gt;0,[1]S2!$BJ$22,)</f>
        <v>0</v>
      </c>
      <c r="L88" s="42">
        <f t="shared" si="19"/>
        <v>0</v>
      </c>
      <c r="M88" s="110">
        <f t="shared" si="12"/>
        <v>0</v>
      </c>
      <c r="N88" s="264" t="str">
        <f>+VLOOKUP('[1]NO DELETE'!$A$109,'[1]NO DELETE'!$K$56:$L$58,2)</f>
        <v>SIZE 2</v>
      </c>
      <c r="O88" s="265"/>
      <c r="P88" s="5"/>
    </row>
    <row r="89" spans="1:16" ht="21.6" x14ac:dyDescent="0.25">
      <c r="A89" s="52"/>
      <c r="B89" s="53"/>
      <c r="C89" s="88" t="s">
        <v>88</v>
      </c>
      <c r="D89" s="89" t="str">
        <f>+'[1]NO DELETE'!AL34</f>
        <v>ป้ายจราจรแบบ น 3 ( 2 ชิ้น)</v>
      </c>
      <c r="E89" s="26">
        <v>0</v>
      </c>
      <c r="F89" s="109" t="s">
        <v>50</v>
      </c>
      <c r="G89" s="47">
        <f t="shared" si="9"/>
        <v>0</v>
      </c>
      <c r="H89" s="47">
        <f t="shared" si="10"/>
        <v>0</v>
      </c>
      <c r="I89" s="83">
        <f>IF(E89&lt;=0,0,IF('[1]NO DELETE'!$A$109=1,'[1]NO DELETE'!AM34,IF('[1]NO DELETE'!$A$109=2,'[1]NO DELETE'!AN34,'[1]NO DELETE'!AO34)))</f>
        <v>0</v>
      </c>
      <c r="J89" s="110">
        <f t="shared" si="11"/>
        <v>0</v>
      </c>
      <c r="K89" s="32">
        <f>IF(E89&gt;0,[1]S2!$BJ$22,)</f>
        <v>0</v>
      </c>
      <c r="L89" s="42">
        <f t="shared" si="19"/>
        <v>0</v>
      </c>
      <c r="M89" s="110">
        <f t="shared" si="12"/>
        <v>0</v>
      </c>
      <c r="N89" s="264" t="str">
        <f>+VLOOKUP('[1]NO DELETE'!$A$109,'[1]NO DELETE'!$K$56:$L$58,2)</f>
        <v>SIZE 2</v>
      </c>
      <c r="O89" s="265"/>
      <c r="P89" s="5"/>
    </row>
    <row r="90" spans="1:16" ht="21.6" x14ac:dyDescent="0.25">
      <c r="A90" s="52"/>
      <c r="B90" s="53"/>
      <c r="C90" s="88" t="s">
        <v>89</v>
      </c>
      <c r="D90" s="89" t="str">
        <f>+'[1]NO DELETE'!AL35</f>
        <v>ป้ายจราจรแบบ น 3 ( 3 ชิ้น)</v>
      </c>
      <c r="E90" s="26">
        <v>0</v>
      </c>
      <c r="F90" s="109" t="s">
        <v>50</v>
      </c>
      <c r="G90" s="47">
        <f>IF(E90&lt;=0,0,)</f>
        <v>0</v>
      </c>
      <c r="H90" s="47">
        <f>IF(E90&lt;=0,0,)</f>
        <v>0</v>
      </c>
      <c r="I90" s="83">
        <f>IF(E90&lt;=0,0,IF('[1]NO DELETE'!$A$109=1,'[1]NO DELETE'!AM35,IF('[1]NO DELETE'!$A$109=2,'[1]NO DELETE'!AN35,'[1]NO DELETE'!AO35)))</f>
        <v>0</v>
      </c>
      <c r="J90" s="110">
        <f t="shared" si="11"/>
        <v>0</v>
      </c>
      <c r="K90" s="32">
        <f>IF(E90&gt;0,[1]S2!$BJ$22,)</f>
        <v>0</v>
      </c>
      <c r="L90" s="42">
        <f t="shared" si="19"/>
        <v>0</v>
      </c>
      <c r="M90" s="110">
        <f t="shared" si="12"/>
        <v>0</v>
      </c>
      <c r="N90" s="264" t="str">
        <f>+VLOOKUP('[1]NO DELETE'!$A$109,'[1]NO DELETE'!$K$56:$L$58,2)</f>
        <v>SIZE 2</v>
      </c>
      <c r="O90" s="265"/>
      <c r="P90" s="5"/>
    </row>
    <row r="91" spans="1:16" ht="21.6" x14ac:dyDescent="0.25">
      <c r="A91" s="52"/>
      <c r="B91" s="53"/>
      <c r="C91" s="88" t="s">
        <v>90</v>
      </c>
      <c r="D91" s="89" t="str">
        <f>+'[1]NO DELETE'!AL36</f>
        <v>ป้ายจราจรแบบ น 4</v>
      </c>
      <c r="E91" s="26">
        <v>0</v>
      </c>
      <c r="F91" s="109" t="s">
        <v>50</v>
      </c>
      <c r="G91" s="47">
        <f>IF(E91&lt;=0,0,)</f>
        <v>0</v>
      </c>
      <c r="H91" s="47">
        <f>IF(E91&lt;=0,0,)</f>
        <v>0</v>
      </c>
      <c r="I91" s="83">
        <f>IF(E91&lt;=0,0,IF('[1]NO DELETE'!$A$109=1,'[1]NO DELETE'!AM36,IF('[1]NO DELETE'!$A$109=2,'[1]NO DELETE'!AN36,'[1]NO DELETE'!AO36)))</f>
        <v>0</v>
      </c>
      <c r="J91" s="110">
        <f t="shared" si="11"/>
        <v>0</v>
      </c>
      <c r="K91" s="32">
        <f>IF(E91&gt;0,[1]S2!$BJ$22,)</f>
        <v>0</v>
      </c>
      <c r="L91" s="42">
        <f t="shared" si="19"/>
        <v>0</v>
      </c>
      <c r="M91" s="110">
        <f t="shared" si="12"/>
        <v>0</v>
      </c>
      <c r="N91" s="264" t="str">
        <f>+VLOOKUP('[1]NO DELETE'!$A$109,'[1]NO DELETE'!$K$56:$L$58,2)</f>
        <v>SIZE 2</v>
      </c>
      <c r="O91" s="265"/>
      <c r="P91" s="5"/>
    </row>
    <row r="92" spans="1:16" ht="21.6" x14ac:dyDescent="0.25">
      <c r="A92" s="52"/>
      <c r="B92" s="53"/>
      <c r="C92" s="88" t="s">
        <v>91</v>
      </c>
      <c r="D92" s="89" t="str">
        <f>+'[1]NO DELETE'!AL37</f>
        <v>ป้ายจราจรแบบ น 5</v>
      </c>
      <c r="E92" s="26">
        <v>0</v>
      </c>
      <c r="F92" s="109" t="s">
        <v>50</v>
      </c>
      <c r="G92" s="47">
        <f>IF(E92&lt;=0,0,)</f>
        <v>0</v>
      </c>
      <c r="H92" s="47">
        <f>IF(E92&lt;=0,0,)</f>
        <v>0</v>
      </c>
      <c r="I92" s="39">
        <v>0</v>
      </c>
      <c r="J92" s="110">
        <f t="shared" si="11"/>
        <v>0</v>
      </c>
      <c r="K92" s="32">
        <f>IF(E92&gt;0,[1]S2!$BJ$22,)</f>
        <v>0</v>
      </c>
      <c r="L92" s="42">
        <f t="shared" si="19"/>
        <v>0</v>
      </c>
      <c r="M92" s="110">
        <f t="shared" si="12"/>
        <v>0</v>
      </c>
      <c r="N92" s="264" t="str">
        <f>+VLOOKUP('[1]NO DELETE'!$A$109,'[1]NO DELETE'!$K$56:$L$58,2)</f>
        <v>SIZE 2</v>
      </c>
      <c r="O92" s="265"/>
      <c r="P92" s="53"/>
    </row>
    <row r="93" spans="1:16" ht="21.6" x14ac:dyDescent="0.25">
      <c r="A93" s="52"/>
      <c r="B93" s="53"/>
      <c r="C93" s="88" t="s">
        <v>92</v>
      </c>
      <c r="D93" s="89" t="str">
        <f>+'[1]NO DELETE'!AL38</f>
        <v>ป้ายจราจรแบบ น 6</v>
      </c>
      <c r="E93" s="26">
        <v>0</v>
      </c>
      <c r="F93" s="109" t="s">
        <v>50</v>
      </c>
      <c r="G93" s="47">
        <f>IF(E93&lt;=0,0,)</f>
        <v>0</v>
      </c>
      <c r="H93" s="47">
        <f>IF(E93&lt;=0,0,)</f>
        <v>0</v>
      </c>
      <c r="I93" s="39">
        <f>IF(E93&lt;=0,0,IF('[1]NO DELETE'!$A$109=1,'[1]NO DELETE'!AM38,IF('[1]NO DELETE'!$A$109=2,'[1]NO DELETE'!AN38,'[1]NO DELETE'!AO38)))</f>
        <v>0</v>
      </c>
      <c r="J93" s="110">
        <f t="shared" si="11"/>
        <v>0</v>
      </c>
      <c r="K93" s="32">
        <f>IF(E93&gt;0,[1]S2!$BJ$22,)</f>
        <v>0</v>
      </c>
      <c r="L93" s="42">
        <f t="shared" si="19"/>
        <v>0</v>
      </c>
      <c r="M93" s="110">
        <f t="shared" si="12"/>
        <v>0</v>
      </c>
      <c r="N93" s="264" t="str">
        <f>+VLOOKUP('[1]NO DELETE'!$A$109,'[1]NO DELETE'!$K$56:$L$58,2)</f>
        <v>SIZE 2</v>
      </c>
      <c r="O93" s="265"/>
      <c r="P93" s="53"/>
    </row>
    <row r="94" spans="1:16" ht="21.6" x14ac:dyDescent="0.25">
      <c r="A94" s="52"/>
      <c r="B94" s="53"/>
      <c r="C94" s="88" t="s">
        <v>93</v>
      </c>
      <c r="D94" s="89" t="str">
        <f>+'[1]NO DELETE'!AL39</f>
        <v>ป้ายจราจรแบบ น 7</v>
      </c>
      <c r="E94" s="26">
        <v>0</v>
      </c>
      <c r="F94" s="82" t="s">
        <v>50</v>
      </c>
      <c r="G94" s="47">
        <f>IF(E94&lt;=0,0,)</f>
        <v>0</v>
      </c>
      <c r="H94" s="47">
        <f>IF(E94&lt;=0,0,)</f>
        <v>0</v>
      </c>
      <c r="I94" s="39">
        <f>IF(E94&lt;=0,0,IF('[1]NO DELETE'!$A$109=1,'[1]NO DELETE'!AM39,IF('[1]NO DELETE'!$A$109=2,'[1]NO DELETE'!AN39,'[1]NO DELETE'!AO39)))</f>
        <v>0</v>
      </c>
      <c r="J94" s="110">
        <f t="shared" si="11"/>
        <v>0</v>
      </c>
      <c r="K94" s="32">
        <f>IF(E94&gt;0,[1]S2!$BJ$22,)</f>
        <v>0</v>
      </c>
      <c r="L94" s="42">
        <f t="shared" si="19"/>
        <v>0</v>
      </c>
      <c r="M94" s="110">
        <f t="shared" si="12"/>
        <v>0</v>
      </c>
      <c r="N94" s="264" t="str">
        <f>+VLOOKUP('[1]NO DELETE'!$A$109,'[1]NO DELETE'!$K$56:$L$58,2)</f>
        <v>SIZE 2</v>
      </c>
      <c r="O94" s="265"/>
      <c r="P94" s="53"/>
    </row>
    <row r="95" spans="1:16" ht="21.6" x14ac:dyDescent="0.25">
      <c r="A95" s="52"/>
      <c r="B95" s="53"/>
      <c r="C95" s="88" t="s">
        <v>94</v>
      </c>
      <c r="D95" s="89" t="str">
        <f>+'[1]NO DELETE'!AL40</f>
        <v>ป้ายจราจรแบบ น 8</v>
      </c>
      <c r="E95" s="26">
        <v>0</v>
      </c>
      <c r="F95" s="82" t="s">
        <v>50</v>
      </c>
      <c r="G95" s="39">
        <f t="shared" ref="G95:G136" si="20">IF(E95&lt;=0,0,)</f>
        <v>0</v>
      </c>
      <c r="H95" s="39">
        <f t="shared" ref="H95:H136" si="21">IF(E95&lt;=0,0,)</f>
        <v>0</v>
      </c>
      <c r="I95" s="83">
        <f>IF(E95&lt;=0,0,IF('[1]NO DELETE'!$A$109=1,'[1]NO DELETE'!AM40,IF('[1]NO DELETE'!$A$109=2,'[1]NO DELETE'!AN40,'[1]NO DELETE'!AO40)))</f>
        <v>0</v>
      </c>
      <c r="J95" s="110">
        <f t="shared" si="11"/>
        <v>0</v>
      </c>
      <c r="K95" s="32">
        <f>IF(E95&gt;0,[1]S2!$BJ$22,)</f>
        <v>0</v>
      </c>
      <c r="L95" s="42">
        <f t="shared" si="19"/>
        <v>0</v>
      </c>
      <c r="M95" s="110">
        <f t="shared" si="12"/>
        <v>0</v>
      </c>
      <c r="N95" s="264" t="str">
        <f>+VLOOKUP('[1]NO DELETE'!$A$109,'[1]NO DELETE'!$K$56:$L$58,2)</f>
        <v>SIZE 2</v>
      </c>
      <c r="O95" s="265"/>
      <c r="P95" s="5"/>
    </row>
    <row r="96" spans="1:16" ht="21.6" x14ac:dyDescent="0.25">
      <c r="A96" s="52"/>
      <c r="B96" s="53"/>
      <c r="C96" s="88" t="s">
        <v>95</v>
      </c>
      <c r="D96" s="89" t="str">
        <f>+'[1]NO DELETE'!AL41</f>
        <v>ป้ายจราจรแบบ นส 1 - นส 14</v>
      </c>
      <c r="E96" s="26">
        <v>0</v>
      </c>
      <c r="F96" s="82" t="s">
        <v>50</v>
      </c>
      <c r="G96" s="39">
        <f t="shared" si="20"/>
        <v>0</v>
      </c>
      <c r="H96" s="39">
        <f t="shared" si="21"/>
        <v>0</v>
      </c>
      <c r="I96" s="83">
        <f>IF(E96&lt;=0,0,IF('[1]NO DELETE'!$A$109=1,'[1]NO DELETE'!AM41,IF('[1]NO DELETE'!$A$109=2,'[1]NO DELETE'!AN41,'[1]NO DELETE'!AO41)))</f>
        <v>0</v>
      </c>
      <c r="J96" s="110">
        <f t="shared" si="11"/>
        <v>0</v>
      </c>
      <c r="K96" s="32">
        <f>IF(E96&gt;0,[1]S2!$BJ$22,)</f>
        <v>0</v>
      </c>
      <c r="L96" s="42">
        <f t="shared" si="19"/>
        <v>0</v>
      </c>
      <c r="M96" s="110">
        <f t="shared" si="12"/>
        <v>0</v>
      </c>
      <c r="N96" s="264" t="str">
        <f>+VLOOKUP('[1]NO DELETE'!$A$109,'[1]NO DELETE'!$K$56:$L$58,2)</f>
        <v>SIZE 2</v>
      </c>
      <c r="O96" s="265"/>
      <c r="P96" s="5"/>
    </row>
    <row r="97" spans="1:16" ht="21.6" x14ac:dyDescent="0.25">
      <c r="A97" s="52"/>
      <c r="B97" s="53"/>
      <c r="C97" s="88" t="s">
        <v>96</v>
      </c>
      <c r="D97" s="111" t="str">
        <f>+'[1]NO DELETE'!AL42</f>
        <v>ป้ายจราจรแบบ บ 3-บ 55 + ต 1-ต 27,ต 31- ต 60</v>
      </c>
      <c r="E97" s="26">
        <v>0</v>
      </c>
      <c r="F97" s="82" t="s">
        <v>50</v>
      </c>
      <c r="G97" s="39">
        <f t="shared" si="20"/>
        <v>0</v>
      </c>
      <c r="H97" s="39">
        <f t="shared" si="21"/>
        <v>0</v>
      </c>
      <c r="I97" s="83">
        <f>IF(E97&lt;=0,0,IF('[1]NO DELETE'!$A$109=1,'[1]NO DELETE'!AM42,IF('[1]NO DELETE'!$A$109=2,'[1]NO DELETE'!AN42,'[1]NO DELETE'!AO42)))</f>
        <v>0</v>
      </c>
      <c r="J97" s="110">
        <f t="shared" si="11"/>
        <v>0</v>
      </c>
      <c r="K97" s="32">
        <f>IF(E97&gt;0,[1]S2!$BJ$22,)</f>
        <v>0</v>
      </c>
      <c r="L97" s="42">
        <f t="shared" si="19"/>
        <v>0</v>
      </c>
      <c r="M97" s="110">
        <f t="shared" si="12"/>
        <v>0</v>
      </c>
      <c r="N97" s="264" t="str">
        <f>+VLOOKUP('[1]NO DELETE'!$A$109,'[1]NO DELETE'!$K$56:$L$58,2)</f>
        <v>SIZE 2</v>
      </c>
      <c r="O97" s="265"/>
      <c r="P97" s="5"/>
    </row>
    <row r="98" spans="1:16" ht="21.6" x14ac:dyDescent="0.25">
      <c r="A98" s="52"/>
      <c r="B98" s="53"/>
      <c r="C98" s="88" t="s">
        <v>97</v>
      </c>
      <c r="D98" s="89" t="str">
        <f>+'[1]NO DELETE'!AL43</f>
        <v>ป้ายจราจรแบบ ต 1- ต 27 + ต1 - ต 27</v>
      </c>
      <c r="E98" s="26">
        <v>0</v>
      </c>
      <c r="F98" s="82" t="s">
        <v>50</v>
      </c>
      <c r="G98" s="39">
        <f t="shared" si="20"/>
        <v>0</v>
      </c>
      <c r="H98" s="39">
        <f t="shared" si="21"/>
        <v>0</v>
      </c>
      <c r="I98" s="83">
        <f>IF(E98&lt;=0,0,IF('[1]NO DELETE'!$A$109=1,'[1]NO DELETE'!AM43,IF('[1]NO DELETE'!$A$109=2,'[1]NO DELETE'!AN43,'[1]NO DELETE'!AO43)))</f>
        <v>0</v>
      </c>
      <c r="J98" s="41">
        <f t="shared" si="11"/>
        <v>0</v>
      </c>
      <c r="K98" s="32">
        <f>IF(E98&gt;0,[1]S2!$BJ$22,)</f>
        <v>0</v>
      </c>
      <c r="L98" s="42">
        <f t="shared" si="19"/>
        <v>0</v>
      </c>
      <c r="M98" s="42">
        <f>L98*E98</f>
        <v>0</v>
      </c>
      <c r="N98" s="264" t="str">
        <f>+VLOOKUP('[1]NO DELETE'!$A$109,'[1]NO DELETE'!$K$56:$L$58,2)</f>
        <v>SIZE 2</v>
      </c>
      <c r="O98" s="265"/>
      <c r="P98" s="5"/>
    </row>
    <row r="99" spans="1:16" ht="21.6" x14ac:dyDescent="0.25">
      <c r="A99" s="52"/>
      <c r="B99" s="53"/>
      <c r="C99" s="88" t="s">
        <v>98</v>
      </c>
      <c r="D99" s="89" t="str">
        <f>+'[1]NO DELETE'!AL44</f>
        <v>ป้ายจราจรแบบ ต 1- ต 27 + ต31 - ต 60</v>
      </c>
      <c r="E99" s="26">
        <v>0</v>
      </c>
      <c r="F99" s="82" t="s">
        <v>50</v>
      </c>
      <c r="G99" s="39">
        <f t="shared" si="20"/>
        <v>0</v>
      </c>
      <c r="H99" s="112">
        <f t="shared" si="21"/>
        <v>0</v>
      </c>
      <c r="I99" s="83">
        <f>IF(E99&lt;=0,0,IF('[1]NO DELETE'!$A$109=1,'[1]NO DELETE'!AM44,IF('[1]NO DELETE'!$A$109=2,'[1]NO DELETE'!AN44,'[1]NO DELETE'!AO44)))</f>
        <v>0</v>
      </c>
      <c r="J99" s="41">
        <f t="shared" si="11"/>
        <v>0</v>
      </c>
      <c r="K99" s="32">
        <f>IF(E99&gt;0,[1]S2!$BJ$22,)</f>
        <v>0</v>
      </c>
      <c r="L99" s="42">
        <f t="shared" si="19"/>
        <v>0</v>
      </c>
      <c r="M99" s="42">
        <f>L99*E99</f>
        <v>0</v>
      </c>
      <c r="N99" s="264" t="str">
        <f>+VLOOKUP('[1]NO DELETE'!$A$109,'[1]NO DELETE'!$K$56:$L$58,2)</f>
        <v>SIZE 2</v>
      </c>
      <c r="O99" s="265"/>
      <c r="P99" s="5"/>
    </row>
    <row r="100" spans="1:16" ht="21.6" x14ac:dyDescent="0.25">
      <c r="A100" s="24"/>
      <c r="B100" s="113"/>
      <c r="C100" s="88" t="s">
        <v>99</v>
      </c>
      <c r="D100" s="89" t="str">
        <f>+'[1]NO DELETE'!AL45</f>
        <v>ป้ายจราจรแบบ ต 31- ต 60 + ต31 - ต 60</v>
      </c>
      <c r="E100" s="26">
        <v>0</v>
      </c>
      <c r="F100" s="82" t="s">
        <v>50</v>
      </c>
      <c r="G100" s="39">
        <f t="shared" si="20"/>
        <v>0</v>
      </c>
      <c r="H100" s="28">
        <f t="shared" si="21"/>
        <v>0</v>
      </c>
      <c r="I100" s="83">
        <f>IF(E100&lt;=0,0,IF('[1]NO DELETE'!$A$109=1,'[1]NO DELETE'!AM45,IF('[1]NO DELETE'!$A$109=2,'[1]NO DELETE'!AN45,'[1]NO DELETE'!AO45)))</f>
        <v>0</v>
      </c>
      <c r="J100" s="41">
        <f t="shared" si="11"/>
        <v>0</v>
      </c>
      <c r="K100" s="32">
        <f>IF(E100&gt;0,[1]S2!$BJ$22,)</f>
        <v>0</v>
      </c>
      <c r="L100" s="42">
        <f t="shared" si="19"/>
        <v>0</v>
      </c>
      <c r="M100" s="42">
        <f>L100*E100</f>
        <v>0</v>
      </c>
      <c r="N100" s="264" t="str">
        <f>+VLOOKUP('[1]NO DELETE'!$A$109,'[1]NO DELETE'!$K$56:$L$58,2)</f>
        <v>SIZE 2</v>
      </c>
      <c r="O100" s="265"/>
      <c r="P100" s="5"/>
    </row>
    <row r="101" spans="1:16" ht="21.6" x14ac:dyDescent="0.25">
      <c r="A101" s="52"/>
      <c r="B101" s="53"/>
      <c r="C101" s="88" t="s">
        <v>100</v>
      </c>
      <c r="D101" s="89" t="str">
        <f>+'[1]NO DELETE'!AL46</f>
        <v>ป้ายจราจรแบบ ต 1- ต 27 + ต 74</v>
      </c>
      <c r="E101" s="26">
        <v>0</v>
      </c>
      <c r="F101" s="82" t="s">
        <v>50</v>
      </c>
      <c r="G101" s="39">
        <f t="shared" si="20"/>
        <v>0</v>
      </c>
      <c r="H101" s="39">
        <f t="shared" si="21"/>
        <v>0</v>
      </c>
      <c r="I101" s="83">
        <f>IF(E101&lt;=0,0,IF('[1]NO DELETE'!$A$109=1,'[1]NO DELETE'!AM46,IF('[1]NO DELETE'!$A$109=2,'[1]NO DELETE'!AN46,'[1]NO DELETE'!AO46)))</f>
        <v>0</v>
      </c>
      <c r="J101" s="41">
        <f t="shared" si="11"/>
        <v>0</v>
      </c>
      <c r="K101" s="32">
        <f>IF(E101&gt;0,[1]S2!$BJ$22,)</f>
        <v>0</v>
      </c>
      <c r="L101" s="42">
        <f t="shared" si="19"/>
        <v>0</v>
      </c>
      <c r="M101" s="42">
        <f>L101*E101</f>
        <v>0</v>
      </c>
      <c r="N101" s="264" t="str">
        <f>+VLOOKUP('[1]NO DELETE'!$A$109,'[1]NO DELETE'!$K$56:$L$58,2)</f>
        <v>SIZE 2</v>
      </c>
      <c r="O101" s="265"/>
      <c r="P101" s="5"/>
    </row>
    <row r="102" spans="1:16" ht="21.6" x14ac:dyDescent="0.25">
      <c r="A102" s="24"/>
      <c r="B102" s="113"/>
      <c r="C102" s="88" t="s">
        <v>101</v>
      </c>
      <c r="D102" s="89" t="str">
        <f>+'[1]NO DELETE'!AL47</f>
        <v>ป้ายจราจรแบบ ต 31- ต 60 + ต 74</v>
      </c>
      <c r="E102" s="26">
        <v>0</v>
      </c>
      <c r="F102" s="82" t="s">
        <v>50</v>
      </c>
      <c r="G102" s="39">
        <f t="shared" si="20"/>
        <v>0</v>
      </c>
      <c r="H102" s="39">
        <f t="shared" si="21"/>
        <v>0</v>
      </c>
      <c r="I102" s="83">
        <f>IF(E102&lt;=0,0,IF('[1]NO DELETE'!$A$109=1,'[1]NO DELETE'!AM47,IF('[1]NO DELETE'!$A$109=2,'[1]NO DELETE'!AN47,'[1]NO DELETE'!AO47)))</f>
        <v>0</v>
      </c>
      <c r="J102" s="41">
        <f t="shared" si="11"/>
        <v>0</v>
      </c>
      <c r="K102" s="32">
        <f>IF(E102&gt;0,[1]S2!$BJ$22,)</f>
        <v>0</v>
      </c>
      <c r="L102" s="42">
        <f t="shared" si="19"/>
        <v>0</v>
      </c>
      <c r="M102" s="42">
        <f>L102*E102</f>
        <v>0</v>
      </c>
      <c r="N102" s="264" t="str">
        <f>+VLOOKUP('[1]NO DELETE'!$A$109,'[1]NO DELETE'!$K$56:$L$58,2)</f>
        <v>SIZE 2</v>
      </c>
      <c r="O102" s="265"/>
      <c r="P102" s="5"/>
    </row>
    <row r="103" spans="1:16" ht="21.6" x14ac:dyDescent="0.25">
      <c r="A103" s="24"/>
      <c r="B103" s="113"/>
      <c r="C103" s="88" t="s">
        <v>102</v>
      </c>
      <c r="D103" s="89" t="str">
        <f>+'[1]NO DELETE'!AL48</f>
        <v>ป้ายจราจรแบบ ต 1- ต 27 + ต 75</v>
      </c>
      <c r="E103" s="26">
        <v>0</v>
      </c>
      <c r="F103" s="82" t="s">
        <v>50</v>
      </c>
      <c r="G103" s="39">
        <f t="shared" si="20"/>
        <v>0</v>
      </c>
      <c r="H103" s="39">
        <f t="shared" si="21"/>
        <v>0</v>
      </c>
      <c r="I103" s="83">
        <f>IF(E103&lt;=0,0,IF('[1]NO DELETE'!$A$109=1,'[1]NO DELETE'!AM48,IF('[1]NO DELETE'!$A$109=2,'[1]NO DELETE'!AN48,'[1]NO DELETE'!AO48)))</f>
        <v>0</v>
      </c>
      <c r="J103" s="41">
        <f t="shared" si="11"/>
        <v>0</v>
      </c>
      <c r="K103" s="32">
        <f>IF(E103&gt;0,[1]S2!$BJ$22,)</f>
        <v>0</v>
      </c>
      <c r="L103" s="42">
        <f t="shared" si="19"/>
        <v>0</v>
      </c>
      <c r="M103" s="42">
        <f t="shared" ref="M103:M136" si="22">L103*E103</f>
        <v>0</v>
      </c>
      <c r="N103" s="264" t="str">
        <f>+VLOOKUP('[1]NO DELETE'!$A$109,'[1]NO DELETE'!$K$56:$L$58,2)</f>
        <v>SIZE 2</v>
      </c>
      <c r="O103" s="265"/>
      <c r="P103" s="5"/>
    </row>
    <row r="104" spans="1:16" ht="21.6" x14ac:dyDescent="0.25">
      <c r="A104" s="24"/>
      <c r="B104" s="113"/>
      <c r="C104" s="88" t="s">
        <v>103</v>
      </c>
      <c r="D104" s="89" t="str">
        <f>+'[1]NO DELETE'!AL49</f>
        <v>ป้ายจราจรแบบ ต 31- ต 60 + ต 75</v>
      </c>
      <c r="E104" s="26">
        <v>0</v>
      </c>
      <c r="F104" s="82" t="s">
        <v>50</v>
      </c>
      <c r="G104" s="39">
        <f t="shared" si="20"/>
        <v>0</v>
      </c>
      <c r="H104" s="39">
        <f t="shared" si="21"/>
        <v>0</v>
      </c>
      <c r="I104" s="83">
        <f>IF(E104&lt;=0,0,IF('[1]NO DELETE'!$A$109=1,'[1]NO DELETE'!AM49,IF('[1]NO DELETE'!$A$109=2,'[1]NO DELETE'!AN49,'[1]NO DELETE'!AO49)))</f>
        <v>0</v>
      </c>
      <c r="J104" s="41">
        <f t="shared" si="11"/>
        <v>0</v>
      </c>
      <c r="K104" s="32">
        <f>IF(E104&gt;0,[1]S2!$BJ$22,)</f>
        <v>0</v>
      </c>
      <c r="L104" s="42">
        <f t="shared" si="19"/>
        <v>0</v>
      </c>
      <c r="M104" s="42">
        <f t="shared" si="22"/>
        <v>0</v>
      </c>
      <c r="N104" s="264" t="str">
        <f>+VLOOKUP('[1]NO DELETE'!$A$109,'[1]NO DELETE'!$K$56:$L$58,2)</f>
        <v>SIZE 2</v>
      </c>
      <c r="O104" s="265"/>
      <c r="P104" s="5"/>
    </row>
    <row r="105" spans="1:16" ht="21.6" x14ac:dyDescent="0.25">
      <c r="A105" s="24"/>
      <c r="B105" s="113"/>
      <c r="C105" s="88" t="s">
        <v>104</v>
      </c>
      <c r="D105" s="89" t="str">
        <f>+'[1]NO DELETE'!AL50</f>
        <v>ป้ายจราจรแบบ ต 1- ต 27 + ต 76</v>
      </c>
      <c r="E105" s="26">
        <v>0</v>
      </c>
      <c r="F105" s="82" t="s">
        <v>50</v>
      </c>
      <c r="G105" s="39">
        <f t="shared" si="20"/>
        <v>0</v>
      </c>
      <c r="H105" s="39">
        <f t="shared" si="21"/>
        <v>0</v>
      </c>
      <c r="I105" s="83">
        <f>IF(E105&lt;=0,0,IF('[1]NO DELETE'!$A$109=1,'[1]NO DELETE'!AM50,IF('[1]NO DELETE'!$A$109=2,'[1]NO DELETE'!AN50,'[1]NO DELETE'!AO50)))</f>
        <v>0</v>
      </c>
      <c r="J105" s="41">
        <f t="shared" si="11"/>
        <v>0</v>
      </c>
      <c r="K105" s="32">
        <f>IF(E105&gt;0,[1]S2!$BJ$22,)</f>
        <v>0</v>
      </c>
      <c r="L105" s="42">
        <f t="shared" si="19"/>
        <v>0</v>
      </c>
      <c r="M105" s="42">
        <f t="shared" si="22"/>
        <v>0</v>
      </c>
      <c r="N105" s="264" t="str">
        <f>+VLOOKUP('[1]NO DELETE'!$A$109,'[1]NO DELETE'!$K$56:$L$58,2)</f>
        <v>SIZE 2</v>
      </c>
      <c r="O105" s="265"/>
      <c r="P105" s="5"/>
    </row>
    <row r="106" spans="1:16" ht="21.6" x14ac:dyDescent="0.25">
      <c r="A106" s="24"/>
      <c r="B106" s="113"/>
      <c r="C106" s="88" t="s">
        <v>105</v>
      </c>
      <c r="D106" s="89" t="str">
        <f>+'[1]NO DELETE'!AL51</f>
        <v>ป้ายจราจรแบบ ต 31- ต 60 + ต 76</v>
      </c>
      <c r="E106" s="26">
        <v>0</v>
      </c>
      <c r="F106" s="82" t="s">
        <v>50</v>
      </c>
      <c r="G106" s="39">
        <f t="shared" si="20"/>
        <v>0</v>
      </c>
      <c r="H106" s="39">
        <f t="shared" si="21"/>
        <v>0</v>
      </c>
      <c r="I106" s="83">
        <f>IF(E106&lt;=0,0,IF('[1]NO DELETE'!$A$109=1,'[1]NO DELETE'!AM51,IF('[1]NO DELETE'!$A$109=2,'[1]NO DELETE'!AN51,'[1]NO DELETE'!AO51)))</f>
        <v>0</v>
      </c>
      <c r="J106" s="41">
        <f t="shared" si="11"/>
        <v>0</v>
      </c>
      <c r="K106" s="32">
        <f>IF(E106&gt;0,[1]S2!$BJ$22,)</f>
        <v>0</v>
      </c>
      <c r="L106" s="42">
        <f t="shared" si="19"/>
        <v>0</v>
      </c>
      <c r="M106" s="42">
        <f t="shared" si="22"/>
        <v>0</v>
      </c>
      <c r="N106" s="264" t="str">
        <f>+VLOOKUP('[1]NO DELETE'!$A$109,'[1]NO DELETE'!$K$56:$L$58,2)</f>
        <v>SIZE 2</v>
      </c>
      <c r="O106" s="265"/>
      <c r="P106" s="5"/>
    </row>
    <row r="107" spans="1:16" ht="21.6" x14ac:dyDescent="0.25">
      <c r="A107" s="52"/>
      <c r="B107" s="53"/>
      <c r="C107" s="88" t="s">
        <v>106</v>
      </c>
      <c r="D107" s="89" t="str">
        <f>+'[1]NO DELETE'!AL52</f>
        <v>ป้ายจราจรแบบ ต 1- ต 27 + ต 77</v>
      </c>
      <c r="E107" s="26">
        <v>0</v>
      </c>
      <c r="F107" s="82" t="s">
        <v>50</v>
      </c>
      <c r="G107" s="39">
        <f t="shared" si="20"/>
        <v>0</v>
      </c>
      <c r="H107" s="39">
        <f t="shared" si="21"/>
        <v>0</v>
      </c>
      <c r="I107" s="83">
        <f>IF(E107&lt;=0,0,IF('[1]NO DELETE'!$A$109=1,'[1]NO DELETE'!AM52,IF('[1]NO DELETE'!$A$109=2,'[1]NO DELETE'!AN52,'[1]NO DELETE'!AO52)))</f>
        <v>0</v>
      </c>
      <c r="J107" s="41">
        <f t="shared" si="11"/>
        <v>0</v>
      </c>
      <c r="K107" s="32">
        <f>IF(E107&gt;0,[1]S2!$BJ$22,)</f>
        <v>0</v>
      </c>
      <c r="L107" s="42">
        <f t="shared" si="19"/>
        <v>0</v>
      </c>
      <c r="M107" s="42">
        <f t="shared" si="22"/>
        <v>0</v>
      </c>
      <c r="N107" s="264" t="str">
        <f>+VLOOKUP('[1]NO DELETE'!$A$109,'[1]NO DELETE'!$K$56:$L$58,2)</f>
        <v>SIZE 2</v>
      </c>
      <c r="O107" s="265"/>
      <c r="P107" s="5"/>
    </row>
    <row r="108" spans="1:16" ht="21.6" x14ac:dyDescent="0.25">
      <c r="A108" s="52"/>
      <c r="B108" s="53"/>
      <c r="C108" s="88" t="s">
        <v>107</v>
      </c>
      <c r="D108" s="89" t="str">
        <f>+'[1]NO DELETE'!AL53</f>
        <v>ป้ายจราจรแบบ ต 31- ต 60 + ต 77</v>
      </c>
      <c r="E108" s="26">
        <v>0</v>
      </c>
      <c r="F108" s="82" t="s">
        <v>50</v>
      </c>
      <c r="G108" s="39">
        <f t="shared" si="20"/>
        <v>0</v>
      </c>
      <c r="H108" s="39">
        <f t="shared" si="21"/>
        <v>0</v>
      </c>
      <c r="I108" s="83">
        <f>IF(E108&lt;=0,0,IF('[1]NO DELETE'!$A$109=1,'[1]NO DELETE'!AM53,IF('[1]NO DELETE'!$A$109=2,'[1]NO DELETE'!AN53,'[1]NO DELETE'!AO53)))</f>
        <v>0</v>
      </c>
      <c r="J108" s="41">
        <f t="shared" si="11"/>
        <v>0</v>
      </c>
      <c r="K108" s="32">
        <f>IF(E108&gt;0,[1]S2!$BJ$22,)</f>
        <v>0</v>
      </c>
      <c r="L108" s="42">
        <f t="shared" si="19"/>
        <v>0</v>
      </c>
      <c r="M108" s="42">
        <f t="shared" si="22"/>
        <v>0</v>
      </c>
      <c r="N108" s="264" t="str">
        <f>+VLOOKUP('[1]NO DELETE'!$A$109,'[1]NO DELETE'!$K$56:$L$58,2)</f>
        <v>SIZE 2</v>
      </c>
      <c r="O108" s="265"/>
      <c r="P108" s="5"/>
    </row>
    <row r="109" spans="1:16" ht="21.6" x14ac:dyDescent="0.25">
      <c r="A109" s="52"/>
      <c r="B109" s="53"/>
      <c r="C109" s="88" t="s">
        <v>108</v>
      </c>
      <c r="D109" s="89" t="str">
        <f>+'[1]NO DELETE'!AL54</f>
        <v>ป้ายจราจรแบบ ต 1- ต 27 + ต 78</v>
      </c>
      <c r="E109" s="26">
        <v>0</v>
      </c>
      <c r="F109" s="82" t="s">
        <v>50</v>
      </c>
      <c r="G109" s="39">
        <f t="shared" si="20"/>
        <v>0</v>
      </c>
      <c r="H109" s="39">
        <f t="shared" si="21"/>
        <v>0</v>
      </c>
      <c r="I109" s="83">
        <f>IF(E109&lt;=0,0,IF('[1]NO DELETE'!$A$109=1,'[1]NO DELETE'!AM54,IF('[1]NO DELETE'!$A$109=2,'[1]NO DELETE'!AN54,'[1]NO DELETE'!AO54)))</f>
        <v>0</v>
      </c>
      <c r="J109" s="41">
        <f t="shared" si="11"/>
        <v>0</v>
      </c>
      <c r="K109" s="32">
        <f>IF(E109&gt;0,[1]S2!$BJ$22,)</f>
        <v>0</v>
      </c>
      <c r="L109" s="42">
        <f t="shared" si="19"/>
        <v>0</v>
      </c>
      <c r="M109" s="42">
        <f t="shared" si="22"/>
        <v>0</v>
      </c>
      <c r="N109" s="264" t="str">
        <f>+VLOOKUP('[1]NO DELETE'!$A$109,'[1]NO DELETE'!$K$56:$L$58,2)</f>
        <v>SIZE 2</v>
      </c>
      <c r="O109" s="265"/>
      <c r="P109" s="5"/>
    </row>
    <row r="110" spans="1:16" ht="21.6" x14ac:dyDescent="0.25">
      <c r="A110" s="52"/>
      <c r="B110" s="53"/>
      <c r="C110" s="88" t="s">
        <v>109</v>
      </c>
      <c r="D110" s="89" t="str">
        <f>+'[1]NO DELETE'!AL55</f>
        <v>ป้ายจราจรแบบ ต 31- ต 60 + ต 78</v>
      </c>
      <c r="E110" s="26">
        <v>0</v>
      </c>
      <c r="F110" s="82" t="s">
        <v>50</v>
      </c>
      <c r="G110" s="39">
        <f t="shared" si="20"/>
        <v>0</v>
      </c>
      <c r="H110" s="39">
        <f t="shared" si="21"/>
        <v>0</v>
      </c>
      <c r="I110" s="83">
        <f>IF(E110&lt;=0,0,IF('[1]NO DELETE'!$A$109=1,'[1]NO DELETE'!AM55,IF('[1]NO DELETE'!$A$109=2,'[1]NO DELETE'!AN55,'[1]NO DELETE'!AO55)))</f>
        <v>0</v>
      </c>
      <c r="J110" s="41">
        <f t="shared" si="11"/>
        <v>0</v>
      </c>
      <c r="K110" s="32">
        <f>IF(E110&gt;0,[1]S2!$BJ$22,)</f>
        <v>0</v>
      </c>
      <c r="L110" s="42">
        <f t="shared" si="19"/>
        <v>0</v>
      </c>
      <c r="M110" s="42">
        <f t="shared" si="22"/>
        <v>0</v>
      </c>
      <c r="N110" s="264" t="str">
        <f>+VLOOKUP('[1]NO DELETE'!$A$109,'[1]NO DELETE'!$K$56:$L$58,2)</f>
        <v>SIZE 2</v>
      </c>
      <c r="O110" s="265"/>
      <c r="P110" s="5"/>
    </row>
    <row r="111" spans="1:16" ht="21.6" x14ac:dyDescent="0.25">
      <c r="A111" s="52"/>
      <c r="B111" s="53"/>
      <c r="C111" s="88" t="s">
        <v>110</v>
      </c>
      <c r="D111" s="114" t="str">
        <f>+'[1]NO DELETE'!AL56</f>
        <v>ป้ายจราจรแบบ น 1 + นส 1 - นส 14</v>
      </c>
      <c r="E111" s="26">
        <v>0</v>
      </c>
      <c r="F111" s="82" t="s">
        <v>50</v>
      </c>
      <c r="G111" s="39">
        <f t="shared" si="20"/>
        <v>0</v>
      </c>
      <c r="H111" s="39">
        <f t="shared" si="21"/>
        <v>0</v>
      </c>
      <c r="I111" s="39">
        <f>IF(E111&lt;=0,0,IF('[1]NO DELETE'!$AI$39=1,'[1]NO DELETE'!AM56,IF('[1]NO DELETE'!$AI$39=2,'[1]NO DELETE'!AN56,'[1]NO DELETE'!AO56)))</f>
        <v>0</v>
      </c>
      <c r="J111" s="41">
        <f t="shared" si="11"/>
        <v>0</v>
      </c>
      <c r="K111" s="115">
        <f>IF(E111&gt;0,[1]S2!$BJ$22,)</f>
        <v>0</v>
      </c>
      <c r="L111" s="42">
        <f t="shared" si="19"/>
        <v>0</v>
      </c>
      <c r="M111" s="42">
        <f>L111*E111</f>
        <v>0</v>
      </c>
      <c r="N111" s="264" t="str">
        <f>+VLOOKUP('[1]NO DELETE'!$A$109,'[1]NO DELETE'!$K$56:$L$58,2)</f>
        <v>SIZE 2</v>
      </c>
      <c r="O111" s="265"/>
      <c r="P111" s="5"/>
    </row>
    <row r="112" spans="1:16" ht="21.6" x14ac:dyDescent="0.25">
      <c r="A112" s="52"/>
      <c r="B112" s="53"/>
      <c r="C112" s="88" t="s">
        <v>111</v>
      </c>
      <c r="D112" s="114" t="str">
        <f>+'[1]NO DELETE'!AL57</f>
        <v>ป้ายจราจรแบบ น 1/1 + นส 1 - นส 14</v>
      </c>
      <c r="E112" s="26">
        <v>0</v>
      </c>
      <c r="F112" s="82" t="s">
        <v>50</v>
      </c>
      <c r="G112" s="39">
        <f t="shared" si="20"/>
        <v>0</v>
      </c>
      <c r="H112" s="39">
        <f t="shared" si="21"/>
        <v>0</v>
      </c>
      <c r="I112" s="39">
        <f>IF(E112&lt;=0,0,IF('[1]NO DELETE'!$AI$39=1,'[1]NO DELETE'!AM57,IF('[1]NO DELETE'!$AI$39=2,'[1]NO DELETE'!AN57,'[1]NO DELETE'!AO57)))</f>
        <v>0</v>
      </c>
      <c r="J112" s="41">
        <f t="shared" si="11"/>
        <v>0</v>
      </c>
      <c r="K112" s="116">
        <f>IF(E112&gt;0,[1]S2!$BJ$22,)</f>
        <v>0</v>
      </c>
      <c r="L112" s="42">
        <f t="shared" si="19"/>
        <v>0</v>
      </c>
      <c r="M112" s="42">
        <f>L112*E112</f>
        <v>0</v>
      </c>
      <c r="N112" s="264" t="str">
        <f>+VLOOKUP('[1]NO DELETE'!$A$109,'[1]NO DELETE'!$K$56:$L$58,2)</f>
        <v>SIZE 2</v>
      </c>
      <c r="O112" s="265"/>
      <c r="P112" s="5"/>
    </row>
    <row r="113" spans="1:16" ht="21.6" x14ac:dyDescent="0.25">
      <c r="A113" s="52"/>
      <c r="B113" s="53"/>
      <c r="C113" s="85" t="s">
        <v>112</v>
      </c>
      <c r="D113" s="117" t="str">
        <f>+'[1]NO DELETE'!AL58</f>
        <v>ป้ายจราจรแบบ น 1(2ชิ้น) + นส 14(2ชิ้น)</v>
      </c>
      <c r="E113" s="26">
        <v>0</v>
      </c>
      <c r="F113" s="87" t="s">
        <v>50</v>
      </c>
      <c r="G113" s="28">
        <f>IF(E113&lt;=0,0,)</f>
        <v>0</v>
      </c>
      <c r="H113" s="28">
        <f>IF(E113&lt;=0,0,)</f>
        <v>0</v>
      </c>
      <c r="I113" s="39">
        <f>IF(E113&lt;=0,0,IF('[1]NO DELETE'!$AI$39=1,'[1]NO DELETE'!AM58,IF('[1]NO DELETE'!$AI$39=2,'[1]NO DELETE'!AN58,'[1]NO DELETE'!AO58)))</f>
        <v>0</v>
      </c>
      <c r="J113" s="41">
        <f t="shared" si="11"/>
        <v>0</v>
      </c>
      <c r="K113" s="115">
        <f>IF(E113&gt;0,[1]S2!$BJ$22,)</f>
        <v>0</v>
      </c>
      <c r="L113" s="42">
        <f>K113*I113</f>
        <v>0</v>
      </c>
      <c r="M113" s="42">
        <f>L113*E113</f>
        <v>0</v>
      </c>
      <c r="N113" s="264" t="str">
        <f>+VLOOKUP('[1]NO DELETE'!$A$109,'[1]NO DELETE'!$K$56:$L$58,2)</f>
        <v>SIZE 2</v>
      </c>
      <c r="O113" s="265"/>
      <c r="P113" s="5"/>
    </row>
    <row r="114" spans="1:16" ht="21.6" x14ac:dyDescent="0.25">
      <c r="A114" s="52"/>
      <c r="B114" s="53"/>
      <c r="C114" s="88" t="s">
        <v>113</v>
      </c>
      <c r="D114" s="114" t="str">
        <f>+'[1]NO DELETE'!AL59</f>
        <v>ป้ายจราจรแบบ น 1+น1/1+ นส 14(2ชิ้น)</v>
      </c>
      <c r="E114" s="26">
        <v>0</v>
      </c>
      <c r="F114" s="82" t="s">
        <v>50</v>
      </c>
      <c r="G114" s="39">
        <f>IF(E114&lt;=0,0,)</f>
        <v>0</v>
      </c>
      <c r="H114" s="39">
        <f>IF(E114&lt;=0,0,)</f>
        <v>0</v>
      </c>
      <c r="I114" s="83">
        <f>IF(E114&lt;=0,0,IF('[1]NO DELETE'!$AI$39=1,'[1]NO DELETE'!AM59,IF('[1]NO DELETE'!$AI$39=2,'[1]NO DELETE'!AN59,'[1]NO DELETE'!AO59)))</f>
        <v>0</v>
      </c>
      <c r="J114" s="41">
        <f t="shared" si="11"/>
        <v>0</v>
      </c>
      <c r="K114" s="32">
        <f>IF(E114&gt;0,[1]S2!$BJ$22,)</f>
        <v>0</v>
      </c>
      <c r="L114" s="42">
        <f>K114*I114</f>
        <v>0</v>
      </c>
      <c r="M114" s="42">
        <f>L114*E114</f>
        <v>0</v>
      </c>
      <c r="N114" s="264" t="str">
        <f>+VLOOKUP('[1]NO DELETE'!$A$109,'[1]NO DELETE'!$K$56:$L$58,2)</f>
        <v>SIZE 2</v>
      </c>
      <c r="O114" s="265"/>
      <c r="P114" s="5"/>
    </row>
    <row r="115" spans="1:16" ht="21.6" x14ac:dyDescent="0.25">
      <c r="A115" s="243" t="s">
        <v>60</v>
      </c>
      <c r="B115" s="244"/>
      <c r="C115" s="244"/>
      <c r="D115" s="244"/>
      <c r="E115" s="244"/>
      <c r="F115" s="244"/>
      <c r="G115" s="244"/>
      <c r="H115" s="244"/>
      <c r="I115" s="245"/>
      <c r="J115" s="93">
        <f>SUM(J62:J114)</f>
        <v>0</v>
      </c>
      <c r="K115" s="94"/>
      <c r="L115" s="95"/>
      <c r="M115" s="93">
        <f>SUM(M62:M114)</f>
        <v>0</v>
      </c>
      <c r="N115" s="21"/>
      <c r="O115" s="18"/>
      <c r="P115" s="5"/>
    </row>
    <row r="116" spans="1:16" ht="25.2" x14ac:dyDescent="0.25">
      <c r="A116" s="249" t="str">
        <f>+A57</f>
        <v>รายละเอียดการประมาณราคา เสริมผิวแอสฟัลต์คอนกรีตโดยวิธี  ( Overlay )</v>
      </c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  <c r="P116" s="5"/>
    </row>
    <row r="117" spans="1:16" ht="34.200000000000003" x14ac:dyDescent="0.25">
      <c r="A117" s="3" t="str">
        <f>+A58</f>
        <v>รหัสทางหลวงท้องถิ่น</v>
      </c>
      <c r="B117" s="96"/>
      <c r="C117" s="96"/>
      <c r="D117" s="2" t="str">
        <f>+D58</f>
        <v>รอ.</v>
      </c>
      <c r="E117" s="3" t="str">
        <f>+E58</f>
        <v>ชื่อสายทาง</v>
      </c>
      <c r="F117" s="4" t="str">
        <f>+F58</f>
        <v xml:space="preserve"> บ้านหินตั้ง หมู่ที่4 ระยะทาง 528 เมตร </v>
      </c>
      <c r="G117" s="96"/>
      <c r="H117" s="96"/>
      <c r="I117" s="96"/>
      <c r="J117" s="96"/>
      <c r="K117" s="96"/>
      <c r="L117" s="97"/>
      <c r="M117" s="3"/>
      <c r="N117" s="118"/>
      <c r="O117" s="118"/>
      <c r="P117" s="5"/>
    </row>
    <row r="118" spans="1:16" ht="34.200000000000003" x14ac:dyDescent="0.25">
      <c r="A118" s="3" t="str">
        <f>+A59</f>
        <v>สถานที่ตั้ง</v>
      </c>
      <c r="B118" s="96"/>
      <c r="C118" s="96"/>
      <c r="D118" s="2" t="str">
        <f>+D59</f>
        <v xml:space="preserve"> บ้านหินตั้ง หมู่ที่4 ต.โนนรัง อ.เมืองร้อยเอ็ด  จ.ร้อยเอ็ด</v>
      </c>
      <c r="E118" s="5"/>
      <c r="F118" s="98"/>
      <c r="G118" s="98"/>
      <c r="H118" s="3" t="str">
        <f>+H59</f>
        <v>ปริมาณงาน</v>
      </c>
      <c r="I118" s="5"/>
      <c r="J118" s="99">
        <f>+J59</f>
        <v>0.52800000000000002</v>
      </c>
      <c r="K118" s="10" t="str">
        <f>+K59</f>
        <v>กม.</v>
      </c>
      <c r="L118" s="100" t="str">
        <f>+L59</f>
        <v>ประจำปีงบประมาณ  2567</v>
      </c>
      <c r="M118" s="7"/>
      <c r="N118" s="119"/>
      <c r="O118" s="119"/>
      <c r="P118" s="5"/>
    </row>
    <row r="119" spans="1:16" ht="21.6" x14ac:dyDescent="0.25">
      <c r="A119" s="250" t="s">
        <v>2</v>
      </c>
      <c r="B119" s="252" t="s">
        <v>3</v>
      </c>
      <c r="C119" s="253"/>
      <c r="D119" s="254"/>
      <c r="E119" s="250" t="s">
        <v>4</v>
      </c>
      <c r="F119" s="250" t="s">
        <v>5</v>
      </c>
      <c r="G119" s="243" t="s">
        <v>6</v>
      </c>
      <c r="H119" s="244"/>
      <c r="I119" s="245"/>
      <c r="J119" s="12" t="s">
        <v>7</v>
      </c>
      <c r="K119" s="250" t="s">
        <v>8</v>
      </c>
      <c r="L119" s="243" t="s">
        <v>9</v>
      </c>
      <c r="M119" s="245"/>
      <c r="N119" s="252" t="s">
        <v>10</v>
      </c>
      <c r="O119" s="254"/>
      <c r="P119" s="5"/>
    </row>
    <row r="120" spans="1:16" ht="21.6" x14ac:dyDescent="0.25">
      <c r="A120" s="251"/>
      <c r="B120" s="255"/>
      <c r="C120" s="256"/>
      <c r="D120" s="257"/>
      <c r="E120" s="251"/>
      <c r="F120" s="251"/>
      <c r="G120" s="13" t="s">
        <v>11</v>
      </c>
      <c r="H120" s="13" t="s">
        <v>12</v>
      </c>
      <c r="I120" s="13" t="s">
        <v>13</v>
      </c>
      <c r="J120" s="14" t="s">
        <v>14</v>
      </c>
      <c r="K120" s="251"/>
      <c r="L120" s="15" t="s">
        <v>15</v>
      </c>
      <c r="M120" s="15" t="s">
        <v>13</v>
      </c>
      <c r="N120" s="255"/>
      <c r="O120" s="257"/>
      <c r="P120" s="5"/>
    </row>
    <row r="121" spans="1:16" ht="21.6" x14ac:dyDescent="0.25">
      <c r="A121" s="55"/>
      <c r="B121" s="101"/>
      <c r="C121" s="102"/>
      <c r="D121" s="103" t="s">
        <v>61</v>
      </c>
      <c r="E121" s="104"/>
      <c r="F121" s="104"/>
      <c r="G121" s="104"/>
      <c r="H121" s="104"/>
      <c r="I121" s="104"/>
      <c r="J121" s="105">
        <f>J115</f>
        <v>0</v>
      </c>
      <c r="K121" s="106"/>
      <c r="L121" s="107"/>
      <c r="M121" s="105">
        <f>M115</f>
        <v>0</v>
      </c>
      <c r="N121" s="101"/>
      <c r="O121" s="108"/>
      <c r="P121" s="5"/>
    </row>
    <row r="122" spans="1:16" ht="21.6" x14ac:dyDescent="0.25">
      <c r="A122" s="52"/>
      <c r="B122" s="53"/>
      <c r="C122" s="85" t="s">
        <v>114</v>
      </c>
      <c r="D122" s="117" t="str">
        <f>+'[1]NO DELETE'!AL60</f>
        <v>ป้ายจราจรแบบ น 1+น 1/1(2ชิ้น)+นส 1 - นส 14(3ชิ้น)</v>
      </c>
      <c r="E122" s="26">
        <v>0</v>
      </c>
      <c r="F122" s="87" t="s">
        <v>50</v>
      </c>
      <c r="G122" s="28">
        <f t="shared" ref="G122:G127" si="23">IF(E122&lt;=0,0,)</f>
        <v>0</v>
      </c>
      <c r="H122" s="28">
        <f t="shared" ref="H122:H127" si="24">IF(E122&lt;=0,0,)</f>
        <v>0</v>
      </c>
      <c r="I122" s="76">
        <f>IF(E122&lt;=0,0,IF('[1]NO DELETE'!$AI$39=1,'[1]NO DELETE'!AM60,IF('[1]NO DELETE'!$AI$39=2,'[1]NO DELETE'!AN60,'[1]NO DELETE'!AO60)))</f>
        <v>0</v>
      </c>
      <c r="J122" s="31">
        <f t="shared" ref="J122" si="25">E122*I122</f>
        <v>0</v>
      </c>
      <c r="K122" s="32">
        <f>IF(E122&gt;0,[1]S2!$BJ$22,)</f>
        <v>0</v>
      </c>
      <c r="L122" s="33">
        <f t="shared" ref="L122:L136" si="26">K122*I122</f>
        <v>0</v>
      </c>
      <c r="M122" s="33">
        <f t="shared" ref="M122" si="27">L122*E122</f>
        <v>0</v>
      </c>
      <c r="N122" s="262" t="str">
        <f>+VLOOKUP('[1]NO DELETE'!$A$109,'[1]NO DELETE'!$K$56:$L$58,2)</f>
        <v>SIZE 2</v>
      </c>
      <c r="O122" s="263"/>
      <c r="P122" s="5"/>
    </row>
    <row r="123" spans="1:16" ht="21.6" x14ac:dyDescent="0.25">
      <c r="A123" s="52"/>
      <c r="B123" s="53"/>
      <c r="C123" s="88" t="s">
        <v>115</v>
      </c>
      <c r="D123" s="89" t="str">
        <f>VLOOKUP('[1]NO DELETE'!A70,'[1]NO DELETE'!A68:B69,2)</f>
        <v>หลักนำโค้ง 0.15x0.15 ม.</v>
      </c>
      <c r="E123" s="26">
        <v>0</v>
      </c>
      <c r="F123" s="120" t="s">
        <v>45</v>
      </c>
      <c r="G123" s="39">
        <f t="shared" si="23"/>
        <v>0</v>
      </c>
      <c r="H123" s="39">
        <f t="shared" si="24"/>
        <v>0</v>
      </c>
      <c r="I123" s="83">
        <f>IF(E123&lt;=0,0,'[1]NO DELETE'!B70)</f>
        <v>0</v>
      </c>
      <c r="J123" s="41">
        <f>E123*I123</f>
        <v>0</v>
      </c>
      <c r="K123" s="32">
        <f>IF(E123&gt;0,[1]S2!$BJ$22,)</f>
        <v>0</v>
      </c>
      <c r="L123" s="42">
        <f t="shared" si="26"/>
        <v>0</v>
      </c>
      <c r="M123" s="42">
        <f>L123*E123</f>
        <v>0</v>
      </c>
      <c r="N123" s="121"/>
      <c r="O123" s="122"/>
      <c r="P123" s="5"/>
    </row>
    <row r="124" spans="1:16" ht="21.6" x14ac:dyDescent="0.25">
      <c r="A124" s="52"/>
      <c r="B124" s="53"/>
      <c r="C124" s="85" t="s">
        <v>116</v>
      </c>
      <c r="D124" s="86" t="s">
        <v>47</v>
      </c>
      <c r="E124" s="26">
        <v>0</v>
      </c>
      <c r="F124" s="123" t="s">
        <v>45</v>
      </c>
      <c r="G124" s="28">
        <f t="shared" si="23"/>
        <v>0</v>
      </c>
      <c r="H124" s="28">
        <f t="shared" si="24"/>
        <v>0</v>
      </c>
      <c r="I124" s="76">
        <v>0</v>
      </c>
      <c r="J124" s="31">
        <f>E124*I124</f>
        <v>0</v>
      </c>
      <c r="K124" s="32">
        <f>IF(E124&gt;0,[1]S2!$BJ$22,)</f>
        <v>0</v>
      </c>
      <c r="L124" s="33">
        <f t="shared" si="26"/>
        <v>0</v>
      </c>
      <c r="M124" s="31">
        <f>L124*E124</f>
        <v>0</v>
      </c>
      <c r="N124" s="121"/>
      <c r="O124" s="122"/>
      <c r="P124" s="5"/>
    </row>
    <row r="125" spans="1:16" ht="21.6" x14ac:dyDescent="0.25">
      <c r="A125" s="52"/>
      <c r="B125" s="53"/>
      <c r="C125" s="88" t="s">
        <v>117</v>
      </c>
      <c r="D125" s="89" t="str">
        <f>+VLOOKUP('[1]NO DELETE'!AW6,'[1]NO DELETE'!AR6:AT9,2)</f>
        <v>ป้าย กม. ขนาด   80 X 40  จร.121/56(สองหน้า)</v>
      </c>
      <c r="E125" s="26">
        <v>0</v>
      </c>
      <c r="F125" s="120" t="s">
        <v>50</v>
      </c>
      <c r="G125" s="39">
        <f t="shared" si="23"/>
        <v>0</v>
      </c>
      <c r="H125" s="39">
        <f t="shared" si="24"/>
        <v>0</v>
      </c>
      <c r="I125" s="83">
        <f>IF(E125&lt;=0,0,'[1]NO DELETE'!AV5)</f>
        <v>0</v>
      </c>
      <c r="J125" s="41">
        <f>E125*I125</f>
        <v>0</v>
      </c>
      <c r="K125" s="32">
        <f>IF(E125&gt;0,[1]S2!$BJ$22,)</f>
        <v>0</v>
      </c>
      <c r="L125" s="42">
        <f t="shared" si="26"/>
        <v>0</v>
      </c>
      <c r="M125" s="42">
        <f>L125*E125</f>
        <v>0</v>
      </c>
      <c r="N125" s="121"/>
      <c r="O125" s="122"/>
      <c r="P125" s="5"/>
    </row>
    <row r="126" spans="1:16" ht="21.6" x14ac:dyDescent="0.25">
      <c r="A126" s="52"/>
      <c r="B126" s="53"/>
      <c r="C126" s="85" t="s">
        <v>118</v>
      </c>
      <c r="D126" s="124" t="s">
        <v>119</v>
      </c>
      <c r="E126" s="26">
        <v>0</v>
      </c>
      <c r="F126" s="123" t="s">
        <v>50</v>
      </c>
      <c r="G126" s="28">
        <f t="shared" si="23"/>
        <v>0</v>
      </c>
      <c r="H126" s="28">
        <f t="shared" si="24"/>
        <v>0</v>
      </c>
      <c r="I126" s="76">
        <f>IF(E126&lt;=0,0,75000)</f>
        <v>0</v>
      </c>
      <c r="J126" s="31">
        <f>E126*I126</f>
        <v>0</v>
      </c>
      <c r="K126" s="32">
        <f>IF(E126&gt;0,[1]S2!$BJ$22,)</f>
        <v>0</v>
      </c>
      <c r="L126" s="33">
        <f t="shared" si="26"/>
        <v>0</v>
      </c>
      <c r="M126" s="33">
        <f>L126*E126</f>
        <v>0</v>
      </c>
      <c r="N126" s="125"/>
      <c r="O126" s="126"/>
      <c r="P126" s="5"/>
    </row>
    <row r="127" spans="1:16" ht="21.6" x14ac:dyDescent="0.25">
      <c r="A127" s="52"/>
      <c r="B127" s="53"/>
      <c r="C127" s="88" t="s">
        <v>120</v>
      </c>
      <c r="D127" s="80" t="s">
        <v>121</v>
      </c>
      <c r="E127" s="26">
        <v>0</v>
      </c>
      <c r="F127" s="120" t="s">
        <v>50</v>
      </c>
      <c r="G127" s="39">
        <f t="shared" si="23"/>
        <v>0</v>
      </c>
      <c r="H127" s="39">
        <f t="shared" si="24"/>
        <v>0</v>
      </c>
      <c r="I127" s="83">
        <f>IF(E127&lt;=0,0,25000)</f>
        <v>0</v>
      </c>
      <c r="J127" s="41">
        <f>E127*I127</f>
        <v>0</v>
      </c>
      <c r="K127" s="32">
        <f>IF(E127&gt;0,[1]S2!$BJ$22,)</f>
        <v>0</v>
      </c>
      <c r="L127" s="42">
        <f t="shared" si="26"/>
        <v>0</v>
      </c>
      <c r="M127" s="42">
        <f>L127*E127</f>
        <v>0</v>
      </c>
      <c r="N127" s="121"/>
      <c r="O127" s="122"/>
      <c r="P127" s="5"/>
    </row>
    <row r="128" spans="1:16" ht="21.6" x14ac:dyDescent="0.25">
      <c r="A128" s="52"/>
      <c r="B128" s="53"/>
      <c r="C128" s="85" t="s">
        <v>122</v>
      </c>
      <c r="D128" s="89" t="s">
        <v>123</v>
      </c>
      <c r="E128" s="26">
        <v>0</v>
      </c>
      <c r="F128" s="120" t="s">
        <v>53</v>
      </c>
      <c r="G128" s="39">
        <f t="shared" si="20"/>
        <v>0</v>
      </c>
      <c r="H128" s="39">
        <f t="shared" si="21"/>
        <v>0</v>
      </c>
      <c r="I128" s="83">
        <v>0</v>
      </c>
      <c r="J128" s="41">
        <f t="shared" ref="J128:J136" si="28">E128*I128</f>
        <v>0</v>
      </c>
      <c r="K128" s="32">
        <f>IF(E128&gt;0,[1]S2!$BJ$22,)</f>
        <v>0</v>
      </c>
      <c r="L128" s="42">
        <f t="shared" si="26"/>
        <v>0</v>
      </c>
      <c r="M128" s="42">
        <f t="shared" si="22"/>
        <v>0</v>
      </c>
      <c r="N128" s="121"/>
      <c r="O128" s="122"/>
      <c r="P128" s="5"/>
    </row>
    <row r="129" spans="1:16" ht="21.6" x14ac:dyDescent="0.25">
      <c r="A129" s="52"/>
      <c r="B129" s="53"/>
      <c r="C129" s="88" t="s">
        <v>124</v>
      </c>
      <c r="D129" s="89" t="s">
        <v>125</v>
      </c>
      <c r="E129" s="26">
        <v>0</v>
      </c>
      <c r="F129" s="120" t="s">
        <v>53</v>
      </c>
      <c r="G129" s="39">
        <f t="shared" si="20"/>
        <v>0</v>
      </c>
      <c r="H129" s="39">
        <f t="shared" si="21"/>
        <v>0</v>
      </c>
      <c r="I129" s="83">
        <f>IF(E129&lt;=0,0,'[1]NO DELETE'!AM67)</f>
        <v>0</v>
      </c>
      <c r="J129" s="41">
        <f t="shared" si="28"/>
        <v>0</v>
      </c>
      <c r="K129" s="32">
        <f>IF(E129&gt;0,[1]S2!$BJ$22,)</f>
        <v>0</v>
      </c>
      <c r="L129" s="42">
        <f t="shared" si="26"/>
        <v>0</v>
      </c>
      <c r="M129" s="42">
        <f t="shared" si="22"/>
        <v>0</v>
      </c>
      <c r="N129" s="121"/>
      <c r="O129" s="122"/>
      <c r="P129" s="5"/>
    </row>
    <row r="130" spans="1:16" ht="21.6" x14ac:dyDescent="0.25">
      <c r="A130" s="52"/>
      <c r="B130" s="53"/>
      <c r="C130" s="85" t="s">
        <v>126</v>
      </c>
      <c r="D130" s="89" t="s">
        <v>127</v>
      </c>
      <c r="E130" s="26">
        <v>0</v>
      </c>
      <c r="F130" s="120" t="s">
        <v>53</v>
      </c>
      <c r="G130" s="39">
        <f>IF(E130&lt;=0,0,)</f>
        <v>0</v>
      </c>
      <c r="H130" s="39">
        <f>IF(E130&lt;=0,0,)</f>
        <v>0</v>
      </c>
      <c r="I130" s="83">
        <f>IF(E130&lt;=0,0,'[1]NO DELETE'!AM67)</f>
        <v>0</v>
      </c>
      <c r="J130" s="41">
        <f>E130*I130</f>
        <v>0</v>
      </c>
      <c r="K130" s="32">
        <f>IF(E130&gt;0,[1]S2!$BJ$22,)</f>
        <v>0</v>
      </c>
      <c r="L130" s="42">
        <f t="shared" si="26"/>
        <v>0</v>
      </c>
      <c r="M130" s="42">
        <f t="shared" si="22"/>
        <v>0</v>
      </c>
      <c r="N130" s="121"/>
      <c r="O130" s="122"/>
      <c r="P130" s="5"/>
    </row>
    <row r="131" spans="1:16" ht="21.6" x14ac:dyDescent="0.25">
      <c r="A131" s="52"/>
      <c r="B131" s="53"/>
      <c r="C131" s="88" t="s">
        <v>128</v>
      </c>
      <c r="D131" s="89" t="s">
        <v>129</v>
      </c>
      <c r="E131" s="26">
        <v>0</v>
      </c>
      <c r="F131" s="120" t="s">
        <v>50</v>
      </c>
      <c r="G131" s="39">
        <f t="shared" si="20"/>
        <v>0</v>
      </c>
      <c r="H131" s="39">
        <f t="shared" si="21"/>
        <v>0</v>
      </c>
      <c r="I131" s="83">
        <f>IF(E131&lt;=0,0,8500)</f>
        <v>0</v>
      </c>
      <c r="J131" s="41">
        <f t="shared" si="28"/>
        <v>0</v>
      </c>
      <c r="K131" s="32">
        <f>IF(E131&gt;0,[1]S2!$BJ$22,)</f>
        <v>0</v>
      </c>
      <c r="L131" s="42">
        <f t="shared" si="26"/>
        <v>0</v>
      </c>
      <c r="M131" s="42">
        <f t="shared" si="22"/>
        <v>0</v>
      </c>
      <c r="N131" s="121"/>
      <c r="O131" s="122"/>
      <c r="P131" s="5"/>
    </row>
    <row r="132" spans="1:16" ht="21.6" x14ac:dyDescent="0.25">
      <c r="A132" s="52"/>
      <c r="B132" s="53"/>
      <c r="C132" s="85" t="s">
        <v>130</v>
      </c>
      <c r="D132" s="89" t="s">
        <v>131</v>
      </c>
      <c r="E132" s="26">
        <v>0</v>
      </c>
      <c r="F132" s="120" t="s">
        <v>132</v>
      </c>
      <c r="G132" s="39">
        <f t="shared" si="20"/>
        <v>0</v>
      </c>
      <c r="H132" s="39">
        <f t="shared" si="21"/>
        <v>0</v>
      </c>
      <c r="I132" s="83">
        <f>IF(E132&lt;=0,0,215)</f>
        <v>0</v>
      </c>
      <c r="J132" s="41">
        <f t="shared" si="28"/>
        <v>0</v>
      </c>
      <c r="K132" s="32">
        <f>IF(E132&gt;0,[1]S2!$BJ$22,)</f>
        <v>0</v>
      </c>
      <c r="L132" s="42">
        <f t="shared" si="26"/>
        <v>0</v>
      </c>
      <c r="M132" s="42">
        <f t="shared" si="22"/>
        <v>0</v>
      </c>
      <c r="N132" s="121"/>
      <c r="O132" s="122"/>
      <c r="P132" s="5"/>
    </row>
    <row r="133" spans="1:16" ht="21.6" x14ac:dyDescent="0.25">
      <c r="A133" s="52"/>
      <c r="B133" s="53"/>
      <c r="C133" s="88" t="s">
        <v>133</v>
      </c>
      <c r="D133" s="111" t="str">
        <f>+VLOOKUP('[1]NO DELETE'!AW11,'[1]NO DELETE'!AR11:AT13,2)</f>
        <v>สัญญาณไฟกระพริบ + ป้าย บ 1 Size 2</v>
      </c>
      <c r="E133" s="26">
        <v>0</v>
      </c>
      <c r="F133" s="120" t="s">
        <v>38</v>
      </c>
      <c r="G133" s="39">
        <f t="shared" si="20"/>
        <v>0</v>
      </c>
      <c r="H133" s="39">
        <f t="shared" si="21"/>
        <v>0</v>
      </c>
      <c r="I133" s="83">
        <f>IF(E133&gt;0,VLOOKUP('[1]NO DELETE'!AW11,'[1]NO DELETE'!AR11:AX17,7),)</f>
        <v>0</v>
      </c>
      <c r="J133" s="41">
        <f t="shared" si="28"/>
        <v>0</v>
      </c>
      <c r="K133" s="32">
        <f>IF(E133&gt;0,[1]S2!$BJ$22,)</f>
        <v>0</v>
      </c>
      <c r="L133" s="42">
        <f t="shared" si="26"/>
        <v>0</v>
      </c>
      <c r="M133" s="42">
        <f t="shared" si="22"/>
        <v>0</v>
      </c>
      <c r="N133" s="121"/>
      <c r="O133" s="122"/>
      <c r="P133" s="5"/>
    </row>
    <row r="134" spans="1:16" ht="21.6" x14ac:dyDescent="0.25">
      <c r="A134" s="52"/>
      <c r="B134" s="53"/>
      <c r="C134" s="85" t="s">
        <v>134</v>
      </c>
      <c r="D134" s="89" t="s">
        <v>135</v>
      </c>
      <c r="E134" s="26">
        <v>0</v>
      </c>
      <c r="F134" s="120" t="s">
        <v>38</v>
      </c>
      <c r="G134" s="39">
        <f t="shared" si="20"/>
        <v>0</v>
      </c>
      <c r="H134" s="39">
        <f t="shared" si="21"/>
        <v>0</v>
      </c>
      <c r="I134" s="83">
        <f>IF(E134&lt;=0,0,5000)</f>
        <v>0</v>
      </c>
      <c r="J134" s="41">
        <f t="shared" si="28"/>
        <v>0</v>
      </c>
      <c r="K134" s="32">
        <f>IF(E134&gt;0,[1]S2!$BJ$22,)</f>
        <v>0</v>
      </c>
      <c r="L134" s="42">
        <f t="shared" si="26"/>
        <v>0</v>
      </c>
      <c r="M134" s="42">
        <f t="shared" si="22"/>
        <v>0</v>
      </c>
      <c r="N134" s="121"/>
      <c r="O134" s="122"/>
      <c r="P134" s="5"/>
    </row>
    <row r="135" spans="1:16" ht="21.6" x14ac:dyDescent="0.25">
      <c r="A135" s="52"/>
      <c r="B135" s="53"/>
      <c r="C135" s="88" t="s">
        <v>136</v>
      </c>
      <c r="D135" s="127" t="s">
        <v>137</v>
      </c>
      <c r="E135" s="26">
        <v>0</v>
      </c>
      <c r="F135" s="120" t="s">
        <v>53</v>
      </c>
      <c r="G135" s="39">
        <f t="shared" si="20"/>
        <v>0</v>
      </c>
      <c r="H135" s="39">
        <f t="shared" si="21"/>
        <v>0</v>
      </c>
      <c r="I135" s="83">
        <f>IF(E135&lt;=0,0,'[1]NO DELETE'!AM68)</f>
        <v>0</v>
      </c>
      <c r="J135" s="41">
        <f t="shared" si="28"/>
        <v>0</v>
      </c>
      <c r="K135" s="32">
        <f>IF(E135&gt;0,[1]S2!$BJ$22,)</f>
        <v>0</v>
      </c>
      <c r="L135" s="42">
        <f t="shared" si="26"/>
        <v>0</v>
      </c>
      <c r="M135" s="42">
        <f t="shared" si="22"/>
        <v>0</v>
      </c>
      <c r="N135" s="121"/>
      <c r="O135" s="122"/>
      <c r="P135" s="5"/>
    </row>
    <row r="136" spans="1:16" ht="21.6" x14ac:dyDescent="0.25">
      <c r="A136" s="52"/>
      <c r="B136" s="5"/>
      <c r="C136" s="85" t="s">
        <v>138</v>
      </c>
      <c r="D136" s="127" t="s">
        <v>139</v>
      </c>
      <c r="E136" s="26">
        <v>0</v>
      </c>
      <c r="F136" s="120" t="s">
        <v>17</v>
      </c>
      <c r="G136" s="39">
        <f t="shared" si="20"/>
        <v>0</v>
      </c>
      <c r="H136" s="39">
        <f t="shared" si="21"/>
        <v>0</v>
      </c>
      <c r="I136" s="83">
        <f>IF(E136&lt;=0,0,0.5)</f>
        <v>0</v>
      </c>
      <c r="J136" s="41">
        <f t="shared" si="28"/>
        <v>0</v>
      </c>
      <c r="K136" s="32">
        <f>IF(E136&gt;0,[1]S2!$BJ$22,)</f>
        <v>0</v>
      </c>
      <c r="L136" s="42">
        <f t="shared" si="26"/>
        <v>0</v>
      </c>
      <c r="M136" s="42">
        <f t="shared" si="22"/>
        <v>0</v>
      </c>
      <c r="N136" s="121"/>
      <c r="O136" s="122"/>
      <c r="P136" s="5"/>
    </row>
    <row r="137" spans="1:16" ht="21.6" x14ac:dyDescent="0.25">
      <c r="A137" s="55">
        <v>7</v>
      </c>
      <c r="B137" s="74" t="s">
        <v>140</v>
      </c>
      <c r="C137" s="128"/>
      <c r="D137" s="128"/>
      <c r="E137" s="91"/>
      <c r="F137" s="129"/>
      <c r="G137" s="130"/>
      <c r="H137" s="130"/>
      <c r="I137" s="131"/>
      <c r="J137" s="58"/>
      <c r="K137" s="132"/>
      <c r="L137" s="60"/>
      <c r="M137" s="60"/>
      <c r="N137" s="53"/>
      <c r="O137" s="56"/>
      <c r="P137" s="5"/>
    </row>
    <row r="138" spans="1:16" ht="21.6" x14ac:dyDescent="0.25">
      <c r="A138" s="55"/>
      <c r="B138" s="90">
        <v>7.1</v>
      </c>
      <c r="C138" s="128" t="s">
        <v>141</v>
      </c>
      <c r="D138" s="128"/>
      <c r="E138" s="91"/>
      <c r="F138" s="129"/>
      <c r="G138" s="130"/>
      <c r="H138" s="130"/>
      <c r="I138" s="131"/>
      <c r="J138" s="58"/>
      <c r="K138" s="133"/>
      <c r="L138" s="60"/>
      <c r="M138" s="60"/>
      <c r="N138" s="53"/>
      <c r="O138" s="56"/>
      <c r="P138" s="5"/>
    </row>
    <row r="139" spans="1:16" ht="21.6" x14ac:dyDescent="0.25">
      <c r="A139" s="52"/>
      <c r="B139" s="128"/>
      <c r="C139" s="258" t="s">
        <v>142</v>
      </c>
      <c r="D139" s="259"/>
      <c r="E139" s="134">
        <v>0</v>
      </c>
      <c r="F139" s="123" t="s">
        <v>53</v>
      </c>
      <c r="G139" s="28">
        <v>0</v>
      </c>
      <c r="H139" s="28">
        <v>0</v>
      </c>
      <c r="I139" s="76">
        <f>IF(E139&gt;0,[1]ต้นทุนวางท่อ!N23,)</f>
        <v>0</v>
      </c>
      <c r="J139" s="31">
        <f>E139*I139</f>
        <v>0</v>
      </c>
      <c r="K139" s="32">
        <f>IF(E139&gt;0,[1]S2!$BJ$22,)</f>
        <v>0</v>
      </c>
      <c r="L139" s="33">
        <f>K139*I139</f>
        <v>0</v>
      </c>
      <c r="M139" s="33">
        <f>L139*E139</f>
        <v>0</v>
      </c>
      <c r="N139" s="34"/>
      <c r="O139" s="35"/>
      <c r="P139" s="5"/>
    </row>
    <row r="140" spans="1:16" ht="21.6" x14ac:dyDescent="0.25">
      <c r="A140" s="52"/>
      <c r="B140" s="128"/>
      <c r="C140" s="258" t="s">
        <v>143</v>
      </c>
      <c r="D140" s="259"/>
      <c r="E140" s="134">
        <v>0</v>
      </c>
      <c r="F140" s="120" t="s">
        <v>53</v>
      </c>
      <c r="G140" s="39">
        <v>0</v>
      </c>
      <c r="H140" s="39">
        <v>0</v>
      </c>
      <c r="I140" s="83">
        <f>IF(E140&gt;0,[1]ต้นทุนวางท่อ!N34,)</f>
        <v>0</v>
      </c>
      <c r="J140" s="41">
        <f>E140*I140</f>
        <v>0</v>
      </c>
      <c r="K140" s="32">
        <f>IF(E140&gt;0,[1]S2!$BJ$22,)</f>
        <v>0</v>
      </c>
      <c r="L140" s="42">
        <f>K140*I140</f>
        <v>0</v>
      </c>
      <c r="M140" s="42">
        <f>L140*E140</f>
        <v>0</v>
      </c>
      <c r="N140" s="48"/>
      <c r="O140" s="49"/>
      <c r="P140" s="5"/>
    </row>
    <row r="141" spans="1:16" ht="21.6" x14ac:dyDescent="0.25">
      <c r="A141" s="52"/>
      <c r="B141" s="128"/>
      <c r="C141" s="258" t="s">
        <v>144</v>
      </c>
      <c r="D141" s="259"/>
      <c r="E141" s="134">
        <v>0</v>
      </c>
      <c r="F141" s="120" t="s">
        <v>53</v>
      </c>
      <c r="G141" s="39">
        <v>0</v>
      </c>
      <c r="H141" s="39">
        <v>0</v>
      </c>
      <c r="I141" s="83">
        <f>IF(E141&gt;0,[1]ต้นทุนวางท่อ!N45,)</f>
        <v>0</v>
      </c>
      <c r="J141" s="41">
        <f>E141*I141</f>
        <v>0</v>
      </c>
      <c r="K141" s="32">
        <f>IF(E141&gt;0,[1]S2!$BJ$22,)</f>
        <v>0</v>
      </c>
      <c r="L141" s="42">
        <f t="shared" ref="L141:L143" si="29">K141*I141</f>
        <v>0</v>
      </c>
      <c r="M141" s="42">
        <f>L141*E141</f>
        <v>0</v>
      </c>
      <c r="N141" s="48"/>
      <c r="O141" s="49"/>
      <c r="P141" s="5"/>
    </row>
    <row r="142" spans="1:16" ht="21.6" x14ac:dyDescent="0.25">
      <c r="A142" s="52"/>
      <c r="B142" s="128"/>
      <c r="C142" s="258" t="s">
        <v>145</v>
      </c>
      <c r="D142" s="259"/>
      <c r="E142" s="134">
        <v>0</v>
      </c>
      <c r="F142" s="120" t="s">
        <v>53</v>
      </c>
      <c r="G142" s="39">
        <v>0</v>
      </c>
      <c r="H142" s="39">
        <v>0</v>
      </c>
      <c r="I142" s="83">
        <f>IF(E142&gt;0,[1]ต้นทุนวางท่อ!N56,)</f>
        <v>0</v>
      </c>
      <c r="J142" s="41">
        <f>E142*I142</f>
        <v>0</v>
      </c>
      <c r="K142" s="32">
        <f>IF(E142&gt;0,[1]S2!$BJ$22,)</f>
        <v>0</v>
      </c>
      <c r="L142" s="42">
        <f t="shared" si="29"/>
        <v>0</v>
      </c>
      <c r="M142" s="42">
        <f>L142*E142</f>
        <v>0</v>
      </c>
      <c r="N142" s="48"/>
      <c r="O142" s="49"/>
      <c r="P142" s="5"/>
    </row>
    <row r="143" spans="1:16" ht="21.6" x14ac:dyDescent="0.25">
      <c r="A143" s="52"/>
      <c r="B143" s="128"/>
      <c r="C143" s="258" t="s">
        <v>146</v>
      </c>
      <c r="D143" s="259"/>
      <c r="E143" s="134">
        <v>0</v>
      </c>
      <c r="F143" s="120" t="s">
        <v>53</v>
      </c>
      <c r="G143" s="39">
        <v>0</v>
      </c>
      <c r="H143" s="39">
        <v>0</v>
      </c>
      <c r="I143" s="83">
        <f>IF(E143&gt;0,[1]ต้นทุนวางท่อ!N67,)</f>
        <v>0</v>
      </c>
      <c r="J143" s="41">
        <f>E143*I143</f>
        <v>0</v>
      </c>
      <c r="K143" s="32">
        <f>IF(E143&gt;0,[1]S2!$BJ$22,)</f>
        <v>0</v>
      </c>
      <c r="L143" s="42">
        <f t="shared" si="29"/>
        <v>0</v>
      </c>
      <c r="M143" s="42">
        <f>L143*E143</f>
        <v>0</v>
      </c>
      <c r="N143" s="48"/>
      <c r="O143" s="49"/>
      <c r="P143" s="5"/>
    </row>
    <row r="144" spans="1:16" ht="21.6" x14ac:dyDescent="0.25">
      <c r="A144" s="52"/>
      <c r="B144" s="90">
        <v>7.2</v>
      </c>
      <c r="C144" s="128" t="s">
        <v>147</v>
      </c>
      <c r="D144" s="128"/>
      <c r="E144" s="91"/>
      <c r="F144" s="129"/>
      <c r="G144" s="130"/>
      <c r="H144" s="130"/>
      <c r="I144" s="131"/>
      <c r="J144" s="58"/>
      <c r="K144" s="32">
        <f>IF(E144&gt;0,[1]S2!$BJ$22,)</f>
        <v>0</v>
      </c>
      <c r="L144" s="60"/>
      <c r="M144" s="60"/>
      <c r="N144" s="53"/>
      <c r="O144" s="56"/>
      <c r="P144" s="5"/>
    </row>
    <row r="145" spans="1:16" ht="21.6" x14ac:dyDescent="0.25">
      <c r="A145" s="52"/>
      <c r="B145" s="135"/>
      <c r="C145" s="258" t="str">
        <f>" 7.2.1  "&amp;VLOOKUP('[1]NO DELETE'!$C$1,'[1]NO DELETE'!$A$4:$B$18,2)</f>
        <v xml:space="preserve"> 7.2.1  กำแพงปากท่อ ขนาด  1  -  Dia.  0.80  ม.</v>
      </c>
      <c r="D145" s="259"/>
      <c r="E145" s="134">
        <v>0</v>
      </c>
      <c r="F145" s="123" t="s">
        <v>38</v>
      </c>
      <c r="G145" s="28">
        <v>0</v>
      </c>
      <c r="H145" s="28">
        <v>0</v>
      </c>
      <c r="I145" s="76">
        <f>IF(E145&gt;0,[1]ต้นทุนวางท่อ!N80,)</f>
        <v>0</v>
      </c>
      <c r="J145" s="31">
        <f>E145*I145</f>
        <v>0</v>
      </c>
      <c r="K145" s="32">
        <f>IF(E145&gt;0,[1]S2!$BJ$22,)</f>
        <v>0</v>
      </c>
      <c r="L145" s="33">
        <f>K145*I145</f>
        <v>0</v>
      </c>
      <c r="M145" s="33">
        <f>L145*E145</f>
        <v>0</v>
      </c>
      <c r="N145" s="34"/>
      <c r="O145" s="35"/>
      <c r="P145" s="5"/>
    </row>
    <row r="146" spans="1:16" ht="21.6" x14ac:dyDescent="0.25">
      <c r="A146" s="52"/>
      <c r="B146" s="135"/>
      <c r="C146" s="260" t="str">
        <f>" 7.2.2  "&amp;VLOOKUP('[1]NO DELETE'!$D1,'[1]NO DELETE'!$A$4:$B$18,2)</f>
        <v xml:space="preserve"> 7.2.2  กำแพงปากท่อ ขนาด  2  -  Dia.  1.00  ม.</v>
      </c>
      <c r="D146" s="261"/>
      <c r="E146" s="136">
        <v>0</v>
      </c>
      <c r="F146" s="120" t="s">
        <v>38</v>
      </c>
      <c r="G146" s="39">
        <v>0</v>
      </c>
      <c r="H146" s="39">
        <v>0</v>
      </c>
      <c r="I146" s="83">
        <f>IF(E146&gt;0,[1]ต้นทุนวางท่อ!N92,)</f>
        <v>0</v>
      </c>
      <c r="J146" s="41">
        <f>E146*I146</f>
        <v>0</v>
      </c>
      <c r="K146" s="32">
        <f>IF(E146&gt;0,[1]S2!$BJ$22,)</f>
        <v>0</v>
      </c>
      <c r="L146" s="42">
        <f>K146*I146</f>
        <v>0</v>
      </c>
      <c r="M146" s="42">
        <f>L146*E146</f>
        <v>0</v>
      </c>
      <c r="N146" s="48"/>
      <c r="O146" s="49"/>
      <c r="P146" s="5"/>
    </row>
    <row r="147" spans="1:16" ht="21.6" x14ac:dyDescent="0.25">
      <c r="A147" s="52"/>
      <c r="B147" s="135"/>
      <c r="C147" s="260" t="str">
        <f>" 7.2.3  "&amp;VLOOKUP('[1]NO DELETE'!$E$1,'[1]NO DELETE'!$A$4:$B$18,2)</f>
        <v xml:space="preserve"> 7.2.3  กำแพงปากท่อ ขนาด  2  -  Dia.  0.60  ม.</v>
      </c>
      <c r="D147" s="261"/>
      <c r="E147" s="136">
        <v>0</v>
      </c>
      <c r="F147" s="120" t="s">
        <v>38</v>
      </c>
      <c r="G147" s="39">
        <v>0</v>
      </c>
      <c r="H147" s="39">
        <v>0</v>
      </c>
      <c r="I147" s="83">
        <f>IF(E147&gt;0,[1]ต้นทุนวางท่อ!N104,)</f>
        <v>0</v>
      </c>
      <c r="J147" s="41">
        <f>E147*I147</f>
        <v>0</v>
      </c>
      <c r="K147" s="32">
        <f>IF(E147&gt;0,[1]S2!$BJ$22,)</f>
        <v>0</v>
      </c>
      <c r="L147" s="42">
        <f t="shared" ref="L147:L174" si="30">K147*I147</f>
        <v>0</v>
      </c>
      <c r="M147" s="42">
        <f>L147*E147</f>
        <v>0</v>
      </c>
      <c r="N147" s="48"/>
      <c r="O147" s="49"/>
      <c r="P147" s="5"/>
    </row>
    <row r="148" spans="1:16" ht="21.6" x14ac:dyDescent="0.25">
      <c r="A148" s="52"/>
      <c r="B148" s="135"/>
      <c r="C148" s="260" t="str">
        <f>" 7.2.4  "&amp;VLOOKUP('[1]NO DELETE'!$F$1,'[1]NO DELETE'!$A$4:$B$18,2)</f>
        <v xml:space="preserve"> 7.2.4  กำแพงปากท่อ ขนาด  3  -  Dia.  0.80  ม.</v>
      </c>
      <c r="D148" s="261"/>
      <c r="E148" s="136">
        <v>0</v>
      </c>
      <c r="F148" s="120" t="s">
        <v>38</v>
      </c>
      <c r="G148" s="39">
        <v>0</v>
      </c>
      <c r="H148" s="39">
        <v>0</v>
      </c>
      <c r="I148" s="83">
        <f>IF(E148&gt;0,[1]ต้นทุนวางท่อ!N116,)</f>
        <v>0</v>
      </c>
      <c r="J148" s="41">
        <f>E148*I148</f>
        <v>0</v>
      </c>
      <c r="K148" s="32">
        <f>IF(E148&gt;0,[1]S2!$BJ$22,)</f>
        <v>0</v>
      </c>
      <c r="L148" s="42">
        <f t="shared" si="30"/>
        <v>0</v>
      </c>
      <c r="M148" s="42">
        <f>L148*E148</f>
        <v>0</v>
      </c>
      <c r="N148" s="48"/>
      <c r="O148" s="49"/>
      <c r="P148" s="5"/>
    </row>
    <row r="149" spans="1:16" ht="21.6" x14ac:dyDescent="0.25">
      <c r="A149" s="52"/>
      <c r="B149" s="135"/>
      <c r="C149" s="260" t="str">
        <f>" 7.2.5  "&amp;VLOOKUP('[1]NO DELETE'!$G$1,'[1]NO DELETE'!$A$4:$B$18,2)</f>
        <v xml:space="preserve"> 7.2.5  กำแพงปากท่อ ขนาด  2  -  Dia.  1.00  ม.</v>
      </c>
      <c r="D149" s="261"/>
      <c r="E149" s="136">
        <v>0</v>
      </c>
      <c r="F149" s="120" t="s">
        <v>38</v>
      </c>
      <c r="G149" s="39">
        <v>0</v>
      </c>
      <c r="H149" s="39">
        <v>0</v>
      </c>
      <c r="I149" s="83">
        <f>IF(E149&gt;0,[1]ต้นทุนวางท่อ!N128,)</f>
        <v>0</v>
      </c>
      <c r="J149" s="41">
        <f>E149*I149</f>
        <v>0</v>
      </c>
      <c r="K149" s="32">
        <f>IF(E149&gt;0,[1]S2!$BJ$22,)</f>
        <v>0</v>
      </c>
      <c r="L149" s="42">
        <f t="shared" si="30"/>
        <v>0</v>
      </c>
      <c r="M149" s="42">
        <f>L149*E149</f>
        <v>0</v>
      </c>
      <c r="N149" s="48"/>
      <c r="O149" s="49"/>
      <c r="P149" s="5"/>
    </row>
    <row r="150" spans="1:16" ht="21.6" x14ac:dyDescent="0.6">
      <c r="A150" s="84"/>
      <c r="B150" s="90">
        <v>7.3</v>
      </c>
      <c r="C150" s="137" t="s">
        <v>148</v>
      </c>
      <c r="D150" s="89"/>
      <c r="E150" s="136">
        <v>0</v>
      </c>
      <c r="F150" s="120" t="s">
        <v>38</v>
      </c>
      <c r="G150" s="39">
        <v>0</v>
      </c>
      <c r="H150" s="39">
        <f>IF(E150&lt;=0,0,0)</f>
        <v>0</v>
      </c>
      <c r="I150" s="41">
        <v>0</v>
      </c>
      <c r="J150" s="41">
        <f t="shared" ref="J150:J167" si="31">E150*I150</f>
        <v>0</v>
      </c>
      <c r="K150" s="32">
        <f>IF(E150&gt;0,[1]S2!$BL$38,)</f>
        <v>0</v>
      </c>
      <c r="L150" s="42">
        <f t="shared" si="30"/>
        <v>0</v>
      </c>
      <c r="M150" s="42">
        <f t="shared" ref="M150:M167" si="32">L150*E150</f>
        <v>0</v>
      </c>
      <c r="N150" s="138"/>
      <c r="O150" s="49"/>
      <c r="P150" s="5"/>
    </row>
    <row r="151" spans="1:16" ht="21.6" x14ac:dyDescent="0.6">
      <c r="A151" s="84"/>
      <c r="B151" s="90">
        <v>7.4</v>
      </c>
      <c r="C151" s="137" t="s">
        <v>148</v>
      </c>
      <c r="D151" s="89"/>
      <c r="E151" s="136">
        <v>0</v>
      </c>
      <c r="F151" s="120" t="s">
        <v>38</v>
      </c>
      <c r="G151" s="39">
        <v>0</v>
      </c>
      <c r="H151" s="39">
        <f>IF(E151&lt;=0,0,0)</f>
        <v>0</v>
      </c>
      <c r="I151" s="41">
        <v>0</v>
      </c>
      <c r="J151" s="41">
        <f t="shared" si="31"/>
        <v>0</v>
      </c>
      <c r="K151" s="32">
        <f>IF(E151&gt;0,[1]S2!$BL$38,)</f>
        <v>0</v>
      </c>
      <c r="L151" s="42">
        <f t="shared" si="30"/>
        <v>0</v>
      </c>
      <c r="M151" s="42">
        <f t="shared" si="32"/>
        <v>0</v>
      </c>
      <c r="N151" s="138"/>
      <c r="O151" s="49"/>
      <c r="P151" s="5"/>
    </row>
    <row r="152" spans="1:16" ht="21.6" x14ac:dyDescent="0.65">
      <c r="A152" s="84"/>
      <c r="B152" s="90">
        <v>7.5</v>
      </c>
      <c r="C152" s="139" t="s">
        <v>149</v>
      </c>
      <c r="D152" s="89"/>
      <c r="E152" s="140">
        <v>0</v>
      </c>
      <c r="F152" s="120" t="s">
        <v>19</v>
      </c>
      <c r="G152" s="39">
        <f>IF(E152&lt;=0,0,'[1]ต้นทุนถนน AC.'!$Q$41)-$H$152</f>
        <v>0</v>
      </c>
      <c r="H152" s="39">
        <f>IF(E152&lt;=0,0,'[1]ต้นทุนถนน AC.'!Q39)</f>
        <v>0</v>
      </c>
      <c r="I152" s="41">
        <f>G152+H152</f>
        <v>0</v>
      </c>
      <c r="J152" s="41">
        <f t="shared" si="31"/>
        <v>0</v>
      </c>
      <c r="K152" s="32">
        <f>IF(E152&gt;0,[1]S2!$BJ$22,)</f>
        <v>0</v>
      </c>
      <c r="L152" s="42">
        <f t="shared" si="30"/>
        <v>0</v>
      </c>
      <c r="M152" s="42">
        <f t="shared" si="32"/>
        <v>0</v>
      </c>
      <c r="N152" s="138"/>
      <c r="O152" s="49"/>
      <c r="P152" s="5"/>
    </row>
    <row r="153" spans="1:16" ht="21.6" x14ac:dyDescent="0.65">
      <c r="A153" s="84"/>
      <c r="B153" s="90">
        <v>7.6</v>
      </c>
      <c r="C153" s="139" t="s">
        <v>150</v>
      </c>
      <c r="D153" s="89"/>
      <c r="E153" s="140">
        <v>0</v>
      </c>
      <c r="F153" s="120" t="s">
        <v>19</v>
      </c>
      <c r="G153" s="39">
        <f>IF(E153&lt;=0,0,'[1]ต้นทุนถนน AC.'!$Q$40)-$H$153</f>
        <v>0</v>
      </c>
      <c r="H153" s="39">
        <f>IF(E153&lt;=0,0,'[1]ต้นทุนถนน AC.'!Q38)</f>
        <v>0</v>
      </c>
      <c r="I153" s="41">
        <f t="shared" ref="I153" si="33">G153+H153</f>
        <v>0</v>
      </c>
      <c r="J153" s="41">
        <f t="shared" si="31"/>
        <v>0</v>
      </c>
      <c r="K153" s="32">
        <f>IF(E153&gt;0,[1]S2!$BJ$22,)</f>
        <v>0</v>
      </c>
      <c r="L153" s="42">
        <f t="shared" si="30"/>
        <v>0</v>
      </c>
      <c r="M153" s="42">
        <f t="shared" si="32"/>
        <v>0</v>
      </c>
      <c r="N153" s="138"/>
      <c r="O153" s="49"/>
      <c r="P153" s="5"/>
    </row>
    <row r="154" spans="1:16" ht="21.6" x14ac:dyDescent="0.65">
      <c r="A154" s="84"/>
      <c r="B154" s="90">
        <v>7.7</v>
      </c>
      <c r="C154" s="141" t="s">
        <v>151</v>
      </c>
      <c r="D154" s="89"/>
      <c r="E154" s="140">
        <v>0</v>
      </c>
      <c r="F154" s="120"/>
      <c r="G154" s="39"/>
      <c r="H154" s="39"/>
      <c r="I154" s="41"/>
      <c r="J154" s="41"/>
      <c r="K154" s="32">
        <f>IF(E154&gt;0,[1]S2!$BJ$22,)</f>
        <v>0</v>
      </c>
      <c r="L154" s="42"/>
      <c r="M154" s="42"/>
      <c r="N154" s="138"/>
      <c r="O154" s="49"/>
      <c r="P154" s="5"/>
    </row>
    <row r="155" spans="1:16" ht="21.6" x14ac:dyDescent="0.65">
      <c r="A155" s="52"/>
      <c r="B155" s="142"/>
      <c r="C155" s="5" t="s">
        <v>152</v>
      </c>
      <c r="D155" s="143" t="str">
        <f>+[1]ตารางระบายน้ำ!C26</f>
        <v>รางระบายน้ำ คสล.ย่านชุมชน+ฝาปิด แบบ ข - 30</v>
      </c>
      <c r="E155" s="140">
        <v>0</v>
      </c>
      <c r="F155" s="120" t="s">
        <v>153</v>
      </c>
      <c r="G155" s="39">
        <v>0</v>
      </c>
      <c r="H155" s="39">
        <v>0</v>
      </c>
      <c r="I155" s="39">
        <f>IF(E155&gt;0,[1]ต้นทุนระบายน้ำ!$N$86,)</f>
        <v>0</v>
      </c>
      <c r="J155" s="41">
        <f t="shared" si="31"/>
        <v>0</v>
      </c>
      <c r="K155" s="32">
        <f>IF(E155&gt;0,[1]S2!$BJ$22,)</f>
        <v>0</v>
      </c>
      <c r="L155" s="42">
        <f t="shared" si="30"/>
        <v>0</v>
      </c>
      <c r="M155" s="42">
        <f t="shared" si="32"/>
        <v>0</v>
      </c>
      <c r="N155" s="48"/>
      <c r="O155" s="49"/>
      <c r="P155" s="5"/>
    </row>
    <row r="156" spans="1:16" ht="21.6" x14ac:dyDescent="0.65">
      <c r="A156" s="52"/>
      <c r="B156" s="142"/>
      <c r="C156" s="143" t="s">
        <v>154</v>
      </c>
      <c r="D156" s="89"/>
      <c r="E156" s="140">
        <v>0</v>
      </c>
      <c r="F156" s="120" t="s">
        <v>38</v>
      </c>
      <c r="G156" s="39">
        <v>0</v>
      </c>
      <c r="H156" s="39">
        <v>0</v>
      </c>
      <c r="I156" s="39">
        <f>IF(E156&gt;0,[1]ต้นทุนระบายน้ำ!$N$114,)</f>
        <v>0</v>
      </c>
      <c r="J156" s="41">
        <f t="shared" si="31"/>
        <v>0</v>
      </c>
      <c r="K156" s="32">
        <f>IF(E156&gt;0,[1]S2!$BJ$22,)</f>
        <v>0</v>
      </c>
      <c r="L156" s="42">
        <f t="shared" si="30"/>
        <v>0</v>
      </c>
      <c r="M156" s="42">
        <f t="shared" si="32"/>
        <v>0</v>
      </c>
      <c r="N156" s="48"/>
      <c r="O156" s="49"/>
      <c r="P156" s="5"/>
    </row>
    <row r="157" spans="1:16" ht="21.6" x14ac:dyDescent="0.65">
      <c r="A157" s="52"/>
      <c r="B157" s="142"/>
      <c r="C157" s="143" t="s">
        <v>155</v>
      </c>
      <c r="D157" s="89"/>
      <c r="E157" s="140">
        <v>0</v>
      </c>
      <c r="F157" s="120" t="s">
        <v>38</v>
      </c>
      <c r="G157" s="39">
        <v>0</v>
      </c>
      <c r="H157" s="39">
        <v>0</v>
      </c>
      <c r="I157" s="39">
        <f>IF(E157&gt;0,[1]ต้นทุนระบายน้ำ!$N$100,)</f>
        <v>0</v>
      </c>
      <c r="J157" s="41">
        <f t="shared" si="31"/>
        <v>0</v>
      </c>
      <c r="K157" s="32">
        <f>IF(E157&gt;0,[1]S2!$BJ$22,)</f>
        <v>0</v>
      </c>
      <c r="L157" s="42">
        <f t="shared" si="30"/>
        <v>0</v>
      </c>
      <c r="M157" s="42">
        <f t="shared" si="32"/>
        <v>0</v>
      </c>
      <c r="N157" s="48"/>
      <c r="O157" s="49"/>
      <c r="P157" s="5"/>
    </row>
    <row r="158" spans="1:16" ht="21.6" x14ac:dyDescent="0.65">
      <c r="A158" s="52"/>
      <c r="B158" s="142"/>
      <c r="C158" s="143" t="str">
        <f>"7.7.4 "&amp;[1]ตารางระบายน้ำ!C147</f>
        <v>7.7.4 กรณีรางน้ำ 2 ด้าน มีท่อ คสล.Dai. 0.60 ม.ด้านเดียว</v>
      </c>
      <c r="D158" s="89"/>
      <c r="E158" s="140">
        <v>0</v>
      </c>
      <c r="F158" s="120" t="s">
        <v>38</v>
      </c>
      <c r="G158" s="39">
        <v>0</v>
      </c>
      <c r="H158" s="39">
        <v>0</v>
      </c>
      <c r="I158" s="39">
        <f>IF(E158&gt;0,[1]ต้นทุนระบายน้ำ!$N$128,)</f>
        <v>0</v>
      </c>
      <c r="J158" s="41">
        <f t="shared" si="31"/>
        <v>0</v>
      </c>
      <c r="K158" s="32">
        <f>IF(E158&gt;0,[1]S2!$BJ$22,)</f>
        <v>0</v>
      </c>
      <c r="L158" s="42">
        <f t="shared" si="30"/>
        <v>0</v>
      </c>
      <c r="M158" s="42">
        <f t="shared" si="32"/>
        <v>0</v>
      </c>
      <c r="N158" s="48"/>
      <c r="O158" s="49"/>
      <c r="P158" s="5"/>
    </row>
    <row r="159" spans="1:16" ht="21.6" x14ac:dyDescent="0.65">
      <c r="A159" s="52"/>
      <c r="B159" s="142"/>
      <c r="C159" s="143" t="str">
        <f>"7.7.5 "&amp;[1]ตารางระบายน้ำ!C148</f>
        <v>7.7.5 กรณีรางน้ำ 2 ด้าน มีท่อ คสล.Dai. 0.60 ม.ด้านเดียว</v>
      </c>
      <c r="D159" s="89"/>
      <c r="E159" s="140">
        <v>0</v>
      </c>
      <c r="F159" s="120" t="s">
        <v>38</v>
      </c>
      <c r="G159" s="39">
        <v>0</v>
      </c>
      <c r="H159" s="39">
        <v>0</v>
      </c>
      <c r="I159" s="39">
        <f>IF(E159&gt;0,[1]ต้นทุนระบายน้ำ!$N$142,)</f>
        <v>0</v>
      </c>
      <c r="J159" s="41">
        <f t="shared" si="31"/>
        <v>0</v>
      </c>
      <c r="K159" s="32">
        <f>IF(E159&gt;0,[1]S2!$BJ$22,)</f>
        <v>0</v>
      </c>
      <c r="L159" s="42">
        <f t="shared" si="30"/>
        <v>0</v>
      </c>
      <c r="M159" s="42">
        <f t="shared" si="32"/>
        <v>0</v>
      </c>
      <c r="N159" s="48"/>
      <c r="O159" s="49"/>
      <c r="P159" s="5"/>
    </row>
    <row r="160" spans="1:16" ht="21.6" x14ac:dyDescent="0.65">
      <c r="A160" s="52"/>
      <c r="B160" s="142"/>
      <c r="C160" s="143" t="str">
        <f>"7.7.6 "&amp;[1]ตารางระบายน้ำ!C154</f>
        <v>7.7.6 กรณีรางน้ำ 2 ด้าน มีท่อ คสล.Dai. 0.40 ม.สองด้าน</v>
      </c>
      <c r="D160" s="89"/>
      <c r="E160" s="140">
        <v>0</v>
      </c>
      <c r="F160" s="120" t="s">
        <v>38</v>
      </c>
      <c r="G160" s="39">
        <v>0</v>
      </c>
      <c r="H160" s="39">
        <v>0</v>
      </c>
      <c r="I160" s="39">
        <f>IF(E160&gt;0,[1]ต้นทุนระบายน้ำ!$N$156,)</f>
        <v>0</v>
      </c>
      <c r="J160" s="41">
        <f t="shared" si="31"/>
        <v>0</v>
      </c>
      <c r="K160" s="32">
        <f>IF(E160&gt;0,[1]S2!$BJ$22,)</f>
        <v>0</v>
      </c>
      <c r="L160" s="42">
        <f t="shared" si="30"/>
        <v>0</v>
      </c>
      <c r="M160" s="42">
        <f t="shared" si="32"/>
        <v>0</v>
      </c>
      <c r="N160" s="48"/>
      <c r="O160" s="49"/>
      <c r="P160" s="5"/>
    </row>
    <row r="161" spans="1:16" ht="21.6" x14ac:dyDescent="0.65">
      <c r="A161" s="52"/>
      <c r="B161" s="142"/>
      <c r="C161" s="143" t="str">
        <f>"7.7.7 "&amp;[1]ตารางระบายน้ำ!C155</f>
        <v>7.7.7 กรณีรางน้ำ 2 ด้าน มีท่อ คสล.Dai. 0.40 ม.สองด้าน</v>
      </c>
      <c r="D161" s="89"/>
      <c r="E161" s="140">
        <v>0</v>
      </c>
      <c r="F161" s="120" t="s">
        <v>38</v>
      </c>
      <c r="G161" s="39">
        <v>0</v>
      </c>
      <c r="H161" s="39">
        <v>0</v>
      </c>
      <c r="I161" s="39">
        <f>IF(E161&gt;0,[1]ต้นทุนระบายน้ำ!$N$170,)</f>
        <v>0</v>
      </c>
      <c r="J161" s="41">
        <f t="shared" si="31"/>
        <v>0</v>
      </c>
      <c r="K161" s="32">
        <f>IF(E161&gt;0,[1]S2!$BJ$22,)</f>
        <v>0</v>
      </c>
      <c r="L161" s="42">
        <f t="shared" si="30"/>
        <v>0</v>
      </c>
      <c r="M161" s="42">
        <f t="shared" si="32"/>
        <v>0</v>
      </c>
      <c r="N161" s="48"/>
      <c r="O161" s="49"/>
      <c r="P161" s="5"/>
    </row>
    <row r="162" spans="1:16" ht="21.6" x14ac:dyDescent="0.65">
      <c r="A162" s="52"/>
      <c r="B162" s="142"/>
      <c r="C162" s="143" t="str">
        <f>"7.7.8 "&amp;[1]ตารางระบายน้ำ!C161</f>
        <v>7.7.8 กรณีรางน้ำ 1 ด้าน มีท่อ คสล.Dai. 0.40 ม.ด้านเดียว</v>
      </c>
      <c r="D162" s="89"/>
      <c r="E162" s="140">
        <v>0</v>
      </c>
      <c r="F162" s="120" t="s">
        <v>38</v>
      </c>
      <c r="G162" s="39">
        <v>0</v>
      </c>
      <c r="H162" s="39">
        <v>0</v>
      </c>
      <c r="I162" s="39">
        <f>IF(E162&gt;0,[1]ต้นทุนระบายน้ำ!N184,)</f>
        <v>0</v>
      </c>
      <c r="J162" s="41">
        <f t="shared" si="31"/>
        <v>0</v>
      </c>
      <c r="K162" s="32">
        <f>IF(E162&gt;0,[1]S2!$BJ$22,)</f>
        <v>0</v>
      </c>
      <c r="L162" s="42">
        <f t="shared" si="30"/>
        <v>0</v>
      </c>
      <c r="M162" s="42">
        <f t="shared" si="32"/>
        <v>0</v>
      </c>
      <c r="N162" s="48"/>
      <c r="O162" s="49"/>
      <c r="P162" s="5"/>
    </row>
    <row r="163" spans="1:16" ht="21.6" x14ac:dyDescent="0.65">
      <c r="A163" s="52"/>
      <c r="B163" s="142"/>
      <c r="C163" s="143" t="str">
        <f>"7.7.9 "&amp;[1]ตารางระบายน้ำ!C162</f>
        <v>7.7.9 กรณีรางน้ำ 1 ด้าน มีท่อ คสล.Dai. 0.40 ม.ด้านเดียว</v>
      </c>
      <c r="D163" s="89"/>
      <c r="E163" s="140">
        <v>0</v>
      </c>
      <c r="F163" s="120" t="s">
        <v>38</v>
      </c>
      <c r="G163" s="39">
        <v>0</v>
      </c>
      <c r="H163" s="39">
        <v>0</v>
      </c>
      <c r="I163" s="39">
        <f>IF(E163&gt;0,[1]ต้นทุนระบายน้ำ!$N$198,)</f>
        <v>0</v>
      </c>
      <c r="J163" s="41">
        <f t="shared" si="31"/>
        <v>0</v>
      </c>
      <c r="K163" s="32">
        <f>IF(E163&gt;0,[1]S2!$BJ$22,)</f>
        <v>0</v>
      </c>
      <c r="L163" s="42">
        <f t="shared" si="30"/>
        <v>0</v>
      </c>
      <c r="M163" s="42">
        <f t="shared" si="32"/>
        <v>0</v>
      </c>
      <c r="N163" s="48"/>
      <c r="O163" s="49"/>
      <c r="P163" s="5"/>
    </row>
    <row r="164" spans="1:16" ht="21.6" x14ac:dyDescent="0.65">
      <c r="A164" s="52"/>
      <c r="B164" s="142"/>
      <c r="C164" s="143" t="str">
        <f>"7.7.10 "&amp;[1]ตารางระบายน้ำ!C168</f>
        <v>7.7.10 กรณีรางน้ำ 1 ด้าน มีท่อ คสล.Dai. 0.40 ม.สองด้าน</v>
      </c>
      <c r="D164" s="89"/>
      <c r="E164" s="140">
        <v>0</v>
      </c>
      <c r="F164" s="120" t="s">
        <v>38</v>
      </c>
      <c r="G164" s="39">
        <v>0</v>
      </c>
      <c r="H164" s="39">
        <v>0</v>
      </c>
      <c r="I164" s="39">
        <f>IF(E164&gt;0,[1]ต้นทุนระบายน้ำ!$N$212,)</f>
        <v>0</v>
      </c>
      <c r="J164" s="41">
        <f t="shared" si="31"/>
        <v>0</v>
      </c>
      <c r="K164" s="32">
        <f>IF(E164&gt;0,[1]S2!$BJ$22,)</f>
        <v>0</v>
      </c>
      <c r="L164" s="42">
        <f t="shared" si="30"/>
        <v>0</v>
      </c>
      <c r="M164" s="42">
        <f t="shared" si="32"/>
        <v>0</v>
      </c>
      <c r="N164" s="48"/>
      <c r="O164" s="49"/>
      <c r="P164" s="5"/>
    </row>
    <row r="165" spans="1:16" ht="21.6" x14ac:dyDescent="0.65">
      <c r="A165" s="52"/>
      <c r="B165" s="142"/>
      <c r="C165" s="143" t="str">
        <f>"7.7.11 "&amp;[1]ตารางระบายน้ำ!C169</f>
        <v>7.7.11 กรณีรางน้ำ 1 ด้าน มีท่อ คสล.Dai. 0.40 ม.สองด้าน</v>
      </c>
      <c r="D165" s="89"/>
      <c r="E165" s="140">
        <v>0</v>
      </c>
      <c r="F165" s="120" t="s">
        <v>38</v>
      </c>
      <c r="G165" s="39">
        <v>0</v>
      </c>
      <c r="H165" s="39">
        <v>0</v>
      </c>
      <c r="I165" s="39">
        <f>IF(E165&gt;0,[1]ต้นทุนระบายน้ำ!$N$226,)</f>
        <v>0</v>
      </c>
      <c r="J165" s="41">
        <f t="shared" si="31"/>
        <v>0</v>
      </c>
      <c r="K165" s="32">
        <f>IF(E165&gt;0,[1]S2!$BJ$22,)</f>
        <v>0</v>
      </c>
      <c r="L165" s="42">
        <f t="shared" si="30"/>
        <v>0</v>
      </c>
      <c r="M165" s="42">
        <f t="shared" si="32"/>
        <v>0</v>
      </c>
      <c r="N165" s="48"/>
      <c r="O165" s="49"/>
      <c r="P165" s="5"/>
    </row>
    <row r="166" spans="1:16" ht="21.6" x14ac:dyDescent="0.65">
      <c r="A166" s="84"/>
      <c r="B166" s="144">
        <v>7.8</v>
      </c>
      <c r="C166" s="89" t="s">
        <v>156</v>
      </c>
      <c r="D166" s="145"/>
      <c r="E166" s="140">
        <v>0</v>
      </c>
      <c r="F166" s="120" t="s">
        <v>17</v>
      </c>
      <c r="G166" s="39">
        <v>0</v>
      </c>
      <c r="H166" s="39">
        <v>0</v>
      </c>
      <c r="I166" s="39">
        <f>IF(E166&gt;0,[1]ต้นทุนวางท่อ!$N$137,)</f>
        <v>0</v>
      </c>
      <c r="J166" s="41">
        <f t="shared" si="31"/>
        <v>0</v>
      </c>
      <c r="K166" s="32">
        <f>IF(E166&gt;0,[1]S2!$BJ$22,)</f>
        <v>0</v>
      </c>
      <c r="L166" s="42">
        <f t="shared" si="30"/>
        <v>0</v>
      </c>
      <c r="M166" s="42">
        <f t="shared" si="32"/>
        <v>0</v>
      </c>
      <c r="N166" s="48"/>
      <c r="O166" s="49"/>
      <c r="P166" s="5"/>
    </row>
    <row r="167" spans="1:16" ht="21.6" x14ac:dyDescent="0.65">
      <c r="A167" s="52"/>
      <c r="B167" s="144">
        <v>7.9</v>
      </c>
      <c r="C167" s="89" t="s">
        <v>157</v>
      </c>
      <c r="D167" s="145"/>
      <c r="E167" s="140">
        <v>0</v>
      </c>
      <c r="F167" s="120" t="s">
        <v>153</v>
      </c>
      <c r="G167" s="39">
        <v>0</v>
      </c>
      <c r="H167" s="39">
        <v>0</v>
      </c>
      <c r="I167" s="83">
        <f>IF(E167&gt;0,[1]ต้นทุนระบายน้ำ!$N$236,)</f>
        <v>0</v>
      </c>
      <c r="J167" s="41">
        <f t="shared" si="31"/>
        <v>0</v>
      </c>
      <c r="K167" s="32">
        <f>IF(E167&gt;0,[1]S2!$BJ$22,)</f>
        <v>0</v>
      </c>
      <c r="L167" s="42">
        <f t="shared" si="30"/>
        <v>0</v>
      </c>
      <c r="M167" s="42">
        <f t="shared" si="32"/>
        <v>0</v>
      </c>
      <c r="N167" s="48"/>
      <c r="O167" s="49"/>
      <c r="P167" s="5"/>
    </row>
    <row r="168" spans="1:16" ht="21.6" x14ac:dyDescent="0.65">
      <c r="A168" s="52"/>
      <c r="B168" s="142">
        <v>7.1</v>
      </c>
      <c r="C168" s="89" t="s">
        <v>158</v>
      </c>
      <c r="D168" s="145"/>
      <c r="E168" s="140">
        <v>0</v>
      </c>
      <c r="F168" s="120" t="s">
        <v>153</v>
      </c>
      <c r="G168" s="39">
        <v>0</v>
      </c>
      <c r="H168" s="39">
        <v>0</v>
      </c>
      <c r="I168" s="83">
        <f>IF(E168&gt;0,[1]ต้นทุนระบายน้ำ!$N$244,)</f>
        <v>0</v>
      </c>
      <c r="J168" s="41">
        <f>E168*I168</f>
        <v>0</v>
      </c>
      <c r="K168" s="32">
        <f>IF(E168&gt;0,[1]S2!$BJ$22,)</f>
        <v>0</v>
      </c>
      <c r="L168" s="42">
        <f t="shared" si="30"/>
        <v>0</v>
      </c>
      <c r="M168" s="42">
        <f>L168*E168</f>
        <v>0</v>
      </c>
      <c r="N168" s="48"/>
      <c r="O168" s="49"/>
      <c r="P168" s="5"/>
    </row>
    <row r="169" spans="1:16" ht="21.6" x14ac:dyDescent="0.65">
      <c r="A169" s="52"/>
      <c r="B169" s="142">
        <v>7.11</v>
      </c>
      <c r="C169" s="89" t="s">
        <v>159</v>
      </c>
      <c r="D169" s="145"/>
      <c r="E169" s="140">
        <v>0</v>
      </c>
      <c r="F169" s="120" t="s">
        <v>17</v>
      </c>
      <c r="G169" s="39">
        <v>0</v>
      </c>
      <c r="H169" s="39">
        <v>0</v>
      </c>
      <c r="I169" s="83">
        <f>IF(E169&gt;0,IF('[1]NO DELETE'!A28=1,[1]ต้นทุนระบายน้ำ!$N$22,[1]ต้นทุนระบายน้ำ!$N$23),)</f>
        <v>0</v>
      </c>
      <c r="J169" s="41">
        <f>E169*I169</f>
        <v>0</v>
      </c>
      <c r="K169" s="32">
        <f>IF(E169&gt;0,[1]S2!$BJ$22,)</f>
        <v>0</v>
      </c>
      <c r="L169" s="42">
        <f t="shared" si="30"/>
        <v>0</v>
      </c>
      <c r="M169" s="42">
        <f>L169*E169</f>
        <v>0</v>
      </c>
      <c r="N169" s="48"/>
      <c r="O169" s="49"/>
      <c r="P169" s="5"/>
    </row>
    <row r="170" spans="1:16" ht="21.6" x14ac:dyDescent="0.65">
      <c r="A170" s="52"/>
      <c r="B170" s="142"/>
      <c r="C170" s="111" t="str">
        <f>+"7.11.1 "&amp;'[1]NO DELETE'!B120</f>
        <v>7.11.1 บ่อรับน้ำปากท่อ คสล.กลม 1 - 0.60 m.</v>
      </c>
      <c r="D170" s="49"/>
      <c r="E170" s="140">
        <v>0</v>
      </c>
      <c r="F170" s="120" t="s">
        <v>38</v>
      </c>
      <c r="G170" s="39">
        <v>0</v>
      </c>
      <c r="H170" s="39">
        <v>0</v>
      </c>
      <c r="I170" s="83" t="b">
        <f>+IF(E170&gt;0,[1]ต้นทุนระบายน้ำ!$N$32)</f>
        <v>0</v>
      </c>
      <c r="J170" s="41">
        <f t="shared" ref="J170:J174" si="34">E170*I170</f>
        <v>0</v>
      </c>
      <c r="K170" s="32">
        <f>IF(E170&gt;0,[1]S2!$BJ$22,)</f>
        <v>0</v>
      </c>
      <c r="L170" s="42">
        <f t="shared" si="30"/>
        <v>0</v>
      </c>
      <c r="M170" s="42">
        <f t="shared" ref="M170:M174" si="35">L170*E170</f>
        <v>0</v>
      </c>
      <c r="N170" s="48"/>
      <c r="O170" s="49"/>
      <c r="P170" s="5"/>
    </row>
    <row r="171" spans="1:16" ht="21.6" x14ac:dyDescent="0.65">
      <c r="A171" s="52"/>
      <c r="B171" s="142"/>
      <c r="C171" s="111" t="str">
        <f>+"7.11.2 "&amp;'[1]NO DELETE'!B127</f>
        <v>7.11.2 บ่อรับน้ำปากท่อ คสล.กลม 2 - 0.60 m.</v>
      </c>
      <c r="D171" s="49"/>
      <c r="E171" s="140">
        <v>0</v>
      </c>
      <c r="F171" s="120" t="s">
        <v>38</v>
      </c>
      <c r="G171" s="39">
        <v>0</v>
      </c>
      <c r="H171" s="39">
        <v>0</v>
      </c>
      <c r="I171" s="83" t="b">
        <f>+IF(E171&gt;0,[1]ต้นทุนระบายน้ำ!$N$41)</f>
        <v>0</v>
      </c>
      <c r="J171" s="41">
        <f t="shared" si="34"/>
        <v>0</v>
      </c>
      <c r="K171" s="32">
        <f>IF(E171&gt;0,[1]S2!$BJ$22,)</f>
        <v>0</v>
      </c>
      <c r="L171" s="42">
        <f t="shared" si="30"/>
        <v>0</v>
      </c>
      <c r="M171" s="42">
        <f t="shared" si="35"/>
        <v>0</v>
      </c>
      <c r="N171" s="48"/>
      <c r="O171" s="49"/>
      <c r="P171" s="5"/>
    </row>
    <row r="172" spans="1:16" ht="21.6" x14ac:dyDescent="0.65">
      <c r="A172" s="52"/>
      <c r="B172" s="142"/>
      <c r="C172" s="111" t="str">
        <f>+"7.11.3 "&amp;'[1]NO DELETE'!B134</f>
        <v>7.11.3 รางส่งน้ำขั้นบันไดปากท่อ คสล.กลม 1 - 1.20 m.</v>
      </c>
      <c r="D172" s="49"/>
      <c r="E172" s="140">
        <v>0</v>
      </c>
      <c r="F172" s="120" t="s">
        <v>38</v>
      </c>
      <c r="G172" s="39">
        <v>0</v>
      </c>
      <c r="H172" s="39">
        <v>0</v>
      </c>
      <c r="I172" s="83" t="b">
        <f>+IF(E172&gt;0,[1]ต้นทุนระบายน้ำ!$N$51)</f>
        <v>0</v>
      </c>
      <c r="J172" s="41">
        <f t="shared" si="34"/>
        <v>0</v>
      </c>
      <c r="K172" s="32">
        <f>IF(E172&gt;0,[1]S2!$BJ$22,)</f>
        <v>0</v>
      </c>
      <c r="L172" s="42">
        <f t="shared" si="30"/>
        <v>0</v>
      </c>
      <c r="M172" s="42">
        <f t="shared" si="35"/>
        <v>0</v>
      </c>
      <c r="N172" s="48"/>
      <c r="O172" s="49"/>
      <c r="P172" s="5"/>
    </row>
    <row r="173" spans="1:16" ht="21.6" x14ac:dyDescent="0.65">
      <c r="A173" s="52"/>
      <c r="B173" s="142"/>
      <c r="C173" s="111" t="str">
        <f>+"7.11.4 "&amp;'[1]NO DELETE'!B135</f>
        <v xml:space="preserve">7.11.4 </v>
      </c>
      <c r="D173" s="49"/>
      <c r="E173" s="140">
        <v>0</v>
      </c>
      <c r="F173" s="120" t="s">
        <v>38</v>
      </c>
      <c r="G173" s="39">
        <v>0</v>
      </c>
      <c r="H173" s="39">
        <v>0</v>
      </c>
      <c r="I173" s="83" t="b">
        <f>+IF(E173&gt;0,[1]ต้นทุนระบายน้ำ!$N$61)</f>
        <v>0</v>
      </c>
      <c r="J173" s="41">
        <f t="shared" si="34"/>
        <v>0</v>
      </c>
      <c r="K173" s="32">
        <f>IF(E173&gt;0,[1]S2!$BJ$22,)</f>
        <v>0</v>
      </c>
      <c r="L173" s="42">
        <f t="shared" si="30"/>
        <v>0</v>
      </c>
      <c r="M173" s="42">
        <f t="shared" si="35"/>
        <v>0</v>
      </c>
      <c r="N173" s="48"/>
      <c r="O173" s="49"/>
      <c r="P173" s="5"/>
    </row>
    <row r="174" spans="1:16" ht="21.6" x14ac:dyDescent="0.65">
      <c r="A174" s="52"/>
      <c r="B174" s="142">
        <v>7.11</v>
      </c>
      <c r="C174" s="89" t="s">
        <v>160</v>
      </c>
      <c r="D174" s="145"/>
      <c r="E174" s="136">
        <v>0</v>
      </c>
      <c r="F174" s="146" t="s">
        <v>153</v>
      </c>
      <c r="G174" s="147">
        <v>0</v>
      </c>
      <c r="H174" s="147">
        <v>0</v>
      </c>
      <c r="I174" s="39">
        <f>IF(E174&gt;0,[1]ต้นทุนระบายน้ำ!$N$251,)</f>
        <v>0</v>
      </c>
      <c r="J174" s="41">
        <f t="shared" si="34"/>
        <v>0</v>
      </c>
      <c r="K174" s="32">
        <f>IF(E174&gt;0,[1]S2!$BJ$22,)</f>
        <v>0</v>
      </c>
      <c r="L174" s="42">
        <f t="shared" si="30"/>
        <v>0</v>
      </c>
      <c r="M174" s="42">
        <f t="shared" si="35"/>
        <v>0</v>
      </c>
      <c r="N174" s="48"/>
      <c r="O174" s="49"/>
      <c r="P174" s="5"/>
    </row>
    <row r="175" spans="1:16" ht="21.6" x14ac:dyDescent="0.25">
      <c r="A175" s="243" t="s">
        <v>13</v>
      </c>
      <c r="B175" s="244"/>
      <c r="C175" s="244"/>
      <c r="D175" s="244"/>
      <c r="E175" s="244"/>
      <c r="F175" s="244"/>
      <c r="G175" s="244"/>
      <c r="H175" s="244"/>
      <c r="I175" s="245"/>
      <c r="J175" s="148">
        <f>SUM(J121:J174)</f>
        <v>0</v>
      </c>
      <c r="K175" s="149"/>
      <c r="L175" s="150"/>
      <c r="M175" s="148">
        <f>SUM(M121:M174)</f>
        <v>0</v>
      </c>
      <c r="N175" s="151"/>
      <c r="O175" s="152"/>
      <c r="P175" s="5"/>
    </row>
    <row r="176" spans="1:16" ht="25.2" x14ac:dyDescent="0.25">
      <c r="A176" s="249" t="str">
        <f>A116</f>
        <v>รายละเอียดการประมาณราคา เสริมผิวแอสฟัลต์คอนกรีตโดยวิธี  ( Overlay )</v>
      </c>
      <c r="B176" s="249"/>
      <c r="C176" s="249"/>
      <c r="D176" s="249"/>
      <c r="E176" s="249"/>
      <c r="F176" s="249"/>
      <c r="G176" s="249"/>
      <c r="H176" s="249"/>
      <c r="I176" s="249"/>
      <c r="J176" s="249"/>
      <c r="K176" s="249"/>
      <c r="L176" s="249"/>
      <c r="M176" s="249"/>
      <c r="N176" s="249"/>
      <c r="O176" s="249"/>
      <c r="P176" s="5"/>
    </row>
    <row r="177" spans="1:16" ht="34.200000000000003" x14ac:dyDescent="0.25">
      <c r="A177" s="3" t="str">
        <f>A117</f>
        <v>รหัสทางหลวงท้องถิ่น</v>
      </c>
      <c r="B177" s="96"/>
      <c r="C177" s="96"/>
      <c r="D177" s="2" t="str">
        <f>D117</f>
        <v>รอ.</v>
      </c>
      <c r="E177" s="3" t="str">
        <f>E117</f>
        <v>ชื่อสายทาง</v>
      </c>
      <c r="F177" s="4" t="str">
        <f>F117</f>
        <v xml:space="preserve"> บ้านหินตั้ง หมู่ที่4 ระยะทาง 528 เมตร </v>
      </c>
      <c r="G177" s="96"/>
      <c r="H177" s="96"/>
      <c r="I177" s="96"/>
      <c r="J177" s="96"/>
      <c r="K177" s="96"/>
      <c r="L177" s="97"/>
      <c r="M177" s="3"/>
      <c r="N177" s="118"/>
      <c r="O177" s="118"/>
      <c r="P177" s="5"/>
    </row>
    <row r="178" spans="1:16" ht="34.200000000000003" x14ac:dyDescent="0.25">
      <c r="A178" s="3" t="str">
        <f>A118</f>
        <v>สถานที่ตั้ง</v>
      </c>
      <c r="B178" s="96"/>
      <c r="C178" s="96"/>
      <c r="D178" s="2" t="str">
        <f>D118</f>
        <v xml:space="preserve"> บ้านหินตั้ง หมู่ที่4 ต.โนนรัง อ.เมืองร้อยเอ็ด  จ.ร้อยเอ็ด</v>
      </c>
      <c r="E178" s="5"/>
      <c r="F178" s="98"/>
      <c r="G178" s="98"/>
      <c r="H178" s="3" t="str">
        <f>H118</f>
        <v>ปริมาณงาน</v>
      </c>
      <c r="I178" s="5"/>
      <c r="J178" s="99">
        <f>J118</f>
        <v>0.52800000000000002</v>
      </c>
      <c r="K178" s="10" t="str">
        <f>K118</f>
        <v>กม.</v>
      </c>
      <c r="L178" s="100" t="str">
        <f>+L118</f>
        <v>ประจำปีงบประมาณ  2567</v>
      </c>
      <c r="M178" s="7"/>
      <c r="N178" s="119"/>
      <c r="O178" s="119"/>
      <c r="P178" s="5"/>
    </row>
    <row r="179" spans="1:16" ht="21.6" x14ac:dyDescent="0.25">
      <c r="A179" s="250" t="s">
        <v>2</v>
      </c>
      <c r="B179" s="252" t="s">
        <v>3</v>
      </c>
      <c r="C179" s="253"/>
      <c r="D179" s="254"/>
      <c r="E179" s="250" t="s">
        <v>4</v>
      </c>
      <c r="F179" s="250" t="s">
        <v>5</v>
      </c>
      <c r="G179" s="243" t="s">
        <v>6</v>
      </c>
      <c r="H179" s="244"/>
      <c r="I179" s="245"/>
      <c r="J179" s="12" t="s">
        <v>7</v>
      </c>
      <c r="K179" s="250" t="s">
        <v>8</v>
      </c>
      <c r="L179" s="243" t="s">
        <v>9</v>
      </c>
      <c r="M179" s="245"/>
      <c r="N179" s="252" t="s">
        <v>10</v>
      </c>
      <c r="O179" s="254"/>
      <c r="P179" s="5"/>
    </row>
    <row r="180" spans="1:16" ht="21.6" x14ac:dyDescent="0.25">
      <c r="A180" s="251"/>
      <c r="B180" s="255"/>
      <c r="C180" s="256"/>
      <c r="D180" s="257"/>
      <c r="E180" s="251"/>
      <c r="F180" s="251"/>
      <c r="G180" s="13" t="s">
        <v>11</v>
      </c>
      <c r="H180" s="13" t="s">
        <v>12</v>
      </c>
      <c r="I180" s="13" t="s">
        <v>13</v>
      </c>
      <c r="J180" s="14" t="s">
        <v>14</v>
      </c>
      <c r="K180" s="251"/>
      <c r="L180" s="15" t="s">
        <v>15</v>
      </c>
      <c r="M180" s="15" t="s">
        <v>13</v>
      </c>
      <c r="N180" s="255"/>
      <c r="O180" s="257"/>
      <c r="P180" s="5"/>
    </row>
    <row r="181" spans="1:16" ht="21.6" x14ac:dyDescent="0.25">
      <c r="A181" s="55"/>
      <c r="B181" s="101"/>
      <c r="C181" s="102"/>
      <c r="D181" s="103" t="s">
        <v>61</v>
      </c>
      <c r="E181" s="104"/>
      <c r="F181" s="104"/>
      <c r="G181" s="104"/>
      <c r="H181" s="104"/>
      <c r="I181" s="104"/>
      <c r="J181" s="153">
        <f>J175</f>
        <v>0</v>
      </c>
      <c r="K181" s="106"/>
      <c r="L181" s="107"/>
      <c r="M181" s="153">
        <f>M175</f>
        <v>0</v>
      </c>
      <c r="N181" s="101"/>
      <c r="O181" s="108"/>
      <c r="P181" s="5"/>
    </row>
    <row r="182" spans="1:16" ht="21.6" x14ac:dyDescent="0.65">
      <c r="A182" s="52">
        <v>8</v>
      </c>
      <c r="B182" s="74" t="s">
        <v>161</v>
      </c>
      <c r="C182" s="154"/>
      <c r="D182" s="155"/>
      <c r="E182" s="130"/>
      <c r="F182" s="156"/>
      <c r="G182" s="130"/>
      <c r="H182" s="130"/>
      <c r="I182" s="157"/>
      <c r="J182" s="158"/>
      <c r="K182" s="59"/>
      <c r="L182" s="60"/>
      <c r="M182" s="60"/>
      <c r="N182" s="53"/>
      <c r="O182" s="56"/>
      <c r="P182" s="5"/>
    </row>
    <row r="183" spans="1:16" ht="21.6" x14ac:dyDescent="0.65">
      <c r="A183" s="52"/>
      <c r="B183" s="159">
        <v>8.1</v>
      </c>
      <c r="C183" s="160" t="str">
        <f>VLOOKUP('[1]GABION BOX'!W7,'[1]GABION BOX'!S7:T8,2)</f>
        <v>PVC Gabion ขนาด 3 x 1 x 1 ม.,ตาข่าย 8X10 ซม.,wire 3.4/2.7/2.2</v>
      </c>
      <c r="D183" s="161"/>
      <c r="E183" s="134">
        <v>0</v>
      </c>
      <c r="F183" s="162" t="s">
        <v>162</v>
      </c>
      <c r="G183" s="163">
        <v>0</v>
      </c>
      <c r="H183" s="163">
        <v>0</v>
      </c>
      <c r="I183" s="76">
        <f>IF(E183&gt;0,'[1]GABION BOX'!M11,)</f>
        <v>0</v>
      </c>
      <c r="J183" s="164">
        <f>E183*I183</f>
        <v>0</v>
      </c>
      <c r="K183" s="32">
        <f>IF(E183&gt;0,[1]S2!$BJ$22,)</f>
        <v>0</v>
      </c>
      <c r="L183" s="33">
        <f>K183*I183</f>
        <v>0</v>
      </c>
      <c r="M183" s="33">
        <f>L183*E183</f>
        <v>0</v>
      </c>
      <c r="N183" s="34"/>
      <c r="O183" s="35"/>
      <c r="P183" s="5"/>
    </row>
    <row r="184" spans="1:16" ht="21.6" x14ac:dyDescent="0.65">
      <c r="A184" s="52"/>
      <c r="B184" s="165">
        <v>8.1999999999999993</v>
      </c>
      <c r="C184" s="160" t="str">
        <f>VLOOKUP('[1]GABION BOX'!W10,'[1]GABION BOX'!S10:T11,2)</f>
        <v>Zinc Gabion ขนาด 2 x 1 x 1 ม.,ตาข่าย 8X10 ซม.,wire 3.4/2.7/2.3</v>
      </c>
      <c r="D184" s="145"/>
      <c r="E184" s="134">
        <v>0</v>
      </c>
      <c r="F184" s="162" t="s">
        <v>162</v>
      </c>
      <c r="G184" s="163">
        <v>0</v>
      </c>
      <c r="H184" s="163">
        <v>0</v>
      </c>
      <c r="I184" s="83">
        <f>IF(E184&gt;0,'[1]GABION BOX'!M16,)</f>
        <v>0</v>
      </c>
      <c r="J184" s="166">
        <f t="shared" ref="J184:J195" si="36">E184*I184</f>
        <v>0</v>
      </c>
      <c r="K184" s="32">
        <f>IF(E184&gt;0,[1]S2!$BJ$22,)</f>
        <v>0</v>
      </c>
      <c r="L184" s="42">
        <f>K184*I184</f>
        <v>0</v>
      </c>
      <c r="M184" s="42">
        <f>L184*E184</f>
        <v>0</v>
      </c>
      <c r="N184" s="48"/>
      <c r="O184" s="49"/>
      <c r="P184" s="5"/>
    </row>
    <row r="185" spans="1:16" ht="21.6" x14ac:dyDescent="0.65">
      <c r="A185" s="52"/>
      <c r="B185" s="159">
        <v>8.3000000000000007</v>
      </c>
      <c r="C185" s="160" t="str">
        <f>VLOOKUP('[1]GABION BOX'!W13,'[1]GABION BOX'!S13:T14,2)</f>
        <v>PVC Gabion ขนาด 2 x 1 x 0.5 ม.,ตาข่าย 8X10 ซม.,wire 3.4/2.7/2.4</v>
      </c>
      <c r="D185" s="145"/>
      <c r="E185" s="134">
        <v>0</v>
      </c>
      <c r="F185" s="162" t="s">
        <v>162</v>
      </c>
      <c r="G185" s="163">
        <v>0</v>
      </c>
      <c r="H185" s="163">
        <v>0</v>
      </c>
      <c r="I185" s="83">
        <f>IF(E185&gt;0,'[1]GABION BOX'!M21,)</f>
        <v>0</v>
      </c>
      <c r="J185" s="166">
        <f t="shared" si="36"/>
        <v>0</v>
      </c>
      <c r="K185" s="32">
        <f>IF(E185&gt;0,[1]S2!$BJ$22,)</f>
        <v>0</v>
      </c>
      <c r="L185" s="42">
        <f t="shared" ref="L185:L195" si="37">K185*I185</f>
        <v>0</v>
      </c>
      <c r="M185" s="42">
        <f t="shared" ref="M185:M195" si="38">L185*E185</f>
        <v>0</v>
      </c>
      <c r="N185" s="34"/>
      <c r="O185" s="35"/>
      <c r="P185" s="5"/>
    </row>
    <row r="186" spans="1:16" ht="21.6" x14ac:dyDescent="0.65">
      <c r="A186" s="52"/>
      <c r="B186" s="165">
        <v>8.4</v>
      </c>
      <c r="C186" s="160" t="str">
        <f>VLOOKUP('[1]GABION BOX'!W16,'[1]GABION BOX'!S16:T17,2)</f>
        <v>PVC Gabion ขนาด 1.5 x 1 x 1 ม.,ตาข่าย 8X10 ซม.,wire 3.4/2.7/2.5</v>
      </c>
      <c r="D186" s="161"/>
      <c r="E186" s="134">
        <v>0</v>
      </c>
      <c r="F186" s="162" t="s">
        <v>162</v>
      </c>
      <c r="G186" s="163">
        <v>0</v>
      </c>
      <c r="H186" s="163">
        <v>0</v>
      </c>
      <c r="I186" s="76">
        <f>IF(E186&gt;0,'[1]GABION BOX'!M26,)</f>
        <v>0</v>
      </c>
      <c r="J186" s="164">
        <f t="shared" si="36"/>
        <v>0</v>
      </c>
      <c r="K186" s="32">
        <f>IF(E186&gt;0,[1]S2!$BJ$22,)</f>
        <v>0</v>
      </c>
      <c r="L186" s="33">
        <f t="shared" si="37"/>
        <v>0</v>
      </c>
      <c r="M186" s="33">
        <f t="shared" si="38"/>
        <v>0</v>
      </c>
      <c r="N186" s="34"/>
      <c r="O186" s="35"/>
      <c r="P186" s="5"/>
    </row>
    <row r="187" spans="1:16" ht="21.6" x14ac:dyDescent="0.65">
      <c r="A187" s="52"/>
      <c r="B187" s="159">
        <v>8.5</v>
      </c>
      <c r="C187" s="160" t="str">
        <f>VLOOKUP('[1]GABION BOX'!W19,'[1]GABION BOX'!S19:T20,2)</f>
        <v>PVC Gabion ขนาด 1 x 1 x 1 ม.,ตาข่าย 8X10 ซม.,wire 3.4/2.7/2.6</v>
      </c>
      <c r="D187" s="145"/>
      <c r="E187" s="134">
        <v>0</v>
      </c>
      <c r="F187" s="162" t="s">
        <v>162</v>
      </c>
      <c r="G187" s="163">
        <v>0</v>
      </c>
      <c r="H187" s="163">
        <v>0</v>
      </c>
      <c r="I187" s="83">
        <f>IF(E187&gt;0,'[1]GABION BOX'!M31,)</f>
        <v>0</v>
      </c>
      <c r="J187" s="166">
        <f t="shared" si="36"/>
        <v>0</v>
      </c>
      <c r="K187" s="32">
        <f>IF(E187&gt;0,[1]S2!$BJ$22,)</f>
        <v>0</v>
      </c>
      <c r="L187" s="42">
        <f t="shared" si="37"/>
        <v>0</v>
      </c>
      <c r="M187" s="42">
        <f t="shared" si="38"/>
        <v>0</v>
      </c>
      <c r="N187" s="34"/>
      <c r="O187" s="35"/>
      <c r="P187" s="5"/>
    </row>
    <row r="188" spans="1:16" ht="21.6" x14ac:dyDescent="0.65">
      <c r="A188" s="52"/>
      <c r="B188" s="165">
        <v>8.6</v>
      </c>
      <c r="C188" s="160" t="str">
        <f>VLOOKUP('[1]GABION BOX'!W22,'[1]GABION BOX'!S22:T23,2)</f>
        <v>PVC Gabion ขนาด 2 x 1 x 0.3 ม.,ตาข่าย 6X8 ซม.,wire 2.7/2.2/2.2</v>
      </c>
      <c r="D188" s="145"/>
      <c r="E188" s="134">
        <v>0</v>
      </c>
      <c r="F188" s="162" t="s">
        <v>162</v>
      </c>
      <c r="G188" s="163">
        <v>0</v>
      </c>
      <c r="H188" s="163">
        <v>0</v>
      </c>
      <c r="I188" s="83">
        <f>IF(E188&gt;0,'[1]GABION BOX'!M36,)</f>
        <v>0</v>
      </c>
      <c r="J188" s="166">
        <f t="shared" si="36"/>
        <v>0</v>
      </c>
      <c r="K188" s="32">
        <f>IF(E188&gt;0,[1]S2!$BJ$22,)</f>
        <v>0</v>
      </c>
      <c r="L188" s="42">
        <f t="shared" si="37"/>
        <v>0</v>
      </c>
      <c r="M188" s="42">
        <f t="shared" si="38"/>
        <v>0</v>
      </c>
      <c r="N188" s="34"/>
      <c r="O188" s="35"/>
      <c r="P188" s="5"/>
    </row>
    <row r="189" spans="1:16" ht="21.6" x14ac:dyDescent="0.65">
      <c r="A189" s="52"/>
      <c r="B189" s="159">
        <v>8.7000000000000099</v>
      </c>
      <c r="C189" s="160" t="str">
        <f>VLOOKUP('[1]GABION BOX'!W25,'[1]GABION BOX'!S25:T26,2)</f>
        <v>PVC Gabion ขนาด 3 x 2 x 0.3 ม.,ตาข่าย 6X8 ซม.,wire 2.7/2.2/2.3</v>
      </c>
      <c r="D189" s="145"/>
      <c r="E189" s="134">
        <v>0</v>
      </c>
      <c r="F189" s="162" t="s">
        <v>162</v>
      </c>
      <c r="G189" s="163">
        <v>0</v>
      </c>
      <c r="H189" s="163">
        <v>0</v>
      </c>
      <c r="I189" s="83">
        <f>IF(E189&gt;0,'[1]GABION BOX'!M41,)</f>
        <v>0</v>
      </c>
      <c r="J189" s="166">
        <f t="shared" si="36"/>
        <v>0</v>
      </c>
      <c r="K189" s="32">
        <f>IF(E189&gt;0,[1]S2!$BJ$22,)</f>
        <v>0</v>
      </c>
      <c r="L189" s="42">
        <f t="shared" si="37"/>
        <v>0</v>
      </c>
      <c r="M189" s="42">
        <f t="shared" si="38"/>
        <v>0</v>
      </c>
      <c r="N189" s="34"/>
      <c r="O189" s="35"/>
      <c r="P189" s="5"/>
    </row>
    <row r="190" spans="1:16" ht="21.6" x14ac:dyDescent="0.65">
      <c r="A190" s="52"/>
      <c r="B190" s="165">
        <v>8.8000000000000096</v>
      </c>
      <c r="C190" s="160" t="str">
        <f>VLOOKUP('[1]GABION BOX'!W28,'[1]GABION BOX'!S28:T29,2)</f>
        <v>PVC Gabion ขนาด 4 x 2 x 0.3 ม.,ตาข่าย 6X8 ซม.,wire 2.7/2.2/2.4</v>
      </c>
      <c r="D190" s="145"/>
      <c r="E190" s="134">
        <v>0</v>
      </c>
      <c r="F190" s="162" t="s">
        <v>162</v>
      </c>
      <c r="G190" s="163">
        <v>0</v>
      </c>
      <c r="H190" s="163">
        <v>0</v>
      </c>
      <c r="I190" s="83">
        <f>IF(E190&gt;0,'[1]GABION BOX'!M46,)</f>
        <v>0</v>
      </c>
      <c r="J190" s="166">
        <f t="shared" si="36"/>
        <v>0</v>
      </c>
      <c r="K190" s="32">
        <f>IF(E190&gt;0,[1]S2!$BJ$22,)</f>
        <v>0</v>
      </c>
      <c r="L190" s="42">
        <f t="shared" si="37"/>
        <v>0</v>
      </c>
      <c r="M190" s="42">
        <f t="shared" si="38"/>
        <v>0</v>
      </c>
      <c r="N190" s="34"/>
      <c r="O190" s="35"/>
      <c r="P190" s="5"/>
    </row>
    <row r="191" spans="1:16" ht="21.6" x14ac:dyDescent="0.65">
      <c r="A191" s="52"/>
      <c r="B191" s="159">
        <v>8.9000000000000092</v>
      </c>
      <c r="C191" s="160" t="str">
        <f>VLOOKUP('[1]GABION BOX'!W31,'[1]GABION BOX'!S31:T32,2)</f>
        <v>PVC Gabion ขนาด 6 x 2 x 0.3 ม.,ตาข่าย 6X8 ซม.,wire 2.7/2.2/2.20</v>
      </c>
      <c r="D191" s="145"/>
      <c r="E191" s="134">
        <v>0</v>
      </c>
      <c r="F191" s="162" t="s">
        <v>162</v>
      </c>
      <c r="G191" s="163">
        <v>0</v>
      </c>
      <c r="H191" s="163">
        <v>0</v>
      </c>
      <c r="I191" s="83">
        <f>IF(E191&gt;0,'[1]GABION BOX'!M51,)</f>
        <v>0</v>
      </c>
      <c r="J191" s="166">
        <f t="shared" si="36"/>
        <v>0</v>
      </c>
      <c r="K191" s="32">
        <f>IF(E191&gt;0,[1]S2!$BJ$22,)</f>
        <v>0</v>
      </c>
      <c r="L191" s="42">
        <f t="shared" si="37"/>
        <v>0</v>
      </c>
      <c r="M191" s="42">
        <f t="shared" si="38"/>
        <v>0</v>
      </c>
      <c r="N191" s="34"/>
      <c r="O191" s="35"/>
      <c r="P191" s="5"/>
    </row>
    <row r="192" spans="1:16" ht="21.6" x14ac:dyDescent="0.65">
      <c r="A192" s="52"/>
      <c r="B192" s="167">
        <v>8.1</v>
      </c>
      <c r="C192" s="25" t="str">
        <f>'[1]GABION BOX'!T35</f>
        <v>แผ่นใยสังเคราะห์ weight 140 g/cm.2  TYPE 2</v>
      </c>
      <c r="D192" s="161"/>
      <c r="E192" s="134">
        <v>0</v>
      </c>
      <c r="F192" s="162" t="s">
        <v>17</v>
      </c>
      <c r="G192" s="163">
        <v>0</v>
      </c>
      <c r="H192" s="163">
        <v>0</v>
      </c>
      <c r="I192" s="76">
        <f>IF(E192&gt;0,'[1]GABION BOX'!M55,)</f>
        <v>0</v>
      </c>
      <c r="J192" s="164">
        <f t="shared" si="36"/>
        <v>0</v>
      </c>
      <c r="K192" s="32">
        <f>IF(E192&gt;0,[1]S2!$BJ$22,)</f>
        <v>0</v>
      </c>
      <c r="L192" s="33">
        <f t="shared" si="37"/>
        <v>0</v>
      </c>
      <c r="M192" s="33">
        <f t="shared" si="38"/>
        <v>0</v>
      </c>
      <c r="N192" s="34"/>
      <c r="O192" s="35"/>
      <c r="P192" s="5"/>
    </row>
    <row r="193" spans="1:16" ht="21.6" x14ac:dyDescent="0.65">
      <c r="A193" s="52"/>
      <c r="B193" s="168">
        <v>8.11</v>
      </c>
      <c r="C193" s="25" t="str">
        <f>'[1]GABION BOX'!T36</f>
        <v>แผ่นใยสังเคราะห์ weight 200 g/cm.2  TYPE 2</v>
      </c>
      <c r="D193" s="145"/>
      <c r="E193" s="134">
        <v>0</v>
      </c>
      <c r="F193" s="162" t="s">
        <v>17</v>
      </c>
      <c r="G193" s="163">
        <v>0</v>
      </c>
      <c r="H193" s="163">
        <v>0</v>
      </c>
      <c r="I193" s="83">
        <f>IF(E193&gt;0,'[1]GABION BOX'!M58,)</f>
        <v>0</v>
      </c>
      <c r="J193" s="166">
        <f t="shared" si="36"/>
        <v>0</v>
      </c>
      <c r="K193" s="32">
        <f>IF(E193&gt;0,[1]S2!$BJ$22,)</f>
        <v>0</v>
      </c>
      <c r="L193" s="42">
        <f t="shared" si="37"/>
        <v>0</v>
      </c>
      <c r="M193" s="42">
        <f t="shared" si="38"/>
        <v>0</v>
      </c>
      <c r="N193" s="34"/>
      <c r="O193" s="35"/>
      <c r="P193" s="5"/>
    </row>
    <row r="194" spans="1:16" ht="21.6" x14ac:dyDescent="0.65">
      <c r="A194" s="52"/>
      <c r="B194" s="167">
        <v>8.1199999999999992</v>
      </c>
      <c r="C194" s="25" t="str">
        <f>'[1]GABION BOX'!B59</f>
        <v>หินสำหรับบรรจุในกล่องลวดตาข่าย</v>
      </c>
      <c r="D194" s="145"/>
      <c r="E194" s="134">
        <v>0</v>
      </c>
      <c r="F194" s="162" t="s">
        <v>19</v>
      </c>
      <c r="G194" s="163"/>
      <c r="H194" s="163"/>
      <c r="I194" s="83">
        <f>IF(E194&gt;0,'[1]GABION BOX'!M62,)</f>
        <v>0</v>
      </c>
      <c r="J194" s="166">
        <f t="shared" si="36"/>
        <v>0</v>
      </c>
      <c r="K194" s="32">
        <f>IF(E194&gt;0,[1]S2!$BJ$22,)</f>
        <v>0</v>
      </c>
      <c r="L194" s="42">
        <f t="shared" si="37"/>
        <v>0</v>
      </c>
      <c r="M194" s="42">
        <f t="shared" si="38"/>
        <v>0</v>
      </c>
      <c r="N194" s="34"/>
      <c r="O194" s="35"/>
      <c r="P194" s="5"/>
    </row>
    <row r="195" spans="1:16" ht="21.6" x14ac:dyDescent="0.65">
      <c r="A195" s="52">
        <v>9</v>
      </c>
      <c r="B195" s="74" t="s">
        <v>163</v>
      </c>
      <c r="C195" s="37"/>
      <c r="D195" s="145"/>
      <c r="E195" s="136">
        <v>0</v>
      </c>
      <c r="F195" s="146" t="s">
        <v>153</v>
      </c>
      <c r="G195" s="39">
        <v>0</v>
      </c>
      <c r="H195" s="39">
        <v>0</v>
      </c>
      <c r="I195" s="147">
        <f>IF(E195&gt;0,310,0)</f>
        <v>0</v>
      </c>
      <c r="J195" s="166">
        <f t="shared" si="36"/>
        <v>0</v>
      </c>
      <c r="K195" s="32">
        <f>IF(E195&gt;0,[1]S2!$BJ$22,)</f>
        <v>0</v>
      </c>
      <c r="L195" s="42">
        <f t="shared" si="37"/>
        <v>0</v>
      </c>
      <c r="M195" s="33">
        <f t="shared" si="38"/>
        <v>0</v>
      </c>
      <c r="N195" s="34"/>
      <c r="O195" s="35"/>
      <c r="P195" s="5"/>
    </row>
    <row r="196" spans="1:16" ht="21.6" x14ac:dyDescent="0.65">
      <c r="A196" s="52">
        <v>10</v>
      </c>
      <c r="B196" s="169" t="s">
        <v>164</v>
      </c>
      <c r="C196" s="154"/>
      <c r="D196" s="145"/>
      <c r="E196" s="170"/>
      <c r="F196" s="146"/>
      <c r="G196" s="39"/>
      <c r="H196" s="39"/>
      <c r="I196" s="171"/>
      <c r="J196" s="164"/>
      <c r="K196" s="32">
        <f>IF(E196&gt;0,[1]S2!$BJ$22,)</f>
        <v>0</v>
      </c>
      <c r="L196" s="33"/>
      <c r="M196" s="33"/>
      <c r="N196" s="34"/>
      <c r="O196" s="35"/>
      <c r="P196" s="5"/>
    </row>
    <row r="197" spans="1:16" ht="21.6" x14ac:dyDescent="0.65">
      <c r="A197" s="52"/>
      <c r="B197" s="172">
        <v>10.1</v>
      </c>
      <c r="C197" s="173" t="s">
        <v>165</v>
      </c>
      <c r="D197" s="145"/>
      <c r="E197" s="136">
        <v>0</v>
      </c>
      <c r="F197" s="146" t="s">
        <v>166</v>
      </c>
      <c r="G197" s="39">
        <v>0</v>
      </c>
      <c r="H197" s="39">
        <v>0</v>
      </c>
      <c r="I197" s="83">
        <f>IF(E197&gt;0,'[1]ต้นทุนเสา 9 ม.'!O239,)</f>
        <v>0</v>
      </c>
      <c r="J197" s="31">
        <f t="shared" ref="J197:J203" si="39">E197*I197</f>
        <v>0</v>
      </c>
      <c r="K197" s="32">
        <f>IF(E197&gt;0,[1]S2!$BJ$22,)</f>
        <v>0</v>
      </c>
      <c r="L197" s="42">
        <f t="shared" ref="L197:L198" si="40">K197*I197</f>
        <v>0</v>
      </c>
      <c r="M197" s="33">
        <f>L197*E197</f>
        <v>0</v>
      </c>
      <c r="N197" s="34" t="str">
        <f>+"  @ "&amp;'[1]NO DELETE'!B147&amp;"  ม."</f>
        <v xml:space="preserve">  @ 35  ม.</v>
      </c>
      <c r="O197" s="35"/>
      <c r="P197" s="5"/>
    </row>
    <row r="198" spans="1:16" ht="21.6" x14ac:dyDescent="0.65">
      <c r="A198" s="52"/>
      <c r="B198" s="172">
        <v>10.199999999999999</v>
      </c>
      <c r="C198" s="173" t="s">
        <v>167</v>
      </c>
      <c r="D198" s="145"/>
      <c r="E198" s="136">
        <v>0</v>
      </c>
      <c r="F198" s="146" t="s">
        <v>153</v>
      </c>
      <c r="G198" s="39">
        <f>+IF(E198&gt;0,'[1]ต้นทุนเสา 9 ม.'!$O$177,)</f>
        <v>0</v>
      </c>
      <c r="H198" s="28">
        <f>+IF(E198&gt;0,'[1]ต้นทุนเสา 9 ม.'!$O$178,)</f>
        <v>0</v>
      </c>
      <c r="I198" s="174">
        <f>SUM(G198:H198)</f>
        <v>0</v>
      </c>
      <c r="J198" s="31">
        <f t="shared" si="39"/>
        <v>0</v>
      </c>
      <c r="K198" s="32">
        <f>IF(E198&gt;0,[1]S2!$BJ$22,)</f>
        <v>0</v>
      </c>
      <c r="L198" s="42">
        <f t="shared" si="40"/>
        <v>0</v>
      </c>
      <c r="M198" s="33">
        <f t="shared" ref="M198" si="41">L198*E198</f>
        <v>0</v>
      </c>
      <c r="N198" s="34"/>
      <c r="O198" s="35"/>
      <c r="P198" s="5"/>
    </row>
    <row r="199" spans="1:16" ht="21.6" x14ac:dyDescent="0.65">
      <c r="A199" s="52"/>
      <c r="B199" s="172">
        <v>10.3</v>
      </c>
      <c r="C199" s="25" t="s">
        <v>168</v>
      </c>
      <c r="D199" s="161"/>
      <c r="E199" s="136">
        <v>0</v>
      </c>
      <c r="F199" s="162" t="s">
        <v>153</v>
      </c>
      <c r="G199" s="175">
        <v>0</v>
      </c>
      <c r="H199" s="175">
        <v>0</v>
      </c>
      <c r="I199" s="176">
        <f>+IF(E199&gt;0,'[1]ต้นทุนเสา 9 ม.'!$O$81,)</f>
        <v>0</v>
      </c>
      <c r="J199" s="31">
        <f t="shared" si="39"/>
        <v>0</v>
      </c>
      <c r="K199" s="32">
        <f>IF(E199&gt;0,[1]S2!$BJ$22,)</f>
        <v>0</v>
      </c>
      <c r="L199" s="33">
        <f>K199*I199</f>
        <v>0</v>
      </c>
      <c r="M199" s="33">
        <f>L199*E199</f>
        <v>0</v>
      </c>
      <c r="N199" s="34"/>
      <c r="O199" s="35"/>
      <c r="P199" s="5"/>
    </row>
    <row r="200" spans="1:16" ht="21.6" x14ac:dyDescent="0.65">
      <c r="A200" s="52"/>
      <c r="B200" s="172">
        <v>10.4</v>
      </c>
      <c r="C200" s="37" t="s">
        <v>169</v>
      </c>
      <c r="D200" s="145"/>
      <c r="E200" s="136">
        <v>0</v>
      </c>
      <c r="F200" s="146" t="s">
        <v>153</v>
      </c>
      <c r="G200" s="177"/>
      <c r="H200" s="177"/>
      <c r="I200" s="178">
        <f>IF(E200&gt;0,'[1]ต้นทุนเสา 9 ม.'!$O$116,)</f>
        <v>0</v>
      </c>
      <c r="J200" s="41">
        <f t="shared" si="39"/>
        <v>0</v>
      </c>
      <c r="K200" s="32">
        <f>IF(E200&gt;0,[1]S2!$BJ$22,)</f>
        <v>0</v>
      </c>
      <c r="L200" s="42">
        <f>K200*I200</f>
        <v>0</v>
      </c>
      <c r="M200" s="33">
        <f>L200*E200</f>
        <v>0</v>
      </c>
      <c r="N200" s="34"/>
      <c r="O200" s="35"/>
      <c r="P200" s="5"/>
    </row>
    <row r="201" spans="1:16" ht="23.4" x14ac:dyDescent="0.65">
      <c r="A201" s="52"/>
      <c r="B201" s="172">
        <v>10.5</v>
      </c>
      <c r="C201" s="179" t="s">
        <v>170</v>
      </c>
      <c r="D201" s="145"/>
      <c r="E201" s="136">
        <v>0</v>
      </c>
      <c r="F201" s="146" t="s">
        <v>153</v>
      </c>
      <c r="G201" s="39">
        <f>+IF(E201&gt;0,'[1]ต้นทุนเสา 9 ม.'!$O$177,)</f>
        <v>0</v>
      </c>
      <c r="H201" s="28">
        <f>+IF(E201&gt;0,'[1]ต้นทุนเสา 9 ม.'!$O$178,)</f>
        <v>0</v>
      </c>
      <c r="I201" s="174">
        <f>SUM(G201:H201)</f>
        <v>0</v>
      </c>
      <c r="J201" s="41">
        <f t="shared" si="39"/>
        <v>0</v>
      </c>
      <c r="K201" s="32">
        <f>IF(E201&gt;0,[1]S2!$BJ$22,)</f>
        <v>0</v>
      </c>
      <c r="L201" s="42">
        <f>K201*I201</f>
        <v>0</v>
      </c>
      <c r="M201" s="33">
        <f>L201*E201</f>
        <v>0</v>
      </c>
      <c r="N201" s="34"/>
      <c r="O201" s="35"/>
      <c r="P201" s="5"/>
    </row>
    <row r="202" spans="1:16" ht="21.6" x14ac:dyDescent="0.65">
      <c r="A202" s="52"/>
      <c r="B202" s="172">
        <v>10.6</v>
      </c>
      <c r="C202" s="180" t="str">
        <f>+C215</f>
        <v>Ground Rod แท่งเหล็กหุ้มทองแดง 5/8" x 8'</v>
      </c>
      <c r="D202" s="89"/>
      <c r="E202" s="136">
        <v>0</v>
      </c>
      <c r="F202" s="181" t="s">
        <v>50</v>
      </c>
      <c r="G202" s="39">
        <v>0</v>
      </c>
      <c r="H202" s="28">
        <v>0</v>
      </c>
      <c r="I202" s="178">
        <f>IF(E202&gt;0,'[1]NO DELETE'!C159,)</f>
        <v>0</v>
      </c>
      <c r="J202" s="41">
        <f t="shared" si="39"/>
        <v>0</v>
      </c>
      <c r="K202" s="32">
        <f>IF(E202&gt;0,[1]S2!$BJ$22,)</f>
        <v>0</v>
      </c>
      <c r="L202" s="42">
        <f>K202*I202</f>
        <v>0</v>
      </c>
      <c r="M202" s="33">
        <f>L202*E202</f>
        <v>0</v>
      </c>
      <c r="N202" s="34"/>
      <c r="O202" s="35"/>
      <c r="P202" s="5"/>
    </row>
    <row r="203" spans="1:16" ht="21.6" x14ac:dyDescent="0.65">
      <c r="A203" s="52"/>
      <c r="B203" s="172">
        <v>10.7</v>
      </c>
      <c r="C203" s="182" t="s">
        <v>168</v>
      </c>
      <c r="D203" s="89"/>
      <c r="E203" s="136">
        <v>0</v>
      </c>
      <c r="F203" s="181" t="s">
        <v>153</v>
      </c>
      <c r="G203" s="39">
        <v>0</v>
      </c>
      <c r="H203" s="28">
        <v>0</v>
      </c>
      <c r="I203" s="178">
        <f>IF(E203&gt;0,'[1]ต้นทุนเสา 9 ม.'!O81,)</f>
        <v>0</v>
      </c>
      <c r="J203" s="41">
        <f t="shared" si="39"/>
        <v>0</v>
      </c>
      <c r="K203" s="32">
        <f>IF(E203&gt;0,[1]S2!$BJ$22,)</f>
        <v>0</v>
      </c>
      <c r="L203" s="42">
        <f>K203*I203</f>
        <v>0</v>
      </c>
      <c r="M203" s="33">
        <f>L203*E203</f>
        <v>0</v>
      </c>
      <c r="N203" s="34"/>
      <c r="O203" s="35"/>
      <c r="P203" s="5"/>
    </row>
    <row r="204" spans="1:16" ht="21.6" x14ac:dyDescent="0.25">
      <c r="A204" s="84">
        <v>11</v>
      </c>
      <c r="B204" s="183" t="s">
        <v>171</v>
      </c>
      <c r="C204" s="184"/>
      <c r="D204" s="185"/>
      <c r="E204" s="186"/>
      <c r="F204" s="187"/>
      <c r="G204" s="112"/>
      <c r="H204" s="112"/>
      <c r="I204" s="188"/>
      <c r="J204" s="68"/>
      <c r="K204" s="189"/>
      <c r="L204" s="60"/>
      <c r="M204" s="60"/>
      <c r="N204" s="190"/>
      <c r="O204" s="191"/>
      <c r="P204" s="5"/>
    </row>
    <row r="205" spans="1:16" ht="21.6" x14ac:dyDescent="0.65">
      <c r="A205" s="84"/>
      <c r="B205" s="192" t="s">
        <v>172</v>
      </c>
      <c r="C205" s="193"/>
      <c r="D205" s="194"/>
      <c r="E205" s="195" t="s">
        <v>173</v>
      </c>
      <c r="F205" s="129"/>
      <c r="G205" s="196">
        <v>0</v>
      </c>
      <c r="H205" s="130" t="s">
        <v>166</v>
      </c>
      <c r="I205" s="131"/>
      <c r="J205" s="58"/>
      <c r="K205" s="59"/>
      <c r="L205" s="60"/>
      <c r="M205" s="60"/>
      <c r="N205" s="190"/>
      <c r="O205" s="191"/>
      <c r="P205" s="5"/>
    </row>
    <row r="206" spans="1:16" ht="21.6" x14ac:dyDescent="0.65">
      <c r="A206" s="52"/>
      <c r="B206" s="197" t="s">
        <v>174</v>
      </c>
      <c r="C206" s="198" t="s">
        <v>175</v>
      </c>
      <c r="D206" s="86"/>
      <c r="E206" s="199">
        <f>+G205</f>
        <v>0</v>
      </c>
      <c r="F206" s="123" t="s">
        <v>166</v>
      </c>
      <c r="G206" s="28">
        <f>+IF(E206&gt;0,'[1]ต้นทุนเสา 9 ม.'!O68,)</f>
        <v>0</v>
      </c>
      <c r="H206" s="28">
        <f>+IF(E206&gt;0,'[1]ต้นทุนเสา 9 ม.'!O69,)</f>
        <v>0</v>
      </c>
      <c r="I206" s="174">
        <f>SUM(G206:H206)</f>
        <v>0</v>
      </c>
      <c r="J206" s="31">
        <f t="shared" ref="J206:J207" si="42">E206*I206</f>
        <v>0</v>
      </c>
      <c r="K206" s="32">
        <f>IF(E206&gt;0,[1]S2!$BJ$22,)</f>
        <v>0</v>
      </c>
      <c r="L206" s="33">
        <f>K206*I206</f>
        <v>0</v>
      </c>
      <c r="M206" s="31">
        <f>L206*E206</f>
        <v>0</v>
      </c>
      <c r="N206" s="125"/>
      <c r="O206" s="126"/>
      <c r="P206" s="5"/>
    </row>
    <row r="207" spans="1:16" ht="21.6" x14ac:dyDescent="0.65">
      <c r="A207" s="52"/>
      <c r="B207" s="197" t="s">
        <v>176</v>
      </c>
      <c r="C207" s="200" t="s">
        <v>177</v>
      </c>
      <c r="D207" s="89"/>
      <c r="E207" s="201">
        <f>E206</f>
        <v>0</v>
      </c>
      <c r="F207" s="120" t="s">
        <v>50</v>
      </c>
      <c r="G207" s="39">
        <v>0</v>
      </c>
      <c r="H207" s="28">
        <v>0</v>
      </c>
      <c r="I207" s="174">
        <f>+IF(E207&gt;0,'[1]ต้นทุนเสา 9 ม.'!O75,)</f>
        <v>0</v>
      </c>
      <c r="J207" s="41">
        <f t="shared" si="42"/>
        <v>0</v>
      </c>
      <c r="K207" s="32">
        <f>IF(E207&gt;0,[1]S2!$BJ$22,)</f>
        <v>0</v>
      </c>
      <c r="L207" s="42">
        <f t="shared" ref="L207:L215" si="43">K207*I207</f>
        <v>0</v>
      </c>
      <c r="M207" s="42">
        <f>L207*E207</f>
        <v>0</v>
      </c>
      <c r="N207" s="121"/>
      <c r="O207" s="122"/>
      <c r="P207" s="5"/>
    </row>
    <row r="208" spans="1:16" ht="21.6" x14ac:dyDescent="0.65">
      <c r="A208" s="52"/>
      <c r="B208" s="197" t="s">
        <v>178</v>
      </c>
      <c r="C208" s="200" t="s">
        <v>179</v>
      </c>
      <c r="D208" s="89"/>
      <c r="E208" s="201">
        <f>E207</f>
        <v>0</v>
      </c>
      <c r="F208" s="120" t="s">
        <v>166</v>
      </c>
      <c r="G208" s="39">
        <v>0</v>
      </c>
      <c r="H208" s="28">
        <v>0</v>
      </c>
      <c r="I208" s="174">
        <f>+IF(E208&gt;0,'[1]ต้นทุนเสา 9 ม.'!O144,)</f>
        <v>0</v>
      </c>
      <c r="J208" s="41">
        <f>E208*I208</f>
        <v>0</v>
      </c>
      <c r="K208" s="32">
        <f>IF(E208&gt;0,[1]S2!$BJ$22,)</f>
        <v>0</v>
      </c>
      <c r="L208" s="42">
        <f t="shared" si="43"/>
        <v>0</v>
      </c>
      <c r="M208" s="31">
        <f t="shared" ref="M208:M215" si="44">L208*E208</f>
        <v>0</v>
      </c>
      <c r="N208" s="121"/>
      <c r="O208" s="122"/>
      <c r="P208" s="5"/>
    </row>
    <row r="209" spans="1:16" ht="21.6" x14ac:dyDescent="0.65">
      <c r="A209" s="52"/>
      <c r="B209" s="197" t="s">
        <v>180</v>
      </c>
      <c r="C209" s="200" t="s">
        <v>181</v>
      </c>
      <c r="D209" s="89"/>
      <c r="E209" s="201">
        <f>E208</f>
        <v>0</v>
      </c>
      <c r="F209" s="120" t="s">
        <v>38</v>
      </c>
      <c r="G209" s="39">
        <v>0</v>
      </c>
      <c r="H209" s="28">
        <v>0</v>
      </c>
      <c r="I209" s="174">
        <f>+IF(E209&gt;0,'[1]ต้นทุนเสา 9 ม.'!O66,)</f>
        <v>0</v>
      </c>
      <c r="J209" s="41">
        <f t="shared" ref="J209:J226" si="45">E209*I209</f>
        <v>0</v>
      </c>
      <c r="K209" s="32">
        <f>IF(E209&gt;0,[1]S2!$BJ$22,)</f>
        <v>0</v>
      </c>
      <c r="L209" s="42">
        <f t="shared" si="43"/>
        <v>0</v>
      </c>
      <c r="M209" s="42">
        <f t="shared" si="44"/>
        <v>0</v>
      </c>
      <c r="N209" s="121"/>
      <c r="O209" s="122"/>
      <c r="P209" s="5"/>
    </row>
    <row r="210" spans="1:16" ht="24" x14ac:dyDescent="0.65">
      <c r="A210" s="52"/>
      <c r="B210" s="197" t="s">
        <v>182</v>
      </c>
      <c r="C210" s="202" t="s">
        <v>183</v>
      </c>
      <c r="D210" s="89"/>
      <c r="E210" s="201">
        <f>+IF(E206&gt;0,'[1]ต้นทุนเสา 9 ม.'!$O$87*(E206-1),)</f>
        <v>0</v>
      </c>
      <c r="F210" s="120" t="s">
        <v>153</v>
      </c>
      <c r="G210" s="39">
        <f>+IF(E210&gt;0,'[1]ต้นทุนเสา 9 ม.'!$O$177,)</f>
        <v>0</v>
      </c>
      <c r="H210" s="28">
        <f>+IF(E210&gt;0,'[1]ต้นทุนเสา 9 ม.'!$O$178,)</f>
        <v>0</v>
      </c>
      <c r="I210" s="174">
        <f>SUM(G210:H210)</f>
        <v>0</v>
      </c>
      <c r="J210" s="41">
        <f t="shared" si="45"/>
        <v>0</v>
      </c>
      <c r="K210" s="32">
        <f>IF(E210&gt;0,[1]S2!$BJ$22,)</f>
        <v>0</v>
      </c>
      <c r="L210" s="42">
        <f t="shared" si="43"/>
        <v>0</v>
      </c>
      <c r="M210" s="31">
        <f t="shared" si="44"/>
        <v>0</v>
      </c>
      <c r="N210" s="34" t="str">
        <f>+" @ "&amp;'[1]NO DELETE'!B147&amp;"  ม."</f>
        <v xml:space="preserve"> @ 35  ม.</v>
      </c>
      <c r="O210" s="122"/>
      <c r="P210" s="5"/>
    </row>
    <row r="211" spans="1:16" ht="23.4" x14ac:dyDescent="0.65">
      <c r="A211" s="52"/>
      <c r="B211" s="197" t="s">
        <v>184</v>
      </c>
      <c r="C211" s="179" t="s">
        <v>185</v>
      </c>
      <c r="D211" s="111"/>
      <c r="E211" s="201">
        <f>+IF(E206&gt;0,'[1]ต้นทุนเสา 9 ม.'!O93*E206,)</f>
        <v>0</v>
      </c>
      <c r="F211" s="120" t="s">
        <v>153</v>
      </c>
      <c r="G211" s="39">
        <f>+IF(E211&gt;0,'[1]ต้นทุนเสา 9 ม.'!O185,)</f>
        <v>0</v>
      </c>
      <c r="H211" s="28">
        <f>+IF(E211&gt;0,'[1]ต้นทุนเสา 9 ม.'!O186,)</f>
        <v>0</v>
      </c>
      <c r="I211" s="174">
        <f>SUM(G211:H211)</f>
        <v>0</v>
      </c>
      <c r="J211" s="41">
        <f t="shared" si="45"/>
        <v>0</v>
      </c>
      <c r="K211" s="32">
        <f>IF(E211&gt;0,[1]S2!$BJ$22,)</f>
        <v>0</v>
      </c>
      <c r="L211" s="42">
        <f t="shared" si="43"/>
        <v>0</v>
      </c>
      <c r="M211" s="42">
        <f t="shared" si="44"/>
        <v>0</v>
      </c>
      <c r="N211" s="121"/>
      <c r="O211" s="122"/>
      <c r="P211" s="5"/>
    </row>
    <row r="212" spans="1:16" ht="24" x14ac:dyDescent="0.65">
      <c r="A212" s="52"/>
      <c r="B212" s="197" t="s">
        <v>186</v>
      </c>
      <c r="C212" s="202" t="s">
        <v>187</v>
      </c>
      <c r="D212" s="89"/>
      <c r="E212" s="46">
        <v>0</v>
      </c>
      <c r="F212" s="120" t="s">
        <v>153</v>
      </c>
      <c r="G212" s="39">
        <v>0</v>
      </c>
      <c r="H212" s="28">
        <v>0</v>
      </c>
      <c r="I212" s="174">
        <f>+IF(E212&gt;0,117.09,)</f>
        <v>0</v>
      </c>
      <c r="J212" s="41">
        <f t="shared" si="45"/>
        <v>0</v>
      </c>
      <c r="K212" s="32">
        <f>IF(E212&gt;0,[1]S2!$BJ$22,)</f>
        <v>0</v>
      </c>
      <c r="L212" s="42">
        <f>K212*I212</f>
        <v>0</v>
      </c>
      <c r="M212" s="31">
        <f t="shared" si="44"/>
        <v>0</v>
      </c>
      <c r="N212" s="121"/>
      <c r="O212" s="122"/>
      <c r="P212" s="5"/>
    </row>
    <row r="213" spans="1:16" ht="21.6" x14ac:dyDescent="0.65">
      <c r="A213" s="52"/>
      <c r="B213" s="197" t="s">
        <v>188</v>
      </c>
      <c r="C213" s="203" t="s">
        <v>189</v>
      </c>
      <c r="D213" s="204"/>
      <c r="E213" s="205">
        <f>+IF(E206&gt;0,E206,)</f>
        <v>0</v>
      </c>
      <c r="F213" s="187" t="s">
        <v>166</v>
      </c>
      <c r="G213" s="112">
        <v>0</v>
      </c>
      <c r="H213" s="130">
        <v>0</v>
      </c>
      <c r="I213" s="157">
        <f>+IF(E213&gt;0,'[1]ต้นทุนเสา 9 ม.'!O154,)</f>
        <v>0</v>
      </c>
      <c r="J213" s="68">
        <f t="shared" si="45"/>
        <v>0</v>
      </c>
      <c r="K213" s="32">
        <f>IF(E213&gt;0,[1]S2!$BJ$22,)</f>
        <v>0</v>
      </c>
      <c r="L213" s="206">
        <f t="shared" si="43"/>
        <v>0</v>
      </c>
      <c r="M213" s="42">
        <f t="shared" si="44"/>
        <v>0</v>
      </c>
      <c r="N213" s="190"/>
      <c r="O213" s="207"/>
      <c r="P213" s="5"/>
    </row>
    <row r="214" spans="1:16" ht="21.6" x14ac:dyDescent="0.65">
      <c r="A214" s="52"/>
      <c r="B214" s="197" t="s">
        <v>190</v>
      </c>
      <c r="C214" s="182" t="s">
        <v>168</v>
      </c>
      <c r="D214" s="127"/>
      <c r="E214" s="201">
        <f>+IF(E206&gt;0,'[1]NO DELETE'!B147*(E206-1),)</f>
        <v>0</v>
      </c>
      <c r="F214" s="120" t="s">
        <v>153</v>
      </c>
      <c r="G214" s="39">
        <v>0</v>
      </c>
      <c r="H214" s="39">
        <v>0</v>
      </c>
      <c r="I214" s="176">
        <f>+IF(E214&gt;0,'[1]ต้นทุนเสา 9 ม.'!$O$81,)</f>
        <v>0</v>
      </c>
      <c r="J214" s="41">
        <f t="shared" si="45"/>
        <v>0</v>
      </c>
      <c r="K214" s="32">
        <f>IF(E214&gt;0,[1]S2!$BJ$22,)</f>
        <v>0</v>
      </c>
      <c r="L214" s="42">
        <f t="shared" si="43"/>
        <v>0</v>
      </c>
      <c r="M214" s="31">
        <f t="shared" si="44"/>
        <v>0</v>
      </c>
      <c r="N214" s="48" t="str">
        <f>+N210</f>
        <v xml:space="preserve"> @ 35  ม.</v>
      </c>
      <c r="O214" s="122"/>
      <c r="P214" s="5"/>
    </row>
    <row r="215" spans="1:16" ht="21.6" x14ac:dyDescent="0.65">
      <c r="A215" s="52"/>
      <c r="B215" s="208" t="s">
        <v>191</v>
      </c>
      <c r="C215" s="209" t="str">
        <f>+'[1]NO DELETE'!B159</f>
        <v>Ground Rod แท่งเหล็กหุ้มทองแดง 5/8" x 8'</v>
      </c>
      <c r="D215" s="127"/>
      <c r="E215" s="201">
        <f>E206</f>
        <v>0</v>
      </c>
      <c r="F215" s="120" t="s">
        <v>50</v>
      </c>
      <c r="G215" s="39">
        <v>0</v>
      </c>
      <c r="H215" s="39">
        <v>0</v>
      </c>
      <c r="I215" s="176">
        <f>+IF(E215&gt;0,'[1]NO DELETE'!C159,)</f>
        <v>0</v>
      </c>
      <c r="J215" s="41">
        <f t="shared" si="45"/>
        <v>0</v>
      </c>
      <c r="K215" s="32">
        <f>IF(E215&gt;0,[1]S2!$BJ$22,)</f>
        <v>0</v>
      </c>
      <c r="L215" s="42">
        <f t="shared" si="43"/>
        <v>0</v>
      </c>
      <c r="M215" s="42">
        <f t="shared" si="44"/>
        <v>0</v>
      </c>
      <c r="N215" s="121"/>
      <c r="O215" s="122"/>
      <c r="P215" s="5"/>
    </row>
    <row r="216" spans="1:16" ht="21.6" x14ac:dyDescent="0.6">
      <c r="A216" s="52"/>
      <c r="B216" s="210" t="s">
        <v>192</v>
      </c>
      <c r="C216" s="211"/>
      <c r="D216" s="211"/>
      <c r="E216" s="211"/>
      <c r="F216" s="211"/>
      <c r="G216" s="211"/>
      <c r="H216" s="211"/>
      <c r="I216" s="212"/>
      <c r="J216" s="58"/>
      <c r="K216" s="132"/>
      <c r="L216" s="60"/>
      <c r="M216" s="60"/>
      <c r="N216" s="190"/>
      <c r="O216" s="191"/>
      <c r="P216" s="5"/>
    </row>
    <row r="217" spans="1:16" ht="21.6" x14ac:dyDescent="0.65">
      <c r="A217" s="55"/>
      <c r="B217" s="197" t="s">
        <v>193</v>
      </c>
      <c r="C217" s="213" t="s">
        <v>194</v>
      </c>
      <c r="D217" s="214"/>
      <c r="E217" s="26">
        <v>0</v>
      </c>
      <c r="F217" s="215" t="s">
        <v>50</v>
      </c>
      <c r="G217" s="28">
        <v>0</v>
      </c>
      <c r="H217" s="28">
        <v>0</v>
      </c>
      <c r="I217" s="216">
        <f>IF(E217&gt;0,'[1]ต้นทุนเสา 9 ม.'!O32,)</f>
        <v>0</v>
      </c>
      <c r="J217" s="31">
        <f t="shared" si="45"/>
        <v>0</v>
      </c>
      <c r="K217" s="32">
        <f>IF(E217&gt;0,[1]S2!$BJ$22,)</f>
        <v>0</v>
      </c>
      <c r="L217" s="60">
        <f t="shared" ref="L217:L226" si="46">K217*I217</f>
        <v>0</v>
      </c>
      <c r="M217" s="31">
        <f>L217*E217</f>
        <v>0</v>
      </c>
      <c r="N217" s="247"/>
      <c r="O217" s="248"/>
      <c r="P217" s="5"/>
    </row>
    <row r="218" spans="1:16" ht="21.6" x14ac:dyDescent="0.65">
      <c r="A218" s="55"/>
      <c r="B218" s="197" t="s">
        <v>195</v>
      </c>
      <c r="C218" s="217" t="s">
        <v>196</v>
      </c>
      <c r="D218" s="218"/>
      <c r="E218" s="64">
        <f>+E217</f>
        <v>0</v>
      </c>
      <c r="F218" s="120" t="s">
        <v>50</v>
      </c>
      <c r="G218" s="39">
        <v>0</v>
      </c>
      <c r="H218" s="28">
        <v>0</v>
      </c>
      <c r="I218" s="178">
        <f>IF(E218&gt;0,'[1]ต้นทุนเสา 9 ม.'!O33,)</f>
        <v>0</v>
      </c>
      <c r="J218" s="41">
        <f t="shared" si="45"/>
        <v>0</v>
      </c>
      <c r="K218" s="32">
        <f>IF(E218&gt;0,[1]S2!$BJ$22,)</f>
        <v>0</v>
      </c>
      <c r="L218" s="42">
        <f t="shared" si="46"/>
        <v>0</v>
      </c>
      <c r="M218" s="42">
        <f>L218*E218</f>
        <v>0</v>
      </c>
      <c r="N218" s="241"/>
      <c r="O218" s="242"/>
      <c r="P218" s="5"/>
    </row>
    <row r="219" spans="1:16" ht="21.6" x14ac:dyDescent="0.65">
      <c r="A219" s="52"/>
      <c r="B219" s="197" t="s">
        <v>197</v>
      </c>
      <c r="C219" s="219" t="s">
        <v>198</v>
      </c>
      <c r="D219" s="218"/>
      <c r="E219" s="46">
        <v>0</v>
      </c>
      <c r="F219" s="120" t="s">
        <v>153</v>
      </c>
      <c r="G219" s="39">
        <v>0</v>
      </c>
      <c r="H219" s="28">
        <v>0</v>
      </c>
      <c r="I219" s="178">
        <f>IF(E219&gt;0,'[1]ต้นทุนเสา 9 ม.'!$O$116,)</f>
        <v>0</v>
      </c>
      <c r="J219" s="41">
        <f t="shared" si="45"/>
        <v>0</v>
      </c>
      <c r="K219" s="32">
        <f>IF(E219&gt;0,[1]S2!$BJ$22,)</f>
        <v>0</v>
      </c>
      <c r="L219" s="42">
        <f t="shared" si="46"/>
        <v>0</v>
      </c>
      <c r="M219" s="42">
        <f t="shared" ref="M219:M226" si="47">L219*E219</f>
        <v>0</v>
      </c>
      <c r="N219" s="241"/>
      <c r="O219" s="242"/>
      <c r="P219" s="5"/>
    </row>
    <row r="220" spans="1:16" ht="21.6" x14ac:dyDescent="0.65">
      <c r="A220" s="52"/>
      <c r="B220" s="197" t="s">
        <v>199</v>
      </c>
      <c r="C220" s="219" t="s">
        <v>200</v>
      </c>
      <c r="D220" s="218"/>
      <c r="E220" s="46">
        <v>0</v>
      </c>
      <c r="F220" s="120" t="s">
        <v>153</v>
      </c>
      <c r="G220" s="39">
        <v>0</v>
      </c>
      <c r="H220" s="28">
        <v>0</v>
      </c>
      <c r="I220" s="178">
        <f>IF(E220&gt;0,'[1]ต้นทุนเสา 9 ม.'!O125,)</f>
        <v>0</v>
      </c>
      <c r="J220" s="41">
        <f t="shared" si="45"/>
        <v>0</v>
      </c>
      <c r="K220" s="32">
        <f>IF(E220&gt;0,[1]S2!$BJ$22,)</f>
        <v>0</v>
      </c>
      <c r="L220" s="42">
        <f t="shared" si="46"/>
        <v>0</v>
      </c>
      <c r="M220" s="42">
        <f t="shared" si="47"/>
        <v>0</v>
      </c>
      <c r="N220" s="241"/>
      <c r="O220" s="242"/>
      <c r="P220" s="5"/>
    </row>
    <row r="221" spans="1:16" ht="21.6" x14ac:dyDescent="0.65">
      <c r="A221" s="52"/>
      <c r="B221" s="197" t="s">
        <v>201</v>
      </c>
      <c r="C221" s="219" t="s">
        <v>202</v>
      </c>
      <c r="D221" s="218"/>
      <c r="E221" s="46">
        <v>0</v>
      </c>
      <c r="F221" s="220" t="s">
        <v>153</v>
      </c>
      <c r="G221" s="39">
        <v>0</v>
      </c>
      <c r="H221" s="28">
        <v>0</v>
      </c>
      <c r="I221" s="221">
        <f>IF(E221&gt;0,'[1]ต้นทุนเสา 9 ม.'!O133,)</f>
        <v>0</v>
      </c>
      <c r="J221" s="41">
        <f t="shared" si="45"/>
        <v>0</v>
      </c>
      <c r="K221" s="32">
        <f>IF(E221&gt;0,[1]S2!$BJ$22,)</f>
        <v>0</v>
      </c>
      <c r="L221" s="42">
        <f t="shared" si="46"/>
        <v>0</v>
      </c>
      <c r="M221" s="42">
        <f t="shared" si="47"/>
        <v>0</v>
      </c>
      <c r="N221" s="241"/>
      <c r="O221" s="242"/>
      <c r="P221" s="5"/>
    </row>
    <row r="222" spans="1:16" ht="24" x14ac:dyDescent="0.65">
      <c r="A222" s="52"/>
      <c r="B222" s="197" t="s">
        <v>203</v>
      </c>
      <c r="C222" s="219" t="s">
        <v>204</v>
      </c>
      <c r="D222" s="218"/>
      <c r="E222" s="46">
        <v>0</v>
      </c>
      <c r="F222" s="220" t="s">
        <v>153</v>
      </c>
      <c r="G222" s="176">
        <f>+IF(E222&gt;0,'[1]ต้นทุนเสา 9 ม.'!I24/100,)</f>
        <v>0</v>
      </c>
      <c r="H222" s="176">
        <f>+IF(E222&gt;0,'[1]ต้นทุนเสา 9 ม.'!H273:I273,)</f>
        <v>0</v>
      </c>
      <c r="I222" s="176">
        <f>SUM(G222:H222)</f>
        <v>0</v>
      </c>
      <c r="J222" s="41">
        <f t="shared" si="45"/>
        <v>0</v>
      </c>
      <c r="K222" s="32">
        <f>IF(E222&gt;0,[1]S2!$BJ$22,)</f>
        <v>0</v>
      </c>
      <c r="L222" s="42">
        <f t="shared" si="46"/>
        <v>0</v>
      </c>
      <c r="M222" s="42">
        <f t="shared" si="47"/>
        <v>0</v>
      </c>
      <c r="N222" s="241"/>
      <c r="O222" s="242"/>
      <c r="P222" s="5"/>
    </row>
    <row r="223" spans="1:16" ht="24" x14ac:dyDescent="0.65">
      <c r="A223" s="52"/>
      <c r="B223" s="197" t="s">
        <v>205</v>
      </c>
      <c r="C223" s="202" t="s">
        <v>170</v>
      </c>
      <c r="D223" s="218"/>
      <c r="E223" s="46">
        <v>0</v>
      </c>
      <c r="F223" s="220" t="s">
        <v>153</v>
      </c>
      <c r="G223" s="176">
        <f>+IF(E223&gt;0,'[1]ต้นทุนเสา 9 ม.'!O177,)</f>
        <v>0</v>
      </c>
      <c r="H223" s="176">
        <f>+IF(E223&gt;0,'[1]ต้นทุนเสา 9 ม.'!O178,)</f>
        <v>0</v>
      </c>
      <c r="I223" s="176">
        <f>SUM(G223:H223)</f>
        <v>0</v>
      </c>
      <c r="J223" s="41">
        <f t="shared" si="45"/>
        <v>0</v>
      </c>
      <c r="K223" s="32">
        <f>IF(E223&gt;0,[1]S2!$BJ$22,)</f>
        <v>0</v>
      </c>
      <c r="L223" s="42">
        <f t="shared" si="46"/>
        <v>0</v>
      </c>
      <c r="M223" s="42">
        <f t="shared" si="47"/>
        <v>0</v>
      </c>
      <c r="N223" s="241"/>
      <c r="O223" s="242"/>
      <c r="P223" s="5"/>
    </row>
    <row r="224" spans="1:16" ht="24" x14ac:dyDescent="0.65">
      <c r="A224" s="52"/>
      <c r="B224" s="197" t="s">
        <v>206</v>
      </c>
      <c r="C224" s="222" t="s">
        <v>207</v>
      </c>
      <c r="D224" s="218"/>
      <c r="E224" s="46">
        <v>0</v>
      </c>
      <c r="F224" s="220" t="s">
        <v>153</v>
      </c>
      <c r="G224" s="176">
        <f>+IF(E224&gt;0,'[1]ต้นทุนเสา 9 ม.'!I23/100,)</f>
        <v>0</v>
      </c>
      <c r="H224" s="176">
        <f>+IF(E224&gt;0,'[1]ต้นทุนเสา 9 ม.'!H275:I275,)</f>
        <v>0</v>
      </c>
      <c r="I224" s="176">
        <f>SUM(G224:H224)</f>
        <v>0</v>
      </c>
      <c r="J224" s="41">
        <f t="shared" si="45"/>
        <v>0</v>
      </c>
      <c r="K224" s="32">
        <f>IF(E224&gt;0,[1]S2!$BJ$22,)</f>
        <v>0</v>
      </c>
      <c r="L224" s="42">
        <f t="shared" si="46"/>
        <v>0</v>
      </c>
      <c r="M224" s="42">
        <f t="shared" si="47"/>
        <v>0</v>
      </c>
      <c r="N224" s="241"/>
      <c r="O224" s="242"/>
      <c r="P224" s="5"/>
    </row>
    <row r="225" spans="1:16" ht="21.6" x14ac:dyDescent="0.6">
      <c r="A225" s="52"/>
      <c r="B225" s="197" t="s">
        <v>208</v>
      </c>
      <c r="C225" s="209" t="str">
        <f>+C215</f>
        <v>Ground Rod แท่งเหล็กหุ้มทองแดง 5/8" x 8'</v>
      </c>
      <c r="D225" s="218"/>
      <c r="E225" s="64">
        <f>+E217</f>
        <v>0</v>
      </c>
      <c r="F225" s="220" t="s">
        <v>50</v>
      </c>
      <c r="G225" s="39"/>
      <c r="H225" s="39"/>
      <c r="I225" s="39">
        <f>+IF(E225&gt;0,I215,)</f>
        <v>0</v>
      </c>
      <c r="J225" s="41">
        <f t="shared" si="45"/>
        <v>0</v>
      </c>
      <c r="K225" s="32">
        <f>IF(E225&gt;0,[1]S2!$BJ$22,)</f>
        <v>0</v>
      </c>
      <c r="L225" s="42">
        <f t="shared" si="46"/>
        <v>0</v>
      </c>
      <c r="M225" s="42">
        <f t="shared" si="47"/>
        <v>0</v>
      </c>
      <c r="N225" s="241"/>
      <c r="O225" s="242"/>
      <c r="P225" s="5"/>
    </row>
    <row r="226" spans="1:16" ht="21.6" x14ac:dyDescent="0.25">
      <c r="A226" s="52"/>
      <c r="B226" s="223" t="s">
        <v>209</v>
      </c>
      <c r="C226" s="173" t="str">
        <f>+"ค่าขนส่งเสาจาก แหล่งผลิตถึงโครงการระยะทาง "&amp;'[1]ต้นทุนเสา 9 ม.'!F164&amp;" กม."</f>
        <v>ค่าขนส่งเสาจาก แหล่งผลิตถึงโครงการระยะทาง 941 กม.</v>
      </c>
      <c r="D226" s="218"/>
      <c r="E226" s="224">
        <f>E206</f>
        <v>0</v>
      </c>
      <c r="F226" s="120" t="s">
        <v>166</v>
      </c>
      <c r="G226" s="39">
        <v>0</v>
      </c>
      <c r="H226" s="39">
        <f t="shared" ref="H226" si="48">IF(E226&lt;=0,0,)</f>
        <v>0</v>
      </c>
      <c r="I226" s="83">
        <f>IF(E226&lt;=0,0,'[1]ต้นทุนเสา 9 ม.'!O169)</f>
        <v>0</v>
      </c>
      <c r="J226" s="41">
        <f t="shared" si="45"/>
        <v>0</v>
      </c>
      <c r="K226" s="92">
        <f>IF(E226&gt;0,[1]S2!$BJ$22,)</f>
        <v>0</v>
      </c>
      <c r="L226" s="42">
        <f t="shared" si="46"/>
        <v>0</v>
      </c>
      <c r="M226" s="42">
        <f t="shared" si="47"/>
        <v>0</v>
      </c>
      <c r="N226" s="241"/>
      <c r="O226" s="242"/>
      <c r="P226" s="5"/>
    </row>
    <row r="227" spans="1:16" ht="21.6" x14ac:dyDescent="0.25">
      <c r="A227" s="243" t="s">
        <v>13</v>
      </c>
      <c r="B227" s="244"/>
      <c r="C227" s="244"/>
      <c r="D227" s="244"/>
      <c r="E227" s="244"/>
      <c r="F227" s="244"/>
      <c r="G227" s="244"/>
      <c r="H227" s="244"/>
      <c r="I227" s="245"/>
      <c r="J227" s="93">
        <f>SUM(J181:J226)</f>
        <v>0</v>
      </c>
      <c r="K227" s="225"/>
      <c r="L227" s="226"/>
      <c r="M227" s="93">
        <f>SUM(M181:M226)</f>
        <v>0</v>
      </c>
      <c r="N227" s="151"/>
      <c r="O227" s="152"/>
      <c r="P227" s="5"/>
    </row>
    <row r="228" spans="1:16" ht="21.6" x14ac:dyDescent="0.25">
      <c r="A228" s="84">
        <v>12</v>
      </c>
      <c r="B228" s="183" t="s">
        <v>210</v>
      </c>
      <c r="C228" s="173"/>
      <c r="D228" s="218"/>
      <c r="E228" s="134"/>
      <c r="F228" s="120"/>
      <c r="G228" s="39"/>
      <c r="H228" s="28"/>
      <c r="I228" s="76"/>
      <c r="J228" s="31"/>
      <c r="K228" s="32"/>
      <c r="L228" s="33"/>
      <c r="M228" s="33"/>
      <c r="N228" s="247"/>
      <c r="O228" s="248"/>
      <c r="P228" s="5"/>
    </row>
    <row r="229" spans="1:16" ht="21.6" x14ac:dyDescent="0.25">
      <c r="A229" s="52"/>
      <c r="B229" s="90">
        <v>12.1</v>
      </c>
      <c r="C229" s="173" t="s">
        <v>211</v>
      </c>
      <c r="D229" s="218"/>
      <c r="E229" s="134">
        <v>0</v>
      </c>
      <c r="F229" s="227" t="s">
        <v>38</v>
      </c>
      <c r="G229" s="39">
        <v>0</v>
      </c>
      <c r="H229" s="28">
        <f t="shared" ref="H229" si="49">IF(E229&lt;=0,0,)</f>
        <v>0</v>
      </c>
      <c r="I229" s="76">
        <f>IF(E229&lt;=0,0,0)</f>
        <v>0</v>
      </c>
      <c r="J229" s="41">
        <f t="shared" ref="J229:J230" si="50">E229*I229</f>
        <v>0</v>
      </c>
      <c r="K229" s="32">
        <f>IF(E229&gt;0,1.07,)</f>
        <v>0</v>
      </c>
      <c r="L229" s="42">
        <f t="shared" ref="L229:L231" si="51">K229*I229</f>
        <v>0</v>
      </c>
      <c r="M229" s="42">
        <f t="shared" ref="M229:M231" si="52">L229*E229</f>
        <v>0</v>
      </c>
      <c r="N229" s="241"/>
      <c r="O229" s="242"/>
      <c r="P229" s="5"/>
    </row>
    <row r="230" spans="1:16" ht="21.6" x14ac:dyDescent="0.25">
      <c r="A230" s="52"/>
      <c r="B230" s="90">
        <v>12.2</v>
      </c>
      <c r="C230" s="173" t="s">
        <v>212</v>
      </c>
      <c r="D230" s="218"/>
      <c r="E230" s="134">
        <v>0</v>
      </c>
      <c r="F230" s="227" t="s">
        <v>213</v>
      </c>
      <c r="G230" s="39">
        <v>0</v>
      </c>
      <c r="H230" s="28">
        <v>0</v>
      </c>
      <c r="I230" s="76">
        <v>0</v>
      </c>
      <c r="J230" s="41">
        <f t="shared" si="50"/>
        <v>0</v>
      </c>
      <c r="K230" s="32">
        <f>IF(E230&gt;0,1,)</f>
        <v>0</v>
      </c>
      <c r="L230" s="42">
        <f t="shared" si="51"/>
        <v>0</v>
      </c>
      <c r="M230" s="42">
        <f t="shared" si="52"/>
        <v>0</v>
      </c>
      <c r="N230" s="228"/>
      <c r="O230" s="229"/>
      <c r="P230" s="5"/>
    </row>
    <row r="231" spans="1:16" ht="21.6" x14ac:dyDescent="0.65">
      <c r="A231" s="52"/>
      <c r="B231" s="230">
        <v>12.3</v>
      </c>
      <c r="C231" s="231" t="s">
        <v>214</v>
      </c>
      <c r="D231" s="218"/>
      <c r="E231" s="136">
        <v>0</v>
      </c>
      <c r="F231" s="227" t="s">
        <v>50</v>
      </c>
      <c r="G231" s="39">
        <v>0</v>
      </c>
      <c r="H231" s="39">
        <v>0</v>
      </c>
      <c r="I231" s="232">
        <v>0</v>
      </c>
      <c r="J231" s="41">
        <f>E231*I231</f>
        <v>0</v>
      </c>
      <c r="K231" s="115">
        <f>IF(E231&gt;0,1.07,)</f>
        <v>0</v>
      </c>
      <c r="L231" s="42">
        <f t="shared" si="51"/>
        <v>0</v>
      </c>
      <c r="M231" s="42">
        <f t="shared" si="52"/>
        <v>0</v>
      </c>
      <c r="N231" s="241"/>
      <c r="O231" s="242"/>
      <c r="P231" s="5"/>
    </row>
    <row r="232" spans="1:16" ht="21.6" x14ac:dyDescent="0.25">
      <c r="A232" s="243" t="s">
        <v>13</v>
      </c>
      <c r="B232" s="244"/>
      <c r="C232" s="244"/>
      <c r="D232" s="244"/>
      <c r="E232" s="244"/>
      <c r="F232" s="244"/>
      <c r="G232" s="244"/>
      <c r="H232" s="244"/>
      <c r="I232" s="245"/>
      <c r="J232" s="93">
        <f>SUM(J228:J231)</f>
        <v>0</v>
      </c>
      <c r="K232" s="233"/>
      <c r="L232" s="234"/>
      <c r="M232" s="93">
        <f>SUM(M228:M231)</f>
        <v>0</v>
      </c>
      <c r="N232" s="21"/>
      <c r="O232" s="18"/>
      <c r="P232" s="5"/>
    </row>
    <row r="233" spans="1:16" ht="25.2" x14ac:dyDescent="0.25">
      <c r="A233" s="235"/>
      <c r="B233" s="236"/>
      <c r="C233" s="235"/>
      <c r="D233" s="235"/>
      <c r="E233" s="235"/>
      <c r="F233" s="235"/>
      <c r="G233" s="235"/>
      <c r="H233" s="235"/>
      <c r="I233" s="235"/>
      <c r="J233" s="237"/>
      <c r="K233" s="238"/>
      <c r="L233" s="238"/>
      <c r="M233" s="237"/>
      <c r="N233" s="5"/>
      <c r="O233" s="5"/>
      <c r="P233" s="5"/>
    </row>
    <row r="234" spans="1:16" ht="21.6" x14ac:dyDescent="0.25">
      <c r="A234" s="5"/>
      <c r="B234" s="5"/>
      <c r="C234" s="5"/>
      <c r="D234" s="5"/>
      <c r="E234" s="239"/>
      <c r="F234" s="239"/>
      <c r="G234" s="239"/>
      <c r="H234" s="5"/>
      <c r="I234" s="5"/>
      <c r="J234" s="5"/>
      <c r="K234" s="5"/>
      <c r="L234" s="239"/>
      <c r="M234" s="239"/>
      <c r="N234" s="5"/>
      <c r="O234" s="5"/>
      <c r="P234" s="5"/>
    </row>
    <row r="235" spans="1:16" ht="21.6" x14ac:dyDescent="0.25">
      <c r="A235" s="5"/>
      <c r="B235" s="5"/>
      <c r="C235" s="5"/>
      <c r="D235" s="5"/>
      <c r="E235" s="240" t="s">
        <v>217</v>
      </c>
      <c r="F235" s="240"/>
      <c r="G235" s="5"/>
      <c r="I235" s="5"/>
      <c r="J235" s="5"/>
      <c r="K235" s="5"/>
      <c r="L235" s="239"/>
      <c r="M235" s="239"/>
      <c r="N235" s="5"/>
      <c r="O235" s="5"/>
      <c r="P235" s="5"/>
    </row>
    <row r="236" spans="1:16" ht="21.6" x14ac:dyDescent="0.65">
      <c r="A236" s="1"/>
      <c r="B236" s="239"/>
      <c r="C236" s="239"/>
      <c r="D236" s="239"/>
      <c r="E236" s="239"/>
      <c r="F236" s="1"/>
      <c r="G236" s="1"/>
      <c r="H236" s="1"/>
      <c r="I236" s="1"/>
      <c r="J236" s="239"/>
      <c r="K236" s="239"/>
      <c r="L236" s="239"/>
      <c r="M236" s="239"/>
      <c r="N236" s="239"/>
      <c r="O236" s="1"/>
      <c r="P236" s="1"/>
    </row>
    <row r="237" spans="1:16" ht="21.6" x14ac:dyDescent="0.65">
      <c r="A237" s="1"/>
      <c r="B237" s="246" t="s">
        <v>215</v>
      </c>
      <c r="C237" s="246"/>
      <c r="D237" s="246"/>
      <c r="E237" s="239"/>
      <c r="F237" s="1"/>
      <c r="G237" s="1"/>
      <c r="H237" s="1"/>
      <c r="I237" s="1"/>
      <c r="J237" s="246" t="s">
        <v>216</v>
      </c>
      <c r="K237" s="246"/>
      <c r="L237" s="246"/>
      <c r="M237" s="246"/>
      <c r="N237" s="239"/>
      <c r="O237" s="1"/>
      <c r="P237" s="1"/>
    </row>
    <row r="238" spans="1:16" ht="21.6" x14ac:dyDescent="0.6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</sheetData>
  <protectedRanges>
    <protectedRange sqref="C182:C195" name="Range5_1_1"/>
    <protectedRange sqref="C215:C222 C228:C229 C139:C143 C224:C226 C231" name="Range5_1_1_1"/>
    <protectedRange sqref="C145:C149" name="Range5_1_1_2"/>
    <protectedRange sqref="C196:C200" name="Range5_1_1_6_1"/>
    <protectedRange sqref="C230" name="Range5_1_1_1_2"/>
  </protectedRanges>
  <mergeCells count="130">
    <mergeCell ref="A1:O1"/>
    <mergeCell ref="A2:C2"/>
    <mergeCell ref="A4:A5"/>
    <mergeCell ref="B4:D5"/>
    <mergeCell ref="E4:E5"/>
    <mergeCell ref="F4:F5"/>
    <mergeCell ref="G4:I4"/>
    <mergeCell ref="K4:K5"/>
    <mergeCell ref="L4:M4"/>
    <mergeCell ref="N4:O5"/>
    <mergeCell ref="N52:O52"/>
    <mergeCell ref="N53:O53"/>
    <mergeCell ref="N54:O54"/>
    <mergeCell ref="N55:O55"/>
    <mergeCell ref="A56:I56"/>
    <mergeCell ref="A57:O57"/>
    <mergeCell ref="N17:O17"/>
    <mergeCell ref="N20:O20"/>
    <mergeCell ref="N21:O21"/>
    <mergeCell ref="B22:C22"/>
    <mergeCell ref="N40:O40"/>
    <mergeCell ref="N51:O51"/>
    <mergeCell ref="L60:M60"/>
    <mergeCell ref="N60:O61"/>
    <mergeCell ref="N63:O63"/>
    <mergeCell ref="N64:O64"/>
    <mergeCell ref="N65:O65"/>
    <mergeCell ref="N66:O66"/>
    <mergeCell ref="A60:A61"/>
    <mergeCell ref="B60:D61"/>
    <mergeCell ref="E60:E61"/>
    <mergeCell ref="F60:F61"/>
    <mergeCell ref="G60:I60"/>
    <mergeCell ref="K60:K61"/>
    <mergeCell ref="N73:O73"/>
    <mergeCell ref="N74:O74"/>
    <mergeCell ref="N75:O75"/>
    <mergeCell ref="N76:O76"/>
    <mergeCell ref="N77:O77"/>
    <mergeCell ref="N78:O78"/>
    <mergeCell ref="N67:O67"/>
    <mergeCell ref="N68:O68"/>
    <mergeCell ref="N69:O69"/>
    <mergeCell ref="N70:O70"/>
    <mergeCell ref="N71:O71"/>
    <mergeCell ref="N72:O72"/>
    <mergeCell ref="N85:O85"/>
    <mergeCell ref="N86:O86"/>
    <mergeCell ref="N87:O87"/>
    <mergeCell ref="N88:O88"/>
    <mergeCell ref="N89:O89"/>
    <mergeCell ref="N90:O90"/>
    <mergeCell ref="N79:O79"/>
    <mergeCell ref="N80:O80"/>
    <mergeCell ref="N81:O81"/>
    <mergeCell ref="N82:O82"/>
    <mergeCell ref="N83:O83"/>
    <mergeCell ref="N84:O84"/>
    <mergeCell ref="N97:O97"/>
    <mergeCell ref="N98:O98"/>
    <mergeCell ref="N99:O99"/>
    <mergeCell ref="N100:O100"/>
    <mergeCell ref="N101:O101"/>
    <mergeCell ref="N102:O102"/>
    <mergeCell ref="N91:O91"/>
    <mergeCell ref="N92:O92"/>
    <mergeCell ref="N93:O93"/>
    <mergeCell ref="N94:O94"/>
    <mergeCell ref="N95:O95"/>
    <mergeCell ref="N96:O96"/>
    <mergeCell ref="N109:O109"/>
    <mergeCell ref="N110:O110"/>
    <mergeCell ref="N111:O111"/>
    <mergeCell ref="N112:O112"/>
    <mergeCell ref="N113:O113"/>
    <mergeCell ref="N114:O114"/>
    <mergeCell ref="N103:O103"/>
    <mergeCell ref="N104:O104"/>
    <mergeCell ref="N105:O105"/>
    <mergeCell ref="N106:O106"/>
    <mergeCell ref="N107:O107"/>
    <mergeCell ref="N108:O108"/>
    <mergeCell ref="A115:I115"/>
    <mergeCell ref="A116:O116"/>
    <mergeCell ref="A119:A120"/>
    <mergeCell ref="B119:D120"/>
    <mergeCell ref="E119:E120"/>
    <mergeCell ref="F119:F120"/>
    <mergeCell ref="G119:I119"/>
    <mergeCell ref="K119:K120"/>
    <mergeCell ref="L119:M119"/>
    <mergeCell ref="N119:O120"/>
    <mergeCell ref="C145:D145"/>
    <mergeCell ref="C146:D146"/>
    <mergeCell ref="C147:D147"/>
    <mergeCell ref="C148:D148"/>
    <mergeCell ref="C149:D149"/>
    <mergeCell ref="A175:I175"/>
    <mergeCell ref="N122:O122"/>
    <mergeCell ref="C139:D139"/>
    <mergeCell ref="C140:D140"/>
    <mergeCell ref="C141:D141"/>
    <mergeCell ref="C142:D142"/>
    <mergeCell ref="C143:D143"/>
    <mergeCell ref="N217:O217"/>
    <mergeCell ref="N218:O218"/>
    <mergeCell ref="N219:O219"/>
    <mergeCell ref="N220:O220"/>
    <mergeCell ref="N221:O221"/>
    <mergeCell ref="N222:O222"/>
    <mergeCell ref="A176:O176"/>
    <mergeCell ref="A179:A180"/>
    <mergeCell ref="B179:D180"/>
    <mergeCell ref="E179:E180"/>
    <mergeCell ref="F179:F180"/>
    <mergeCell ref="G179:I179"/>
    <mergeCell ref="K179:K180"/>
    <mergeCell ref="L179:M179"/>
    <mergeCell ref="N179:O180"/>
    <mergeCell ref="N229:O229"/>
    <mergeCell ref="N231:O231"/>
    <mergeCell ref="A232:I232"/>
    <mergeCell ref="B237:D237"/>
    <mergeCell ref="J237:M237"/>
    <mergeCell ref="N223:O223"/>
    <mergeCell ref="N224:O224"/>
    <mergeCell ref="N225:O225"/>
    <mergeCell ref="N226:O226"/>
    <mergeCell ref="A227:I227"/>
    <mergeCell ref="N228:O228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print="0" autoLine="0" autoPict="0">
                <anchor moveWithCells="1">
                  <from>
                    <xdr:col>3</xdr:col>
                    <xdr:colOff>640080</xdr:colOff>
                    <xdr:row>48</xdr:row>
                    <xdr:rowOff>83820</xdr:rowOff>
                  </from>
                  <to>
                    <xdr:col>6</xdr:col>
                    <xdr:colOff>144780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print="0" autoLine="0" autoPict="0">
                <anchor moveWithCells="1">
                  <from>
                    <xdr:col>2</xdr:col>
                    <xdr:colOff>45720</xdr:colOff>
                    <xdr:row>142</xdr:row>
                    <xdr:rowOff>160020</xdr:rowOff>
                  </from>
                  <to>
                    <xdr:col>5</xdr:col>
                    <xdr:colOff>541020</xdr:colOff>
                    <xdr:row>143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print="0" autoLine="0" autoPict="0">
                <anchor moveWithCells="1">
                  <from>
                    <xdr:col>2</xdr:col>
                    <xdr:colOff>38100</xdr:colOff>
                    <xdr:row>143</xdr:row>
                    <xdr:rowOff>160020</xdr:rowOff>
                  </from>
                  <to>
                    <xdr:col>5</xdr:col>
                    <xdr:colOff>525780</xdr:colOff>
                    <xdr:row>144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print="0" autoLine="0" autoPict="0">
                <anchor moveWithCells="1">
                  <from>
                    <xdr:col>2</xdr:col>
                    <xdr:colOff>38100</xdr:colOff>
                    <xdr:row>144</xdr:row>
                    <xdr:rowOff>160020</xdr:rowOff>
                  </from>
                  <to>
                    <xdr:col>5</xdr:col>
                    <xdr:colOff>525780</xdr:colOff>
                    <xdr:row>145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print="0" autoLine="0" autoPict="0">
                <anchor moveWithCells="1">
                  <from>
                    <xdr:col>2</xdr:col>
                    <xdr:colOff>38100</xdr:colOff>
                    <xdr:row>145</xdr:row>
                    <xdr:rowOff>160020</xdr:rowOff>
                  </from>
                  <to>
                    <xdr:col>5</xdr:col>
                    <xdr:colOff>525780</xdr:colOff>
                    <xdr:row>146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print="0" autoLine="0" autoPict="0">
                <anchor moveWithCells="1">
                  <from>
                    <xdr:col>2</xdr:col>
                    <xdr:colOff>38100</xdr:colOff>
                    <xdr:row>146</xdr:row>
                    <xdr:rowOff>152400</xdr:rowOff>
                  </from>
                  <to>
                    <xdr:col>5</xdr:col>
                    <xdr:colOff>525780</xdr:colOff>
                    <xdr:row>147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Drop Down 7">
              <controlPr defaultSize="0" print="0" autoLine="0" autoPict="0">
                <anchor moveWithCells="1">
                  <from>
                    <xdr:col>13</xdr:col>
                    <xdr:colOff>30480</xdr:colOff>
                    <xdr:row>24</xdr:row>
                    <xdr:rowOff>213360</xdr:rowOff>
                  </from>
                  <to>
                    <xdr:col>13</xdr:col>
                    <xdr:colOff>662940</xdr:colOff>
                    <xdr:row>25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Drop Down 8">
              <controlPr defaultSize="0" print="0" autoLine="0" autoPict="0">
                <anchor moveWithCells="1">
                  <from>
                    <xdr:col>13</xdr:col>
                    <xdr:colOff>38100</xdr:colOff>
                    <xdr:row>25</xdr:row>
                    <xdr:rowOff>190500</xdr:rowOff>
                  </from>
                  <to>
                    <xdr:col>13</xdr:col>
                    <xdr:colOff>655320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Drop Down 9">
              <controlPr defaultSize="0" print="0" autoLine="0" autoPict="0">
                <anchor moveWithCells="1">
                  <from>
                    <xdr:col>3</xdr:col>
                    <xdr:colOff>7620</xdr:colOff>
                    <xdr:row>122</xdr:row>
                    <xdr:rowOff>190500</xdr:rowOff>
                  </from>
                  <to>
                    <xdr:col>6</xdr:col>
                    <xdr:colOff>144780</xdr:colOff>
                    <xdr:row>123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Drop Down 10">
              <controlPr defaultSize="0" print="0" autoLine="0" autoPict="0">
                <anchor moveWithCells="1">
                  <from>
                    <xdr:col>3</xdr:col>
                    <xdr:colOff>7620</xdr:colOff>
                    <xdr:row>130</xdr:row>
                    <xdr:rowOff>160020</xdr:rowOff>
                  </from>
                  <to>
                    <xdr:col>5</xdr:col>
                    <xdr:colOff>411480</xdr:colOff>
                    <xdr:row>131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Drop Down 11">
              <controlPr defaultSize="0" print="0" autoLine="0" autoPict="0">
                <anchor moveWithCells="1">
                  <from>
                    <xdr:col>2</xdr:col>
                    <xdr:colOff>22860</xdr:colOff>
                    <xdr:row>7</xdr:row>
                    <xdr:rowOff>7620</xdr:rowOff>
                  </from>
                  <to>
                    <xdr:col>5</xdr:col>
                    <xdr:colOff>617220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Drop Down 12">
              <controlPr defaultSize="0" print="0" autoLine="0" autoPict="0">
                <anchor moveWithCells="1">
                  <from>
                    <xdr:col>13</xdr:col>
                    <xdr:colOff>7620</xdr:colOff>
                    <xdr:row>18</xdr:row>
                    <xdr:rowOff>213360</xdr:rowOff>
                  </from>
                  <to>
                    <xdr:col>14</xdr:col>
                    <xdr:colOff>99060</xdr:colOff>
                    <xdr:row>19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Drop Down 13">
              <controlPr defaultSize="0" print="0" autoLine="0" autoPict="0">
                <anchor moveWithCells="1">
                  <from>
                    <xdr:col>2</xdr:col>
                    <xdr:colOff>220980</xdr:colOff>
                    <xdr:row>20</xdr:row>
                    <xdr:rowOff>198120</xdr:rowOff>
                  </from>
                  <to>
                    <xdr:col>5</xdr:col>
                    <xdr:colOff>617220</xdr:colOff>
                    <xdr:row>21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Drop Down 14">
              <controlPr defaultSize="0" print="0" autoLine="0" autoPict="0">
                <anchor moveWithCells="1">
                  <from>
                    <xdr:col>3</xdr:col>
                    <xdr:colOff>1752600</xdr:colOff>
                    <xdr:row>130</xdr:row>
                    <xdr:rowOff>160020</xdr:rowOff>
                  </from>
                  <to>
                    <xdr:col>4</xdr:col>
                    <xdr:colOff>411480</xdr:colOff>
                    <xdr:row>131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Drop Down 15">
              <controlPr defaultSize="0" print="0" autoLine="0" autoPict="0">
                <anchor moveWithCells="1">
                  <from>
                    <xdr:col>3</xdr:col>
                    <xdr:colOff>7620</xdr:colOff>
                    <xdr:row>67</xdr:row>
                    <xdr:rowOff>7620</xdr:rowOff>
                  </from>
                  <to>
                    <xdr:col>6</xdr:col>
                    <xdr:colOff>144780</xdr:colOff>
                    <xdr:row>67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Drop Down 16">
              <controlPr defaultSize="0" print="0" autoLine="0" autoPict="0">
                <anchor moveWithCells="1">
                  <from>
                    <xdr:col>13</xdr:col>
                    <xdr:colOff>7620</xdr:colOff>
                    <xdr:row>19</xdr:row>
                    <xdr:rowOff>198120</xdr:rowOff>
                  </from>
                  <to>
                    <xdr:col>14</xdr:col>
                    <xdr:colOff>99060</xdr:colOff>
                    <xdr:row>20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Drop Down 17">
              <controlPr defaultSize="0" print="0" autoLine="0" autoPict="0">
                <anchor moveWithCells="1">
                  <from>
                    <xdr:col>3</xdr:col>
                    <xdr:colOff>30480</xdr:colOff>
                    <xdr:row>120</xdr:row>
                    <xdr:rowOff>175260</xdr:rowOff>
                  </from>
                  <to>
                    <xdr:col>6</xdr:col>
                    <xdr:colOff>144780</xdr:colOff>
                    <xdr:row>121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Drop Down 18">
              <controlPr defaultSize="0" print="0" autoLine="0" autoPict="0">
                <anchor moveWithCells="1">
                  <from>
                    <xdr:col>2</xdr:col>
                    <xdr:colOff>259080</xdr:colOff>
                    <xdr:row>152</xdr:row>
                    <xdr:rowOff>144780</xdr:rowOff>
                  </from>
                  <to>
                    <xdr:col>5</xdr:col>
                    <xdr:colOff>563880</xdr:colOff>
                    <xdr:row>153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Drop Down 19">
              <controlPr defaultSize="0" print="0" autoLine="0" autoPict="0">
                <anchor moveWithCells="1">
                  <from>
                    <xdr:col>2</xdr:col>
                    <xdr:colOff>0</xdr:colOff>
                    <xdr:row>181</xdr:row>
                    <xdr:rowOff>45720</xdr:rowOff>
                  </from>
                  <to>
                    <xdr:col>5</xdr:col>
                    <xdr:colOff>487680</xdr:colOff>
                    <xdr:row>182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Drop Down 20">
              <controlPr defaultSize="0" print="0" autoLine="0" autoPict="0">
                <anchor moveWithCells="1">
                  <from>
                    <xdr:col>2</xdr:col>
                    <xdr:colOff>0</xdr:colOff>
                    <xdr:row>182</xdr:row>
                    <xdr:rowOff>60960</xdr:rowOff>
                  </from>
                  <to>
                    <xdr:col>5</xdr:col>
                    <xdr:colOff>487680</xdr:colOff>
                    <xdr:row>183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Drop Down 21">
              <controlPr defaultSize="0" print="0" autoLine="0" autoPict="0">
                <anchor moveWithCells="1">
                  <from>
                    <xdr:col>2</xdr:col>
                    <xdr:colOff>0</xdr:colOff>
                    <xdr:row>183</xdr:row>
                    <xdr:rowOff>45720</xdr:rowOff>
                  </from>
                  <to>
                    <xdr:col>5</xdr:col>
                    <xdr:colOff>487680</xdr:colOff>
                    <xdr:row>184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Drop Down 22">
              <controlPr defaultSize="0" print="0" autoLine="0" autoPict="0">
                <anchor moveWithCells="1">
                  <from>
                    <xdr:col>2</xdr:col>
                    <xdr:colOff>7620</xdr:colOff>
                    <xdr:row>180</xdr:row>
                    <xdr:rowOff>60960</xdr:rowOff>
                  </from>
                  <to>
                    <xdr:col>5</xdr:col>
                    <xdr:colOff>502920</xdr:colOff>
                    <xdr:row>181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Drop Down 23">
              <controlPr defaultSize="0" print="0" autoLine="0" autoPict="0">
                <anchor moveWithCells="1">
                  <from>
                    <xdr:col>2</xdr:col>
                    <xdr:colOff>0</xdr:colOff>
                    <xdr:row>184</xdr:row>
                    <xdr:rowOff>60960</xdr:rowOff>
                  </from>
                  <to>
                    <xdr:col>5</xdr:col>
                    <xdr:colOff>487680</xdr:colOff>
                    <xdr:row>185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Drop Down 24">
              <controlPr defaultSize="0" print="0" autoLine="0" autoPict="0">
                <anchor moveWithCells="1">
                  <from>
                    <xdr:col>2</xdr:col>
                    <xdr:colOff>0</xdr:colOff>
                    <xdr:row>185</xdr:row>
                    <xdr:rowOff>121920</xdr:rowOff>
                  </from>
                  <to>
                    <xdr:col>5</xdr:col>
                    <xdr:colOff>487680</xdr:colOff>
                    <xdr:row>186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Drop Down 25">
              <controlPr defaultSize="0" print="0" autoLine="0" autoPict="0">
                <anchor moveWithCells="1">
                  <from>
                    <xdr:col>2</xdr:col>
                    <xdr:colOff>0</xdr:colOff>
                    <xdr:row>187</xdr:row>
                    <xdr:rowOff>0</xdr:rowOff>
                  </from>
                  <to>
                    <xdr:col>5</xdr:col>
                    <xdr:colOff>487680</xdr:colOff>
                    <xdr:row>187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Drop Down 26">
              <controlPr defaultSize="0" print="0" autoLine="0" autoPict="0">
                <anchor moveWithCells="1">
                  <from>
                    <xdr:col>2</xdr:col>
                    <xdr:colOff>0</xdr:colOff>
                    <xdr:row>186</xdr:row>
                    <xdr:rowOff>121920</xdr:rowOff>
                  </from>
                  <to>
                    <xdr:col>5</xdr:col>
                    <xdr:colOff>487680</xdr:colOff>
                    <xdr:row>187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Drop Down 27">
              <controlPr defaultSize="0" print="0" autoLine="0" autoPict="0">
                <anchor moveWithCells="1">
                  <from>
                    <xdr:col>2</xdr:col>
                    <xdr:colOff>0</xdr:colOff>
                    <xdr:row>187</xdr:row>
                    <xdr:rowOff>0</xdr:rowOff>
                  </from>
                  <to>
                    <xdr:col>5</xdr:col>
                    <xdr:colOff>487680</xdr:colOff>
                    <xdr:row>187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Drop Down 28">
              <controlPr defaultSize="0" print="0" autoLine="0" autoPict="0">
                <anchor moveWithCells="1">
                  <from>
                    <xdr:col>3</xdr:col>
                    <xdr:colOff>373380</xdr:colOff>
                    <xdr:row>21</xdr:row>
                    <xdr:rowOff>182880</xdr:rowOff>
                  </from>
                  <to>
                    <xdr:col>6</xdr:col>
                    <xdr:colOff>144780</xdr:colOff>
                    <xdr:row>22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Drop Down 29">
              <controlPr defaultSize="0" print="0" autoLine="0" autoPict="0">
                <anchor moveWithCells="1">
                  <from>
                    <xdr:col>3</xdr:col>
                    <xdr:colOff>1021080</xdr:colOff>
                    <xdr:row>201</xdr:row>
                    <xdr:rowOff>121920</xdr:rowOff>
                  </from>
                  <to>
                    <xdr:col>5</xdr:col>
                    <xdr:colOff>464820</xdr:colOff>
                    <xdr:row>202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Drop Down 30">
              <controlPr defaultSize="0" print="0" autoLine="0" autoPict="0">
                <anchor moveWithCells="1">
                  <from>
                    <xdr:col>2</xdr:col>
                    <xdr:colOff>22860</xdr:colOff>
                    <xdr:row>8</xdr:row>
                    <xdr:rowOff>0</xdr:rowOff>
                  </from>
                  <to>
                    <xdr:col>5</xdr:col>
                    <xdr:colOff>617220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Drop Down 31">
              <controlPr defaultSize="0" print="0" autoLine="0" autoPict="0">
                <anchor moveWithCells="1">
                  <from>
                    <xdr:col>3</xdr:col>
                    <xdr:colOff>922020</xdr:colOff>
                    <xdr:row>163</xdr:row>
                    <xdr:rowOff>0</xdr:rowOff>
                  </from>
                  <to>
                    <xdr:col>5</xdr:col>
                    <xdr:colOff>563880</xdr:colOff>
                    <xdr:row>163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Drop Down 32">
              <controlPr defaultSize="0" print="0" autoLine="0" autoPict="0">
                <anchor moveWithCells="1">
                  <from>
                    <xdr:col>2</xdr:col>
                    <xdr:colOff>327660</xdr:colOff>
                    <xdr:row>155</xdr:row>
                    <xdr:rowOff>137160</xdr:rowOff>
                  </from>
                  <to>
                    <xdr:col>5</xdr:col>
                    <xdr:colOff>563880</xdr:colOff>
                    <xdr:row>156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Drop Down 33">
              <controlPr defaultSize="0" print="0" autoLine="0" autoPict="0">
                <anchor moveWithCells="1">
                  <from>
                    <xdr:col>2</xdr:col>
                    <xdr:colOff>327660</xdr:colOff>
                    <xdr:row>156</xdr:row>
                    <xdr:rowOff>137160</xdr:rowOff>
                  </from>
                  <to>
                    <xdr:col>5</xdr:col>
                    <xdr:colOff>563880</xdr:colOff>
                    <xdr:row>157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Drop Down 34">
              <controlPr defaultSize="0" print="0" autoLine="0" autoPict="0">
                <anchor moveWithCells="1">
                  <from>
                    <xdr:col>2</xdr:col>
                    <xdr:colOff>30480</xdr:colOff>
                    <xdr:row>212</xdr:row>
                    <xdr:rowOff>106680</xdr:rowOff>
                  </from>
                  <to>
                    <xdr:col>5</xdr:col>
                    <xdr:colOff>556260</xdr:colOff>
                    <xdr:row>212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Drop Down 35">
              <controlPr defaultSize="0" print="0" autoLine="0" autoPict="0">
                <anchor moveWithCells="1">
                  <from>
                    <xdr:col>2</xdr:col>
                    <xdr:colOff>7620</xdr:colOff>
                    <xdr:row>16</xdr:row>
                    <xdr:rowOff>213360</xdr:rowOff>
                  </from>
                  <to>
                    <xdr:col>5</xdr:col>
                    <xdr:colOff>617220</xdr:colOff>
                    <xdr:row>17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Drop Down 36">
              <controlPr defaultSize="0" print="0" autoLine="0" autoPict="0">
                <anchor moveWithCells="1">
                  <from>
                    <xdr:col>2</xdr:col>
                    <xdr:colOff>327660</xdr:colOff>
                    <xdr:row>157</xdr:row>
                    <xdr:rowOff>137160</xdr:rowOff>
                  </from>
                  <to>
                    <xdr:col>5</xdr:col>
                    <xdr:colOff>563880</xdr:colOff>
                    <xdr:row>158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Drop Down 37">
              <controlPr defaultSize="0" print="0" autoLine="0" autoPict="0">
                <anchor moveWithCells="1">
                  <from>
                    <xdr:col>2</xdr:col>
                    <xdr:colOff>327660</xdr:colOff>
                    <xdr:row>158</xdr:row>
                    <xdr:rowOff>137160</xdr:rowOff>
                  </from>
                  <to>
                    <xdr:col>5</xdr:col>
                    <xdr:colOff>563880</xdr:colOff>
                    <xdr:row>159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Drop Down 38">
              <controlPr defaultSize="0" print="0" autoLine="0" autoPict="0">
                <anchor moveWithCells="1">
                  <from>
                    <xdr:col>2</xdr:col>
                    <xdr:colOff>327660</xdr:colOff>
                    <xdr:row>159</xdr:row>
                    <xdr:rowOff>137160</xdr:rowOff>
                  </from>
                  <to>
                    <xdr:col>5</xdr:col>
                    <xdr:colOff>563880</xdr:colOff>
                    <xdr:row>160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Drop Down 39">
              <controlPr defaultSize="0" print="0" autoLine="0" autoPict="0">
                <anchor moveWithCells="1">
                  <from>
                    <xdr:col>2</xdr:col>
                    <xdr:colOff>327660</xdr:colOff>
                    <xdr:row>160</xdr:row>
                    <xdr:rowOff>137160</xdr:rowOff>
                  </from>
                  <to>
                    <xdr:col>5</xdr:col>
                    <xdr:colOff>563880</xdr:colOff>
                    <xdr:row>161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Drop Down 40">
              <controlPr defaultSize="0" print="0" autoLine="0" autoPict="0">
                <anchor moveWithCells="1">
                  <from>
                    <xdr:col>2</xdr:col>
                    <xdr:colOff>327660</xdr:colOff>
                    <xdr:row>161</xdr:row>
                    <xdr:rowOff>137160</xdr:rowOff>
                  </from>
                  <to>
                    <xdr:col>5</xdr:col>
                    <xdr:colOff>563880</xdr:colOff>
                    <xdr:row>162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Drop Down 41">
              <controlPr defaultSize="0" print="0" autoLine="0" autoPict="0">
                <anchor moveWithCells="1">
                  <from>
                    <xdr:col>2</xdr:col>
                    <xdr:colOff>327660</xdr:colOff>
                    <xdr:row>162</xdr:row>
                    <xdr:rowOff>121920</xdr:rowOff>
                  </from>
                  <to>
                    <xdr:col>5</xdr:col>
                    <xdr:colOff>563880</xdr:colOff>
                    <xdr:row>163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Drop Down 42">
              <controlPr defaultSize="0" print="0" autoLine="0" autoPict="0">
                <anchor moveWithCells="1">
                  <from>
                    <xdr:col>2</xdr:col>
                    <xdr:colOff>22860</xdr:colOff>
                    <xdr:row>6</xdr:row>
                    <xdr:rowOff>22860</xdr:rowOff>
                  </from>
                  <to>
                    <xdr:col>5</xdr:col>
                    <xdr:colOff>617220</xdr:colOff>
                    <xdr:row>6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Drop Down 43">
              <controlPr defaultSize="0" print="0" autoLine="0" autoPict="0">
                <anchor moveWithCells="1">
                  <from>
                    <xdr:col>2</xdr:col>
                    <xdr:colOff>342900</xdr:colOff>
                    <xdr:row>167</xdr:row>
                    <xdr:rowOff>99060</xdr:rowOff>
                  </from>
                  <to>
                    <xdr:col>5</xdr:col>
                    <xdr:colOff>563880</xdr:colOff>
                    <xdr:row>168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Drop Down 44">
              <controlPr defaultSize="0" print="0" autoLine="0" autoPict="0">
                <anchor moveWithCells="1">
                  <from>
                    <xdr:col>2</xdr:col>
                    <xdr:colOff>335280</xdr:colOff>
                    <xdr:row>168</xdr:row>
                    <xdr:rowOff>137160</xdr:rowOff>
                  </from>
                  <to>
                    <xdr:col>5</xdr:col>
                    <xdr:colOff>563880</xdr:colOff>
                    <xdr:row>169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Drop Down 45">
              <controlPr defaultSize="0" print="0" autoLine="0" autoPict="0">
                <anchor moveWithCells="1">
                  <from>
                    <xdr:col>2</xdr:col>
                    <xdr:colOff>342900</xdr:colOff>
                    <xdr:row>169</xdr:row>
                    <xdr:rowOff>144780</xdr:rowOff>
                  </from>
                  <to>
                    <xdr:col>5</xdr:col>
                    <xdr:colOff>579120</xdr:colOff>
                    <xdr:row>170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Drop Down 46">
              <controlPr defaultSize="0" print="0" autoLine="0" autoPict="0">
                <anchor moveWithCells="1">
                  <from>
                    <xdr:col>2</xdr:col>
                    <xdr:colOff>335280</xdr:colOff>
                    <xdr:row>169</xdr:row>
                    <xdr:rowOff>137160</xdr:rowOff>
                  </from>
                  <to>
                    <xdr:col>5</xdr:col>
                    <xdr:colOff>563880</xdr:colOff>
                    <xdr:row>170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Drop Down 47">
              <controlPr defaultSize="0" print="0" autoLine="0" autoPict="0">
                <anchor moveWithCells="1">
                  <from>
                    <xdr:col>2</xdr:col>
                    <xdr:colOff>342900</xdr:colOff>
                    <xdr:row>170</xdr:row>
                    <xdr:rowOff>144780</xdr:rowOff>
                  </from>
                  <to>
                    <xdr:col>5</xdr:col>
                    <xdr:colOff>579120</xdr:colOff>
                    <xdr:row>171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2024-11-11T08:52:17Z</dcterms:created>
  <dcterms:modified xsi:type="dcterms:W3CDTF">2024-11-11T09:10:06Z</dcterms:modified>
</cp:coreProperties>
</file>