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BURI-PAO\Desktop\"/>
    </mc:Choice>
  </mc:AlternateContent>
  <xr:revisionPtr revIDLastSave="0" documentId="13_ncr:1_{08D8DEC7-9970-4F28-B15C-0AAB2D12A913}" xr6:coauthVersionLast="47" xr6:coauthVersionMax="47" xr10:uidLastSave="{00000000-0000-0000-0000-000000000000}"/>
  <bookViews>
    <workbookView xWindow="-120" yWindow="-120" windowWidth="24240" windowHeight="13020" xr2:uid="{C247C358-74C1-46BB-8CD7-BDB5024CF5E0}"/>
  </bookViews>
  <sheets>
    <sheet name="ปร.5 - ราคากลาง" sheetId="15" r:id="rId1"/>
    <sheet name="ปร.4 งานก่อสร้าง" sheetId="9" r:id="rId2"/>
    <sheet name="งานโครงสร้าง" sheetId="4" r:id="rId3"/>
    <sheet name="งานสถาปัตยกรรม" sheetId="5" r:id="rId4"/>
    <sheet name="งานระบบไฟฟ้าและแสงสว่าง" sheetId="6" r:id="rId5"/>
    <sheet name="ครุภัณฑ์" sheetId="11" r:id="rId6"/>
    <sheet name="ค่าใช้จ่ายพิเศษ" sheetId="10" r:id="rId7"/>
    <sheet name="ปร.5" sheetId="1" r:id="rId8"/>
    <sheet name="DATA" sheetId="13" r:id="rId9"/>
    <sheet name="ค่าวัสดุ" sheetId="14" r:id="rId10"/>
    <sheet name="Factor F" sheetId="16" r:id="rId11"/>
    <sheet name="Data ปร.4" sheetId="2" state="hidden" r:id="rId12"/>
  </sheets>
  <definedNames>
    <definedName name="_xlnm.Print_Area" localSheetId="3">งานสถาปัตยกรรม!$A$1:$I$64</definedName>
    <definedName name="_xlnm.Print_Titles" localSheetId="11">'Data ปร.4'!$1:$9</definedName>
    <definedName name="_xlnm.Print_Titles" localSheetId="5">ครุภัณฑ์!$1:$8</definedName>
    <definedName name="_xlnm.Print_Titles" localSheetId="6">ค่าใช้จ่ายพิเศษ!$1:$8</definedName>
    <definedName name="_xlnm.Print_Titles" localSheetId="2">งานโครงสร้าง!$1:$8</definedName>
    <definedName name="_xlnm.Print_Titles" localSheetId="4">งานระบบไฟฟ้าและแสงสว่าง!$1:$8</definedName>
    <definedName name="_xlnm.Print_Titles" localSheetId="3">งานสถาปัตยกรรม!$1:$8</definedName>
    <definedName name="_xlnm.Print_Titles" localSheetId="1">'ปร.4 งานก่อสร้าง'!$1:$8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3" i="5" l="1"/>
  <c r="H36" i="5"/>
  <c r="H39" i="5"/>
  <c r="H31" i="5"/>
  <c r="F63" i="5"/>
  <c r="F36" i="5"/>
  <c r="F39" i="5"/>
  <c r="F31" i="5"/>
  <c r="F18" i="4"/>
  <c r="H60" i="4"/>
  <c r="H61" i="4"/>
  <c r="H62" i="4"/>
  <c r="H63" i="4"/>
  <c r="H64" i="4"/>
  <c r="H65" i="4"/>
  <c r="H66" i="4"/>
  <c r="H67" i="4"/>
  <c r="H68" i="4"/>
  <c r="H69" i="4"/>
  <c r="H59" i="4"/>
  <c r="H48" i="4"/>
  <c r="H49" i="4"/>
  <c r="H50" i="4"/>
  <c r="H51" i="4"/>
  <c r="H52" i="4"/>
  <c r="H53" i="4"/>
  <c r="H54" i="4"/>
  <c r="H55" i="4"/>
  <c r="H56" i="4"/>
  <c r="H47" i="4"/>
  <c r="H36" i="4"/>
  <c r="H37" i="4"/>
  <c r="H38" i="4"/>
  <c r="H39" i="4"/>
  <c r="H40" i="4"/>
  <c r="H41" i="4"/>
  <c r="H42" i="4"/>
  <c r="H43" i="4"/>
  <c r="H44" i="4"/>
  <c r="H35" i="4"/>
  <c r="H25" i="4"/>
  <c r="H26" i="4"/>
  <c r="H27" i="4"/>
  <c r="H28" i="4"/>
  <c r="H29" i="4"/>
  <c r="H30" i="4"/>
  <c r="H31" i="4"/>
  <c r="H32" i="4"/>
  <c r="H24" i="4"/>
  <c r="H19" i="4"/>
  <c r="H20" i="4"/>
  <c r="H21" i="4"/>
  <c r="H18" i="4"/>
  <c r="F20" i="4"/>
  <c r="F60" i="4"/>
  <c r="F61" i="4"/>
  <c r="F62" i="4"/>
  <c r="F63" i="4"/>
  <c r="F64" i="4"/>
  <c r="F65" i="4"/>
  <c r="F66" i="4"/>
  <c r="F67" i="4"/>
  <c r="F68" i="4"/>
  <c r="F69" i="4"/>
  <c r="F59" i="4"/>
  <c r="F70" i="4" s="1"/>
  <c r="F48" i="4"/>
  <c r="F49" i="4"/>
  <c r="F50" i="4"/>
  <c r="F51" i="4"/>
  <c r="F52" i="4"/>
  <c r="F53" i="4"/>
  <c r="F54" i="4"/>
  <c r="F55" i="4"/>
  <c r="F56" i="4"/>
  <c r="F47" i="4"/>
  <c r="F36" i="4"/>
  <c r="F37" i="4"/>
  <c r="F38" i="4"/>
  <c r="F39" i="4"/>
  <c r="F40" i="4"/>
  <c r="F41" i="4"/>
  <c r="F42" i="4"/>
  <c r="F43" i="4"/>
  <c r="F44" i="4"/>
  <c r="F35" i="4"/>
  <c r="F45" i="4" s="1"/>
  <c r="F19" i="4"/>
  <c r="F21" i="4"/>
  <c r="F25" i="4"/>
  <c r="F26" i="4"/>
  <c r="F27" i="4"/>
  <c r="F28" i="4"/>
  <c r="F29" i="4"/>
  <c r="F30" i="4"/>
  <c r="F31" i="4"/>
  <c r="F32" i="4"/>
  <c r="F24" i="4"/>
  <c r="C28" i="4"/>
  <c r="B16" i="5"/>
  <c r="E20" i="4"/>
  <c r="C20" i="4"/>
  <c r="H57" i="4" l="1"/>
  <c r="F57" i="4"/>
  <c r="F33" i="4"/>
  <c r="F22" i="4"/>
  <c r="H64" i="5"/>
  <c r="H16" i="5" s="1"/>
  <c r="F64" i="5"/>
  <c r="F16" i="5" s="1"/>
  <c r="I63" i="5" l="1"/>
  <c r="I64" i="5" s="1"/>
  <c r="I16" i="5" s="1"/>
  <c r="C21" i="4" l="1"/>
  <c r="E3" i="16" l="1"/>
  <c r="C9" i="16" s="1"/>
  <c r="E21" i="4" l="1"/>
  <c r="E13" i="16" l="1"/>
  <c r="C10" i="16"/>
  <c r="C28" i="5" l="1"/>
  <c r="F28" i="5" l="1"/>
  <c r="H28" i="5"/>
  <c r="H14" i="10"/>
  <c r="F14" i="10"/>
  <c r="I14" i="10" l="1"/>
  <c r="I20" i="4" l="1"/>
  <c r="B14" i="5"/>
  <c r="B13" i="5"/>
  <c r="B12" i="5"/>
  <c r="B11" i="5"/>
  <c r="B10" i="5"/>
  <c r="C60" i="5"/>
  <c r="C59" i="5"/>
  <c r="C58" i="5"/>
  <c r="C55" i="5"/>
  <c r="C54" i="5"/>
  <c r="C53" i="5"/>
  <c r="F53" i="5" s="1"/>
  <c r="C48" i="5"/>
  <c r="C32" i="5"/>
  <c r="C26" i="5"/>
  <c r="H26" i="5" s="1"/>
  <c r="C25" i="5"/>
  <c r="C24" i="5"/>
  <c r="H24" i="5" s="1"/>
  <c r="C23" i="5"/>
  <c r="H23" i="5" s="1"/>
  <c r="C20" i="5"/>
  <c r="H58" i="5" l="1"/>
  <c r="F58" i="5"/>
  <c r="H59" i="5"/>
  <c r="F59" i="5"/>
  <c r="F25" i="5"/>
  <c r="I25" i="5" s="1"/>
  <c r="H25" i="5"/>
  <c r="F54" i="5"/>
  <c r="H54" i="5"/>
  <c r="I54" i="5" s="1"/>
  <c r="F55" i="5"/>
  <c r="H55" i="5"/>
  <c r="I55" i="5" s="1"/>
  <c r="F60" i="5"/>
  <c r="H60" i="5"/>
  <c r="F32" i="5"/>
  <c r="H32" i="5"/>
  <c r="F48" i="5"/>
  <c r="H48" i="5"/>
  <c r="H20" i="5"/>
  <c r="H21" i="5" s="1"/>
  <c r="H10" i="5" s="1"/>
  <c r="F20" i="5"/>
  <c r="I20" i="5" s="1"/>
  <c r="I21" i="5" s="1"/>
  <c r="I10" i="5" s="1"/>
  <c r="C27" i="5"/>
  <c r="F23" i="5"/>
  <c r="F24" i="5"/>
  <c r="I24" i="5" s="1"/>
  <c r="F26" i="5"/>
  <c r="I26" i="5" s="1"/>
  <c r="I59" i="5"/>
  <c r="I48" i="5"/>
  <c r="C49" i="5"/>
  <c r="C50" i="5"/>
  <c r="H50" i="5" s="1"/>
  <c r="H53" i="5"/>
  <c r="I28" i="5"/>
  <c r="I39" i="5"/>
  <c r="C33" i="5"/>
  <c r="I36" i="5"/>
  <c r="I60" i="5"/>
  <c r="H53" i="11"/>
  <c r="F53" i="11"/>
  <c r="H11" i="11"/>
  <c r="H12" i="11"/>
  <c r="H13" i="11"/>
  <c r="H14" i="11"/>
  <c r="H15" i="11"/>
  <c r="H16" i="11"/>
  <c r="H17" i="11"/>
  <c r="H18" i="11"/>
  <c r="H19" i="11"/>
  <c r="H20" i="11"/>
  <c r="H21" i="11"/>
  <c r="H22" i="11"/>
  <c r="H23" i="11"/>
  <c r="H24" i="11"/>
  <c r="H25" i="11"/>
  <c r="H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F11" i="11"/>
  <c r="I11" i="11" s="1"/>
  <c r="F12" i="11"/>
  <c r="F13" i="11"/>
  <c r="F14" i="11"/>
  <c r="I14" i="11" s="1"/>
  <c r="F15" i="11"/>
  <c r="F16" i="11"/>
  <c r="I16" i="11" s="1"/>
  <c r="F17" i="11"/>
  <c r="F18" i="11"/>
  <c r="F19" i="11"/>
  <c r="F20" i="11"/>
  <c r="F21" i="11"/>
  <c r="F22" i="11"/>
  <c r="F23" i="11"/>
  <c r="I23" i="11" s="1"/>
  <c r="F24" i="11"/>
  <c r="I24" i="11" s="1"/>
  <c r="F25" i="11"/>
  <c r="F26" i="11"/>
  <c r="I26" i="11" s="1"/>
  <c r="F27" i="11"/>
  <c r="F28" i="11"/>
  <c r="I28" i="11" s="1"/>
  <c r="F29" i="11"/>
  <c r="F30" i="11"/>
  <c r="F31" i="11"/>
  <c r="F32" i="11"/>
  <c r="F33" i="11"/>
  <c r="F34" i="11"/>
  <c r="F35" i="11"/>
  <c r="F36" i="11"/>
  <c r="I36" i="11" s="1"/>
  <c r="F37" i="11"/>
  <c r="F38" i="11"/>
  <c r="I38" i="11" s="1"/>
  <c r="F39" i="11"/>
  <c r="F40" i="11"/>
  <c r="I40" i="11" s="1"/>
  <c r="F41" i="11"/>
  <c r="F42" i="11"/>
  <c r="F43" i="11"/>
  <c r="F44" i="11"/>
  <c r="F45" i="11"/>
  <c r="F46" i="11"/>
  <c r="F47" i="11"/>
  <c r="I47" i="11" s="1"/>
  <c r="F48" i="11"/>
  <c r="F49" i="11"/>
  <c r="F50" i="11"/>
  <c r="I50" i="11" s="1"/>
  <c r="F51" i="11"/>
  <c r="F52" i="11"/>
  <c r="I52" i="11" s="1"/>
  <c r="H10" i="11"/>
  <c r="F10" i="11"/>
  <c r="F33" i="5" l="1"/>
  <c r="H33" i="5"/>
  <c r="F27" i="5"/>
  <c r="H27" i="5"/>
  <c r="H56" i="5"/>
  <c r="H14" i="5" s="1"/>
  <c r="F21" i="5"/>
  <c r="F10" i="5" s="1"/>
  <c r="F49" i="5"/>
  <c r="H49" i="5"/>
  <c r="H51" i="5" s="1"/>
  <c r="H13" i="5" s="1"/>
  <c r="H61" i="5"/>
  <c r="H15" i="5" s="1"/>
  <c r="F50" i="5"/>
  <c r="I50" i="5" s="1"/>
  <c r="I49" i="5"/>
  <c r="I31" i="5"/>
  <c r="I53" i="5"/>
  <c r="I56" i="5" s="1"/>
  <c r="I14" i="5" s="1"/>
  <c r="I32" i="5"/>
  <c r="F61" i="5"/>
  <c r="F15" i="5" s="1"/>
  <c r="I58" i="5"/>
  <c r="I61" i="5" s="1"/>
  <c r="I15" i="5" s="1"/>
  <c r="F56" i="5"/>
  <c r="F14" i="5" s="1"/>
  <c r="H46" i="5"/>
  <c r="H12" i="5" s="1"/>
  <c r="H29" i="5"/>
  <c r="H11" i="5" s="1"/>
  <c r="I23" i="5"/>
  <c r="F29" i="5"/>
  <c r="F11" i="5" s="1"/>
  <c r="I53" i="11"/>
  <c r="H54" i="11"/>
  <c r="I22" i="11"/>
  <c r="I34" i="11"/>
  <c r="I46" i="11"/>
  <c r="I32" i="11"/>
  <c r="I20" i="11"/>
  <c r="I44" i="11"/>
  <c r="I54" i="11" s="1"/>
  <c r="D11" i="15" s="1"/>
  <c r="F11" i="15" s="1"/>
  <c r="I27" i="11"/>
  <c r="I42" i="11"/>
  <c r="I30" i="11"/>
  <c r="I18" i="11"/>
  <c r="I29" i="11"/>
  <c r="I17" i="11"/>
  <c r="I41" i="11"/>
  <c r="I51" i="11"/>
  <c r="I49" i="11"/>
  <c r="I48" i="11"/>
  <c r="I45" i="11"/>
  <c r="I43" i="11"/>
  <c r="I39" i="11"/>
  <c r="I37" i="11"/>
  <c r="I35" i="11"/>
  <c r="I33" i="11"/>
  <c r="I31" i="11"/>
  <c r="I25" i="11"/>
  <c r="I21" i="11"/>
  <c r="I19" i="11"/>
  <c r="I15" i="11"/>
  <c r="I13" i="11"/>
  <c r="I12" i="11"/>
  <c r="F54" i="11"/>
  <c r="I10" i="11"/>
  <c r="C50" i="4"/>
  <c r="C49" i="4"/>
  <c r="I27" i="5" l="1"/>
  <c r="I29" i="5"/>
  <c r="I11" i="5" s="1"/>
  <c r="H17" i="5"/>
  <c r="I51" i="5"/>
  <c r="I13" i="5" s="1"/>
  <c r="F51" i="5"/>
  <c r="F13" i="5" s="1"/>
  <c r="I33" i="5"/>
  <c r="I46" i="5" s="1"/>
  <c r="I12" i="5" s="1"/>
  <c r="F46" i="5"/>
  <c r="F12" i="5" s="1"/>
  <c r="F17" i="5" s="1"/>
  <c r="D10" i="1"/>
  <c r="F10" i="1" s="1"/>
  <c r="J33" i="14"/>
  <c r="J32" i="14"/>
  <c r="J31" i="14"/>
  <c r="J26" i="14"/>
  <c r="J25" i="14"/>
  <c r="J24" i="14"/>
  <c r="J19" i="14"/>
  <c r="J18" i="14"/>
  <c r="J17" i="14"/>
  <c r="J16" i="14"/>
  <c r="I17" i="5" l="1"/>
  <c r="J27" i="14"/>
  <c r="J28" i="14" s="1"/>
  <c r="J20" i="14"/>
  <c r="J21" i="14" s="1"/>
  <c r="J34" i="14"/>
  <c r="J35" i="14" s="1"/>
  <c r="P83" i="13" l="1"/>
  <c r="P84" i="13"/>
  <c r="P85" i="13"/>
  <c r="P86" i="13"/>
  <c r="P87" i="13"/>
  <c r="P88" i="13"/>
  <c r="P89" i="13"/>
  <c r="P90" i="13"/>
  <c r="P91" i="13"/>
  <c r="P92" i="13"/>
  <c r="P93" i="13"/>
  <c r="P94" i="13"/>
  <c r="P95" i="13"/>
  <c r="P96" i="13"/>
  <c r="P97" i="13"/>
  <c r="P98" i="13"/>
  <c r="P99" i="13"/>
  <c r="P100" i="13"/>
  <c r="P101" i="13"/>
  <c r="P102" i="13"/>
  <c r="P103" i="13"/>
  <c r="P104" i="13"/>
  <c r="P105" i="13"/>
  <c r="P106" i="13"/>
  <c r="P107" i="13"/>
  <c r="P108" i="13"/>
  <c r="P109" i="13"/>
  <c r="P110" i="13"/>
  <c r="P111" i="13"/>
  <c r="P112" i="13"/>
  <c r="P113" i="13"/>
  <c r="P114" i="13"/>
  <c r="P115" i="13"/>
  <c r="P116" i="13"/>
  <c r="P117" i="13"/>
  <c r="P118" i="13"/>
  <c r="P119" i="13"/>
  <c r="P120" i="13"/>
  <c r="P121" i="13"/>
  <c r="P122" i="13"/>
  <c r="P123" i="13"/>
  <c r="P124" i="13"/>
  <c r="P125" i="13"/>
  <c r="P126" i="13"/>
  <c r="P127" i="13"/>
  <c r="P128" i="13"/>
  <c r="P129" i="13"/>
  <c r="P130" i="13"/>
  <c r="P131" i="13"/>
  <c r="P132" i="13"/>
  <c r="P133" i="13"/>
  <c r="P134" i="13"/>
  <c r="P135" i="13"/>
  <c r="P136" i="13"/>
  <c r="P137" i="13"/>
  <c r="P138" i="13"/>
  <c r="P139" i="13"/>
  <c r="P140" i="13"/>
  <c r="P141" i="13"/>
  <c r="P142" i="13"/>
  <c r="P143" i="13"/>
  <c r="P144" i="13"/>
  <c r="P145" i="13"/>
  <c r="P146" i="13"/>
  <c r="P147" i="13"/>
  <c r="P148" i="13"/>
  <c r="P149" i="13"/>
  <c r="P150" i="13"/>
  <c r="P151" i="13"/>
  <c r="P152" i="13"/>
  <c r="P153" i="13"/>
  <c r="P154" i="13"/>
  <c r="P155" i="13"/>
  <c r="P156" i="13"/>
  <c r="P157" i="13"/>
  <c r="P158" i="13"/>
  <c r="P159" i="13"/>
  <c r="P160" i="13"/>
  <c r="P161" i="13"/>
  <c r="P82" i="13"/>
  <c r="C44" i="4"/>
  <c r="C39" i="4"/>
  <c r="C35" i="4"/>
  <c r="C29" i="4"/>
  <c r="C26" i="4"/>
  <c r="C25" i="4"/>
  <c r="C24" i="4"/>
  <c r="C11" i="6"/>
  <c r="I75" i="13"/>
  <c r="G2" i="14" l="1"/>
  <c r="J2" i="14" s="1"/>
  <c r="J5" i="14"/>
  <c r="J4" i="14"/>
  <c r="J3" i="14"/>
  <c r="J6" i="14" l="1"/>
  <c r="J7" i="14" s="1"/>
  <c r="C60" i="4" l="1"/>
  <c r="C59" i="4"/>
  <c r="C66" i="4"/>
  <c r="C61" i="4"/>
  <c r="C48" i="4" l="1"/>
  <c r="C47" i="4"/>
  <c r="I48" i="4"/>
  <c r="C54" i="4"/>
  <c r="D113" i="13"/>
  <c r="C83" i="13"/>
  <c r="C84" i="13"/>
  <c r="C85" i="13"/>
  <c r="C86" i="13"/>
  <c r="C87" i="13"/>
  <c r="C88" i="13"/>
  <c r="C89" i="13"/>
  <c r="C90" i="13"/>
  <c r="C91" i="13"/>
  <c r="C92" i="13"/>
  <c r="C93" i="13"/>
  <c r="C94" i="13"/>
  <c r="C95" i="13"/>
  <c r="C96" i="13"/>
  <c r="C97" i="13"/>
  <c r="C98" i="13"/>
  <c r="C99" i="13"/>
  <c r="C100" i="13"/>
  <c r="C101" i="13"/>
  <c r="C102" i="13"/>
  <c r="C103" i="13"/>
  <c r="C104" i="13"/>
  <c r="C105" i="13"/>
  <c r="C106" i="13"/>
  <c r="C107" i="13"/>
  <c r="C108" i="13"/>
  <c r="C109" i="13"/>
  <c r="C110" i="13"/>
  <c r="C111" i="13"/>
  <c r="C82" i="13"/>
  <c r="D58" i="13"/>
  <c r="F58" i="13"/>
  <c r="I47" i="4" l="1"/>
  <c r="I59" i="4"/>
  <c r="I60" i="4"/>
  <c r="C53" i="4"/>
  <c r="C55" i="4" s="1"/>
  <c r="C56" i="4"/>
  <c r="C51" i="4"/>
  <c r="C52" i="4"/>
  <c r="B13" i="4"/>
  <c r="C18" i="4"/>
  <c r="C19" i="4"/>
  <c r="U5" i="13" l="1"/>
  <c r="I77" i="13"/>
  <c r="D76" i="13"/>
  <c r="I74" i="13"/>
  <c r="I73" i="13"/>
  <c r="B63" i="13"/>
  <c r="I63" i="13" s="1"/>
  <c r="B62" i="13"/>
  <c r="I61" i="13"/>
  <c r="D70" i="13"/>
  <c r="F78" i="13" s="1"/>
  <c r="D74" i="13"/>
  <c r="F72" i="13"/>
  <c r="D64" i="13"/>
  <c r="D63" i="13"/>
  <c r="D62" i="13"/>
  <c r="U35" i="13"/>
  <c r="U42" i="13"/>
  <c r="F51" i="13"/>
  <c r="F42" i="13" s="1"/>
  <c r="I33" i="13"/>
  <c r="F35" i="13" s="1"/>
  <c r="D29" i="13"/>
  <c r="B29" i="13"/>
  <c r="F29" i="13" l="1"/>
  <c r="F40" i="13" s="1"/>
  <c r="B74" i="13"/>
  <c r="C75" i="13"/>
  <c r="B64" i="13"/>
  <c r="I64" i="13" s="1"/>
  <c r="B65" i="13"/>
  <c r="I65" i="13" s="1"/>
  <c r="B76" i="13"/>
  <c r="I76" i="13" s="1"/>
  <c r="I62" i="13"/>
  <c r="F67" i="13"/>
  <c r="F36" i="13"/>
  <c r="P47" i="13"/>
  <c r="Z42" i="13" s="1"/>
  <c r="P42" i="13"/>
  <c r="P35" i="13"/>
  <c r="P13" i="13"/>
  <c r="Z13" i="13" s="1"/>
  <c r="P12" i="13"/>
  <c r="Z12" i="13" s="1"/>
  <c r="P5" i="13"/>
  <c r="I66" i="13" l="1"/>
  <c r="I67" i="13" s="1"/>
  <c r="Z35" i="13"/>
  <c r="F37" i="13"/>
  <c r="Z5" i="13"/>
  <c r="D67" i="13" l="1"/>
  <c r="D78" i="13"/>
  <c r="I78" i="13"/>
  <c r="D5" i="13"/>
  <c r="B5" i="13"/>
  <c r="F2" i="13"/>
  <c r="B14" i="4"/>
  <c r="B12" i="4"/>
  <c r="B11" i="4"/>
  <c r="B10" i="4"/>
  <c r="F13" i="6"/>
  <c r="C65" i="4" l="1"/>
  <c r="F5" i="13"/>
  <c r="F6" i="13" s="1"/>
  <c r="F24" i="13" l="1"/>
  <c r="F12" i="13" s="1"/>
  <c r="F10" i="13"/>
  <c r="F7" i="13"/>
  <c r="I53" i="4" l="1"/>
  <c r="A5" i="11" l="1"/>
  <c r="A4" i="11"/>
  <c r="F14" i="6"/>
  <c r="F12" i="6"/>
  <c r="H14" i="6"/>
  <c r="H12" i="6"/>
  <c r="H13" i="6"/>
  <c r="F10" i="10"/>
  <c r="H10" i="10"/>
  <c r="I10" i="10" l="1"/>
  <c r="I52" i="4"/>
  <c r="I51" i="4"/>
  <c r="I14" i="6"/>
  <c r="I12" i="6"/>
  <c r="I13" i="6"/>
  <c r="C40" i="4"/>
  <c r="C41" i="4" s="1"/>
  <c r="C32" i="4"/>
  <c r="H13" i="10"/>
  <c r="H12" i="10"/>
  <c r="F12" i="10"/>
  <c r="H11" i="10"/>
  <c r="A5" i="10"/>
  <c r="A4" i="10"/>
  <c r="B12" i="9"/>
  <c r="B11" i="9"/>
  <c r="B10" i="9"/>
  <c r="A5" i="9"/>
  <c r="A4" i="9"/>
  <c r="H11" i="6"/>
  <c r="H15" i="6" s="1"/>
  <c r="F11" i="6"/>
  <c r="F15" i="6" s="1"/>
  <c r="A5" i="6"/>
  <c r="A4" i="6"/>
  <c r="A5" i="5"/>
  <c r="A4" i="5"/>
  <c r="I54" i="4"/>
  <c r="C38" i="4"/>
  <c r="A5" i="4"/>
  <c r="A4" i="4"/>
  <c r="C151" i="2"/>
  <c r="F151" i="2" s="1"/>
  <c r="F152" i="2" s="1"/>
  <c r="F154" i="2" s="1"/>
  <c r="C118" i="2"/>
  <c r="F118" i="2" s="1"/>
  <c r="C112" i="2"/>
  <c r="C114" i="2" s="1"/>
  <c r="H114" i="2" s="1"/>
  <c r="C106" i="2"/>
  <c r="C107" i="2" s="1"/>
  <c r="H107" i="2" s="1"/>
  <c r="C109" i="2"/>
  <c r="C110" i="2" s="1"/>
  <c r="F110" i="2" s="1"/>
  <c r="C96" i="2"/>
  <c r="H15" i="10" l="1"/>
  <c r="C30" i="4"/>
  <c r="C31" i="4" s="1"/>
  <c r="I12" i="10"/>
  <c r="C42" i="4"/>
  <c r="C69" i="4"/>
  <c r="C67" i="4"/>
  <c r="C68" i="4" s="1"/>
  <c r="F13" i="10"/>
  <c r="I13" i="10" s="1"/>
  <c r="F11" i="10"/>
  <c r="I11" i="6"/>
  <c r="I15" i="6" s="1"/>
  <c r="H12" i="9"/>
  <c r="F12" i="9"/>
  <c r="I37" i="4"/>
  <c r="I56" i="4"/>
  <c r="I50" i="4"/>
  <c r="I55" i="4"/>
  <c r="I24" i="4"/>
  <c r="I44" i="4"/>
  <c r="I19" i="4"/>
  <c r="I66" i="4"/>
  <c r="I43" i="4"/>
  <c r="I26" i="4"/>
  <c r="I35" i="4"/>
  <c r="I63" i="4"/>
  <c r="I27" i="4"/>
  <c r="I64" i="4"/>
  <c r="I49" i="4"/>
  <c r="I57" i="4" s="1"/>
  <c r="H151" i="2"/>
  <c r="H152" i="2" s="1"/>
  <c r="H154" i="2" s="1"/>
  <c r="H118" i="2"/>
  <c r="I118" i="2" s="1"/>
  <c r="F107" i="2"/>
  <c r="I107" i="2" s="1"/>
  <c r="H112" i="2"/>
  <c r="F112" i="2"/>
  <c r="F106" i="2"/>
  <c r="H106" i="2"/>
  <c r="H110" i="2"/>
  <c r="I110" i="2" s="1"/>
  <c r="H109" i="2"/>
  <c r="C113" i="2"/>
  <c r="C117" i="2"/>
  <c r="C116" i="2"/>
  <c r="C115" i="2"/>
  <c r="F109" i="2"/>
  <c r="F114" i="2"/>
  <c r="I114" i="2" s="1"/>
  <c r="C88" i="2"/>
  <c r="C91" i="2" s="1"/>
  <c r="C87" i="2"/>
  <c r="C85" i="2"/>
  <c r="C86" i="2"/>
  <c r="C84" i="2"/>
  <c r="C83" i="2"/>
  <c r="C103" i="2"/>
  <c r="H104" i="2"/>
  <c r="F104" i="2"/>
  <c r="C14" i="2"/>
  <c r="H14" i="2" s="1"/>
  <c r="C13" i="2"/>
  <c r="C140" i="2"/>
  <c r="C12" i="2"/>
  <c r="H12" i="2" s="1"/>
  <c r="H123" i="2"/>
  <c r="F123" i="2"/>
  <c r="I15" i="10" l="1"/>
  <c r="F15" i="10"/>
  <c r="I21" i="4"/>
  <c r="H22" i="4"/>
  <c r="H10" i="4" s="1"/>
  <c r="I25" i="4"/>
  <c r="F10" i="4"/>
  <c r="F13" i="4"/>
  <c r="I61" i="4"/>
  <c r="I12" i="9"/>
  <c r="I62" i="4"/>
  <c r="I42" i="4"/>
  <c r="I13" i="4"/>
  <c r="I11" i="10"/>
  <c r="I28" i="4"/>
  <c r="I29" i="4"/>
  <c r="I38" i="4"/>
  <c r="I18" i="4"/>
  <c r="I32" i="4"/>
  <c r="I39" i="4"/>
  <c r="I36" i="4"/>
  <c r="I151" i="2"/>
  <c r="I152" i="2" s="1"/>
  <c r="I154" i="2" s="1"/>
  <c r="I112" i="2"/>
  <c r="I106" i="2"/>
  <c r="I109" i="2"/>
  <c r="F115" i="2"/>
  <c r="H115" i="2"/>
  <c r="F116" i="2"/>
  <c r="H116" i="2"/>
  <c r="F113" i="2"/>
  <c r="H113" i="2"/>
  <c r="F117" i="2"/>
  <c r="H117" i="2"/>
  <c r="C89" i="2"/>
  <c r="C90" i="2" s="1"/>
  <c r="I104" i="2"/>
  <c r="F14" i="2"/>
  <c r="I14" i="2" s="1"/>
  <c r="F12" i="2"/>
  <c r="I123" i="2"/>
  <c r="C73" i="2"/>
  <c r="C74" i="2"/>
  <c r="C75" i="2"/>
  <c r="C60" i="2"/>
  <c r="C59" i="2"/>
  <c r="C66" i="2"/>
  <c r="C69" i="2" s="1"/>
  <c r="C62" i="2"/>
  <c r="C63" i="2"/>
  <c r="I22" i="4" l="1"/>
  <c r="I10" i="4" s="1"/>
  <c r="I40" i="4"/>
  <c r="I67" i="4"/>
  <c r="I65" i="4"/>
  <c r="H33" i="4"/>
  <c r="H11" i="4" s="1"/>
  <c r="I30" i="4"/>
  <c r="H70" i="4"/>
  <c r="H14" i="4" s="1"/>
  <c r="H13" i="4"/>
  <c r="H45" i="4"/>
  <c r="H12" i="4" s="1"/>
  <c r="I69" i="4"/>
  <c r="I117" i="2"/>
  <c r="I113" i="2"/>
  <c r="I116" i="2"/>
  <c r="I115" i="2"/>
  <c r="I12" i="2"/>
  <c r="C67" i="2"/>
  <c r="C68" i="2" s="1"/>
  <c r="C64" i="2"/>
  <c r="C65" i="2" s="1"/>
  <c r="C61" i="2"/>
  <c r="C79" i="2"/>
  <c r="C131" i="2"/>
  <c r="C133" i="2"/>
  <c r="C134" i="2" s="1"/>
  <c r="C135" i="2" s="1"/>
  <c r="C130" i="2"/>
  <c r="C129" i="2"/>
  <c r="C128" i="2"/>
  <c r="E141" i="2"/>
  <c r="E140" i="2"/>
  <c r="D11" i="1" l="1"/>
  <c r="F11" i="1" s="1"/>
  <c r="D12" i="15"/>
  <c r="F12" i="15" s="1"/>
  <c r="H11" i="9"/>
  <c r="F11" i="9"/>
  <c r="F14" i="4"/>
  <c r="H15" i="4"/>
  <c r="H10" i="9" s="1"/>
  <c r="I68" i="4"/>
  <c r="I70" i="4" s="1"/>
  <c r="I14" i="4" s="1"/>
  <c r="I11" i="9"/>
  <c r="I31" i="4"/>
  <c r="I33" i="4" s="1"/>
  <c r="I11" i="4" s="1"/>
  <c r="F11" i="4"/>
  <c r="I41" i="4"/>
  <c r="I45" i="4" s="1"/>
  <c r="I12" i="4" s="1"/>
  <c r="F12" i="4"/>
  <c r="H131" i="2"/>
  <c r="C136" i="2"/>
  <c r="F136" i="2" s="1"/>
  <c r="F134" i="2"/>
  <c r="C132" i="2"/>
  <c r="F132" i="2" s="1"/>
  <c r="F131" i="2"/>
  <c r="F129" i="2"/>
  <c r="F133" i="2"/>
  <c r="H133" i="2"/>
  <c r="F128" i="2"/>
  <c r="H129" i="2"/>
  <c r="F130" i="2"/>
  <c r="F137" i="2"/>
  <c r="H137" i="2"/>
  <c r="F138" i="2"/>
  <c r="H138" i="2"/>
  <c r="F139" i="2"/>
  <c r="H139" i="2"/>
  <c r="F140" i="2"/>
  <c r="H140" i="2"/>
  <c r="F141" i="2"/>
  <c r="H141" i="2"/>
  <c r="H142" i="2"/>
  <c r="F143" i="2"/>
  <c r="C54" i="2"/>
  <c r="C52" i="2"/>
  <c r="C55" i="2"/>
  <c r="C53" i="2"/>
  <c r="H13" i="2"/>
  <c r="H15" i="2" s="1"/>
  <c r="F13" i="2"/>
  <c r="F15" i="2" s="1"/>
  <c r="C32" i="2"/>
  <c r="C31" i="2"/>
  <c r="C30" i="2"/>
  <c r="E46" i="2"/>
  <c r="E43" i="2"/>
  <c r="E44" i="2"/>
  <c r="C48" i="2"/>
  <c r="C44" i="2"/>
  <c r="C43" i="2"/>
  <c r="F15" i="4" l="1"/>
  <c r="F10" i="9" s="1"/>
  <c r="F13" i="9" s="1"/>
  <c r="I15" i="4"/>
  <c r="I10" i="9" s="1"/>
  <c r="H13" i="9"/>
  <c r="E146" i="2"/>
  <c r="E144" i="2"/>
  <c r="F144" i="2" s="1"/>
  <c r="E142" i="2"/>
  <c r="F142" i="2" s="1"/>
  <c r="G143" i="2" s="1"/>
  <c r="H143" i="2" s="1"/>
  <c r="I143" i="2" s="1"/>
  <c r="I138" i="2"/>
  <c r="I137" i="2"/>
  <c r="H136" i="2"/>
  <c r="I136" i="2" s="1"/>
  <c r="H132" i="2"/>
  <c r="I132" i="2" s="1"/>
  <c r="I131" i="2"/>
  <c r="I133" i="2"/>
  <c r="I129" i="2"/>
  <c r="H134" i="2"/>
  <c r="I134" i="2" s="1"/>
  <c r="I139" i="2"/>
  <c r="H130" i="2"/>
  <c r="I130" i="2" s="1"/>
  <c r="H128" i="2"/>
  <c r="I141" i="2"/>
  <c r="I140" i="2"/>
  <c r="I13" i="2"/>
  <c r="I15" i="2" s="1"/>
  <c r="C47" i="2"/>
  <c r="F47" i="2" s="1"/>
  <c r="C46" i="2"/>
  <c r="F46" i="2" s="1"/>
  <c r="C45" i="2"/>
  <c r="F45" i="2" s="1"/>
  <c r="C38" i="2"/>
  <c r="H38" i="2" s="1"/>
  <c r="C39" i="2"/>
  <c r="H39" i="2" s="1"/>
  <c r="H32" i="2"/>
  <c r="F31" i="2"/>
  <c r="C34" i="2"/>
  <c r="C37" i="2" s="1"/>
  <c r="H43" i="2"/>
  <c r="H44" i="2"/>
  <c r="H48" i="2"/>
  <c r="H52" i="2"/>
  <c r="H53" i="2"/>
  <c r="H54" i="2"/>
  <c r="H55" i="2"/>
  <c r="H59" i="2"/>
  <c r="H60" i="2"/>
  <c r="H61" i="2"/>
  <c r="H62" i="2"/>
  <c r="H63" i="2"/>
  <c r="H64" i="2"/>
  <c r="H65" i="2"/>
  <c r="H66" i="2"/>
  <c r="H67" i="2"/>
  <c r="H68" i="2"/>
  <c r="H69" i="2"/>
  <c r="H73" i="2"/>
  <c r="H74" i="2"/>
  <c r="H75" i="2"/>
  <c r="H79" i="2"/>
  <c r="H80" i="2" s="1"/>
  <c r="H83" i="2"/>
  <c r="H84" i="2"/>
  <c r="H85" i="2"/>
  <c r="H86" i="2"/>
  <c r="H87" i="2"/>
  <c r="H88" i="2"/>
  <c r="H89" i="2"/>
  <c r="H90" i="2"/>
  <c r="H91" i="2"/>
  <c r="H93" i="2"/>
  <c r="H94" i="2"/>
  <c r="H95" i="2"/>
  <c r="H96" i="2"/>
  <c r="H97" i="2"/>
  <c r="H98" i="2"/>
  <c r="H102" i="2"/>
  <c r="H103" i="2"/>
  <c r="H122" i="2"/>
  <c r="H124" i="2" s="1"/>
  <c r="H144" i="2"/>
  <c r="H146" i="2"/>
  <c r="F43" i="2"/>
  <c r="F44" i="2"/>
  <c r="F48" i="2"/>
  <c r="F52" i="2"/>
  <c r="F53" i="2"/>
  <c r="F54" i="2"/>
  <c r="F55" i="2"/>
  <c r="F59" i="2"/>
  <c r="F60" i="2"/>
  <c r="F61" i="2"/>
  <c r="F62" i="2"/>
  <c r="F63" i="2"/>
  <c r="F64" i="2"/>
  <c r="F65" i="2"/>
  <c r="F66" i="2"/>
  <c r="F67" i="2"/>
  <c r="F68" i="2"/>
  <c r="F69" i="2"/>
  <c r="F73" i="2"/>
  <c r="F74" i="2"/>
  <c r="F75" i="2"/>
  <c r="F79" i="2"/>
  <c r="F80" i="2" s="1"/>
  <c r="F83" i="2"/>
  <c r="F84" i="2"/>
  <c r="F85" i="2"/>
  <c r="F86" i="2"/>
  <c r="F87" i="2"/>
  <c r="F88" i="2"/>
  <c r="F89" i="2"/>
  <c r="F90" i="2"/>
  <c r="F91" i="2"/>
  <c r="F93" i="2"/>
  <c r="F94" i="2"/>
  <c r="F95" i="2"/>
  <c r="F96" i="2"/>
  <c r="F97" i="2"/>
  <c r="F98" i="2"/>
  <c r="F102" i="2"/>
  <c r="F103" i="2"/>
  <c r="F122" i="2"/>
  <c r="F124" i="2" s="1"/>
  <c r="F145" i="2"/>
  <c r="F147" i="2"/>
  <c r="F30" i="2"/>
  <c r="C23" i="2"/>
  <c r="H23" i="2" s="1"/>
  <c r="C21" i="2"/>
  <c r="F21" i="2" s="1"/>
  <c r="C20" i="2"/>
  <c r="F20" i="2" s="1"/>
  <c r="C19" i="2"/>
  <c r="H19" i="2" s="1"/>
  <c r="C18" i="2"/>
  <c r="H18" i="2" s="1"/>
  <c r="I13" i="9" l="1"/>
  <c r="D9" i="1" s="1"/>
  <c r="F9" i="1" s="1"/>
  <c r="F119" i="2"/>
  <c r="H119" i="2"/>
  <c r="F99" i="2"/>
  <c r="H99" i="2"/>
  <c r="F76" i="2"/>
  <c r="H76" i="2"/>
  <c r="F70" i="2"/>
  <c r="H70" i="2"/>
  <c r="F56" i="2"/>
  <c r="I142" i="2"/>
  <c r="I128" i="2"/>
  <c r="F146" i="2"/>
  <c r="G147" i="2" s="1"/>
  <c r="H147" i="2" s="1"/>
  <c r="I147" i="2" s="1"/>
  <c r="G145" i="2"/>
  <c r="H145" i="2" s="1"/>
  <c r="I145" i="2" s="1"/>
  <c r="F135" i="2"/>
  <c r="H135" i="2"/>
  <c r="I103" i="2"/>
  <c r="H46" i="2"/>
  <c r="I46" i="2" s="1"/>
  <c r="H56" i="2"/>
  <c r="F39" i="2"/>
  <c r="I39" i="2" s="1"/>
  <c r="I74" i="2"/>
  <c r="I52" i="2"/>
  <c r="I73" i="2"/>
  <c r="F49" i="2"/>
  <c r="H47" i="2"/>
  <c r="I47" i="2" s="1"/>
  <c r="H45" i="2"/>
  <c r="I45" i="2" s="1"/>
  <c r="F38" i="2"/>
  <c r="I38" i="2" s="1"/>
  <c r="F34" i="2"/>
  <c r="I91" i="2"/>
  <c r="I67" i="2"/>
  <c r="I102" i="2"/>
  <c r="I93" i="2"/>
  <c r="I68" i="2"/>
  <c r="I59" i="2"/>
  <c r="H34" i="2"/>
  <c r="I94" i="2"/>
  <c r="F32" i="2"/>
  <c r="I32" i="2" s="1"/>
  <c r="I98" i="2"/>
  <c r="I53" i="2"/>
  <c r="I44" i="2"/>
  <c r="I85" i="2"/>
  <c r="I62" i="2"/>
  <c r="H30" i="2"/>
  <c r="C33" i="2"/>
  <c r="F33" i="2" s="1"/>
  <c r="I87" i="2"/>
  <c r="I64" i="2"/>
  <c r="I60" i="2"/>
  <c r="I97" i="2"/>
  <c r="I86" i="2"/>
  <c r="I75" i="2"/>
  <c r="H31" i="2"/>
  <c r="H37" i="2"/>
  <c r="F37" i="2"/>
  <c r="I61" i="2"/>
  <c r="I43" i="2"/>
  <c r="I84" i="2"/>
  <c r="I65" i="2"/>
  <c r="I83" i="2"/>
  <c r="I90" i="2"/>
  <c r="I48" i="2"/>
  <c r="I122" i="2"/>
  <c r="I124" i="2" s="1"/>
  <c r="I66" i="2"/>
  <c r="I89" i="2"/>
  <c r="I144" i="2"/>
  <c r="I96" i="2"/>
  <c r="I88" i="2"/>
  <c r="I95" i="2"/>
  <c r="I55" i="2"/>
  <c r="C35" i="2"/>
  <c r="I69" i="2"/>
  <c r="I54" i="2"/>
  <c r="I79" i="2"/>
  <c r="I80" i="2" s="1"/>
  <c r="I63" i="2"/>
  <c r="C22" i="2"/>
  <c r="H22" i="2" s="1"/>
  <c r="F18" i="2"/>
  <c r="I18" i="2" s="1"/>
  <c r="F19" i="2"/>
  <c r="I19" i="2" s="1"/>
  <c r="H21" i="2"/>
  <c r="I21" i="2" s="1"/>
  <c r="F23" i="2"/>
  <c r="I23" i="2" s="1"/>
  <c r="C26" i="2"/>
  <c r="C24" i="2"/>
  <c r="H20" i="2"/>
  <c r="I20" i="2" s="1"/>
  <c r="F15" i="1" l="1"/>
  <c r="F16" i="1" s="1"/>
  <c r="C18" i="1" s="1"/>
  <c r="D10" i="15"/>
  <c r="F10" i="15" s="1"/>
  <c r="F16" i="15" s="1"/>
  <c r="F17" i="15" s="1"/>
  <c r="I119" i="2"/>
  <c r="I76" i="2"/>
  <c r="F148" i="2"/>
  <c r="I99" i="2"/>
  <c r="H148" i="2"/>
  <c r="I146" i="2"/>
  <c r="I70" i="2"/>
  <c r="I135" i="2"/>
  <c r="I56" i="2"/>
  <c r="I34" i="2"/>
  <c r="I37" i="2"/>
  <c r="I49" i="2"/>
  <c r="H49" i="2"/>
  <c r="I30" i="2"/>
  <c r="H33" i="2"/>
  <c r="I33" i="2" s="1"/>
  <c r="I31" i="2"/>
  <c r="F22" i="2"/>
  <c r="I22" i="2" s="1"/>
  <c r="C36" i="2"/>
  <c r="H35" i="2"/>
  <c r="F35" i="2"/>
  <c r="C25" i="2"/>
  <c r="H24" i="2"/>
  <c r="F24" i="2"/>
  <c r="H26" i="2"/>
  <c r="F26" i="2"/>
  <c r="A7" i="2"/>
  <c r="A6" i="2"/>
  <c r="A5" i="2"/>
  <c r="C19" i="15" l="1"/>
  <c r="D18" i="15"/>
  <c r="I148" i="2"/>
  <c r="I24" i="2"/>
  <c r="H36" i="2"/>
  <c r="H40" i="2" s="1"/>
  <c r="F36" i="2"/>
  <c r="F40" i="2" s="1"/>
  <c r="I35" i="2"/>
  <c r="I26" i="2"/>
  <c r="F25" i="2"/>
  <c r="F27" i="2" s="1"/>
  <c r="H25" i="2"/>
  <c r="D17" i="1" l="1"/>
  <c r="I25" i="2"/>
  <c r="I27" i="2" s="1"/>
  <c r="I36" i="2"/>
  <c r="I40" i="2" s="1"/>
  <c r="H27" i="2"/>
</calcChain>
</file>

<file path=xl/sharedStrings.xml><?xml version="1.0" encoding="utf-8"?>
<sst xmlns="http://schemas.openxmlformats.org/spreadsheetml/2006/main" count="1209" uniqueCount="435">
  <si>
    <t>ส่วนราชการ สำนักช่าง องค์การบริหารส่วนจังหวัดสระบุรี</t>
  </si>
  <si>
    <t>ใช้ราคาวัสดุอ้างอิง สระบุรี เดือน</t>
  </si>
  <si>
    <t>ใช้ราคาวัสดุอ้างอิง กทม. เดือน</t>
  </si>
  <si>
    <t>ลำดับที่</t>
  </si>
  <si>
    <t>Factor F</t>
  </si>
  <si>
    <t>หมายเหตุ</t>
  </si>
  <si>
    <t xml:space="preserve"> - ดอกเบี้ยเงินกู้</t>
  </si>
  <si>
    <t xml:space="preserve"> - ภาษี</t>
  </si>
  <si>
    <t xml:space="preserve"> - เงินล่วงหน้าจ่าย</t>
  </si>
  <si>
    <t xml:space="preserve"> - เงินประกันผลงานหัก</t>
  </si>
  <si>
    <t>สรุป</t>
  </si>
  <si>
    <t>รวมค่าก่อสร้างเป็นเงิน</t>
  </si>
  <si>
    <t xml:space="preserve">  </t>
  </si>
  <si>
    <t>คิดเป็นเงินประมาณ</t>
  </si>
  <si>
    <t xml:space="preserve">(ตัวอักษร) </t>
  </si>
  <si>
    <t>ประมาณการ</t>
  </si>
  <si>
    <t xml:space="preserve"> </t>
  </si>
  <si>
    <t>ตรวจสอบ</t>
  </si>
  <si>
    <t>วิศวกรผู้ตรวจสอบ</t>
  </si>
  <si>
    <t>เห็นชอบ</t>
  </si>
  <si>
    <t>หัวหน้าฝ่ายออกแบบ</t>
  </si>
  <si>
    <t>(นายฤชากร ทองทัย)</t>
  </si>
  <si>
    <t xml:space="preserve">นักบริหารงานช่างระดับต้น </t>
  </si>
  <si>
    <t>ผู้อำนวยการส่วนควบคุมการก่อสร้าง</t>
  </si>
  <si>
    <t>(นายประหยัด สุขเกษม)</t>
  </si>
  <si>
    <t>นักบริหารงานช่างระดับกลาง</t>
  </si>
  <si>
    <t>อนุมัติ</t>
  </si>
  <si>
    <t>ผู้อำนวยการสำนักช่าง</t>
  </si>
  <si>
    <t>(นายสุรศักดิ์ สมภักดี)</t>
  </si>
  <si>
    <t>นักบริหารงานช่างระดับสูง</t>
  </si>
  <si>
    <t>รายการ</t>
  </si>
  <si>
    <t>หน่วย</t>
  </si>
  <si>
    <t>ลำดับ</t>
  </si>
  <si>
    <t>ปริมาณ</t>
  </si>
  <si>
    <t>ราคาค่าวัสดุ</t>
  </si>
  <si>
    <t>ค่าแรง</t>
  </si>
  <si>
    <t>รวม</t>
  </si>
  <si>
    <t>ต่อหน่วย</t>
  </si>
  <si>
    <t>รวมค่าวัสดุ</t>
  </si>
  <si>
    <t>รวมค่าแรง</t>
  </si>
  <si>
    <t>งบประมาณประจำปี 2567</t>
  </si>
  <si>
    <t>สนามเด็กเล่น</t>
  </si>
  <si>
    <t>พื้นที่รวม</t>
  </si>
  <si>
    <t>คอนกรีตหยาบ</t>
  </si>
  <si>
    <t>คอนกรีตโครงสร้าง 320 KSC. ทรงกระบอก</t>
  </si>
  <si>
    <t>เหล็กเสริมคอนกรีต RB9 SR24</t>
  </si>
  <si>
    <t>เหล็กเสริมคอนกรีต DB12 SD40</t>
  </si>
  <si>
    <t>ลวดผูกเหล็ก</t>
  </si>
  <si>
    <t>ค่าแรงไม้แบบ</t>
  </si>
  <si>
    <t>ไม้แบบ</t>
  </si>
  <si>
    <t>ไม้คร่าวยึดไม้แบบ</t>
  </si>
  <si>
    <t>ตะปู</t>
  </si>
  <si>
    <t>ทรายหยาบ</t>
  </si>
  <si>
    <t>เหล็กเสริมคอนกรีต RB6 SR24</t>
  </si>
  <si>
    <t>งานเสาตอม่อรับรั้วเหล็ก</t>
  </si>
  <si>
    <t>งานรั้วเหล็ก</t>
  </si>
  <si>
    <t>ตาข่ายไนล่อนถัก</t>
  </si>
  <si>
    <t>ท่อเหล็ก ขนาด 4 นิ้ว หนา 4.5 มม.</t>
  </si>
  <si>
    <t>ท่อเหล็ก ขนาด 3 นิ้ว หนา 3.2 มม.</t>
  </si>
  <si>
    <t>Chain Link หนา 3.0 มม. ช่องตา 2 นิ้ว</t>
  </si>
  <si>
    <t>ค่าแรงประกอบและติดตั้งรั้วเหล็ก</t>
  </si>
  <si>
    <t>RC Gutter</t>
  </si>
  <si>
    <t>งานสนามเปตอง</t>
  </si>
  <si>
    <t>หินคลุกบดอัดแน่น</t>
  </si>
  <si>
    <t>แผ่น Geotextile</t>
  </si>
  <si>
    <t>งานบันได</t>
  </si>
  <si>
    <t>Steel Grating ขนาด 0.30x0.30 เมตร</t>
  </si>
  <si>
    <t>งานสนามหญ้า</t>
  </si>
  <si>
    <t>ทรายหยาบ ปรับระดับก่อนปูหญ้า หนา 0.05 เมตร</t>
  </si>
  <si>
    <t>ดินปลูก ปรับระดับก่อนปูหญ้า หนา 0.05 เมตร</t>
  </si>
  <si>
    <t>หญ้านวลน้อย</t>
  </si>
  <si>
    <t>งานขอบคันหิน</t>
  </si>
  <si>
    <t>งานพื้น</t>
  </si>
  <si>
    <t>Wiremesh ขนาด 6.00 มม. ขนาดตาราง 0.15x0.15 เมตร</t>
  </si>
  <si>
    <t>Wiremesh ขนาด 6.00 มม. ขนาดตาราง 0.20x0.20 เมตร</t>
  </si>
  <si>
    <t>งานทาสีเหล็กกันสนิม</t>
  </si>
  <si>
    <t>Expansion Joint</t>
  </si>
  <si>
    <t>Surface Joint</t>
  </si>
  <si>
    <t xml:space="preserve"> - Mastic Joint Sealer</t>
  </si>
  <si>
    <t xml:space="preserve"> - Non-Extruding Joint Filler</t>
  </si>
  <si>
    <t xml:space="preserve"> - Metal Cap</t>
  </si>
  <si>
    <t xml:space="preserve"> - RB19 Smooth Dowel Bar</t>
  </si>
  <si>
    <t xml:space="preserve"> - Plastic Sheet หนา 0.20 มม.</t>
  </si>
  <si>
    <t>งานระบบระบายน้ำ</t>
  </si>
  <si>
    <t>งานขัดมันเรียบ</t>
  </si>
  <si>
    <t>งานพื้นปูนทรายปรับระดับพร้อมขัดเรียบ</t>
  </si>
  <si>
    <t>งานไฟฟ้าและแสงสว่าง</t>
  </si>
  <si>
    <t>เสาไฟส่องสว่างระบบโซลาร์เซลล์</t>
  </si>
  <si>
    <t>ลบ.ม.</t>
  </si>
  <si>
    <t>ตัน</t>
  </si>
  <si>
    <t>กก.</t>
  </si>
  <si>
    <t>ตร.ม.</t>
  </si>
  <si>
    <t>ลบ.ฟ.</t>
  </si>
  <si>
    <t>รวมงานฐานราก</t>
  </si>
  <si>
    <t>งานฐานรากรับรั้วเหล็ก</t>
  </si>
  <si>
    <t>รวมงานเสาตอม่อรับรั้วเหล็ก</t>
  </si>
  <si>
    <t>รวมงานรั้วเหล็ก</t>
  </si>
  <si>
    <t>J-Bolt M12 ความยาว 0.30 เมตร</t>
  </si>
  <si>
    <t>เหล็กแผ่น ขนาด 200x200x12 มม.</t>
  </si>
  <si>
    <t>ชุด</t>
  </si>
  <si>
    <t>งานดิน</t>
  </si>
  <si>
    <t>งานดินขุด</t>
  </si>
  <si>
    <t>รวมงานดิน</t>
  </si>
  <si>
    <t>กรวดหยาบ</t>
  </si>
  <si>
    <t>เมตร</t>
  </si>
  <si>
    <t>ชิ้น</t>
  </si>
  <si>
    <t>ท่อน</t>
  </si>
  <si>
    <t>รวมงานสนามเปตอง</t>
  </si>
  <si>
    <t xml:space="preserve"> - ทรายหยาบ</t>
  </si>
  <si>
    <t xml:space="preserve"> - คอนกรีตหยาบ</t>
  </si>
  <si>
    <t xml:space="preserve"> - คอนกรีตโครงสร้าง 320 KSC. ทรงกระบอก</t>
  </si>
  <si>
    <t xml:space="preserve"> - เหล็กเสริมคอนกรีต RB6 SR24</t>
  </si>
  <si>
    <t xml:space="preserve"> - ลวดผูกเหล็ก</t>
  </si>
  <si>
    <t xml:space="preserve"> - ค่าแรงไม้แบบ</t>
  </si>
  <si>
    <t xml:space="preserve"> - ไม้แบบ</t>
  </si>
  <si>
    <t xml:space="preserve"> - ไม้คร่าวยึดไม้แบบ</t>
  </si>
  <si>
    <t xml:space="preserve"> - ตะปู</t>
  </si>
  <si>
    <t>Steel Grating ขนาด 0.40x1.00 เมตร</t>
  </si>
  <si>
    <t>Floor Drain ขนาด 4 นิ้ว</t>
  </si>
  <si>
    <t>ท่อ PVC ชั้น 8.5 ขนาด 4 นิ้ว</t>
  </si>
  <si>
    <t>ท่อ PVC ชั้น 8.5 ขนาด 10 นิ้ว</t>
  </si>
  <si>
    <t>เหล็กยึดท่อ (30% ของราคาท่อ)</t>
  </si>
  <si>
    <t>ทดสอบ ทำความสะอาด และทาสี (10% ของราคาท่อ)</t>
  </si>
  <si>
    <t>ข้อต่อและอุปกรณ์ท่อ (40% ของราคาท่อ)</t>
  </si>
  <si>
    <t>ค่าแรงติดตั้งข้อต่อและอุปกรณ์ท่อ (30% ของราคาวัสดุ)</t>
  </si>
  <si>
    <t>ค่าแรงติดตั้งเหล็กยึดท่อ (30% ของราคาวัสดุ)</t>
  </si>
  <si>
    <t>ค่าแรงทดสอบ ทำความสะอาด และทาสี (30% ของราคาวัสดุ)</t>
  </si>
  <si>
    <t>งาน</t>
  </si>
  <si>
    <t>รวมงานระบบระบายน้ำ</t>
  </si>
  <si>
    <t>งานผิวพื้น</t>
  </si>
  <si>
    <t>ขอบคันหิน สำเร็จรูป ขนาด 0.15x0.30x1.00 เมตร</t>
  </si>
  <si>
    <t>ขอบคันหินเล็กทรงมน สำเร็จรูป ขนาด 0.11x0.20x0.50 เมตร</t>
  </si>
  <si>
    <t>รวมงานบันได</t>
  </si>
  <si>
    <t>รวมงานไฟฟ้าและแสงสว่าง</t>
  </si>
  <si>
    <t>รวมงานผิวพื้น</t>
  </si>
  <si>
    <t>รวมงานขอบคันหิน</t>
  </si>
  <si>
    <t>รวมงานสนามหญ้า</t>
  </si>
  <si>
    <t>ฐานตอม่อติดตั้งเสาไฟฟ้าสำเร็จรูป</t>
  </si>
  <si>
    <t>งานดินถมกลบ (หินคลุก)</t>
  </si>
  <si>
    <t>งานปรับระดับบดอัดดินเดิม</t>
  </si>
  <si>
    <t>Concrete Blocks</t>
  </si>
  <si>
    <t>รวมงานพื้น</t>
  </si>
  <si>
    <t>อัน</t>
  </si>
  <si>
    <t>แผ่น</t>
  </si>
  <si>
    <t xml:space="preserve"> - เคลือบพื้นตีเส้นด้วยสีโพลียูรีเทน</t>
  </si>
  <si>
    <t>สนามวอลเลย์บอล, สนามตะกร้อ</t>
  </si>
  <si>
    <t>สนามฟุตซอล, ลานวางอัฒจันทร์, ลานพื้นที่วางเครื่องออกกำลังกาย และลู่วิ่ง</t>
  </si>
  <si>
    <t xml:space="preserve"> - เคลือบพื้นยางสังเคราะห์โพลียูรีเทน หนา 10 มม.</t>
  </si>
  <si>
    <t xml:space="preserve"> - เคลือบพื้นยางสังเคราะห์โพลียูรีเทนผสมเม็ดยางดำ หนา 7 มม.</t>
  </si>
  <si>
    <t xml:space="preserve"> - พื้นยางสังเคราะห์โพลียูรีเทน หนา 10 มม.</t>
  </si>
  <si>
    <t xml:space="preserve"> - ชั้นรองทับหน้ายางสังเคราะห์โพลียูรีเทน หนา 1.5 มม.</t>
  </si>
  <si>
    <t xml:space="preserve"> - ชั้นทับหน้ายางสังเคราะห์โพลียูรีเทนผสมเม็ดยางละเอียด หนา 1 มม.</t>
  </si>
  <si>
    <t xml:space="preserve"> - รองพื้นปรับผิว หนา 0.2 มม.</t>
  </si>
  <si>
    <t xml:space="preserve"> - ชั้นทับหน้ายางสังเคราะห์โพลียูรีเทน ชนิดทนแสงยูวี หนา 0.3 มม.</t>
  </si>
  <si>
    <t xml:space="preserve"> - ตีเส้นสนามด้วยสีโพลียูรีเทน</t>
  </si>
  <si>
    <t>ฉาบปูนโครงสร้าง รวมจับเซี้ยม</t>
  </si>
  <si>
    <t>แบบสรุปประมาณราคางานก่อสร้างอาคาร</t>
  </si>
  <si>
    <t>งานครุภัณฑ์</t>
  </si>
  <si>
    <t>คอนกรีตโครงสร้าง 280 KSC. รูปลูกบาศก์</t>
  </si>
  <si>
    <t>วัน</t>
  </si>
  <si>
    <t>งานรั้วกั้นพื้นที่ก่อสร้าง</t>
  </si>
  <si>
    <t>ต้น</t>
  </si>
  <si>
    <t>ค่าใช้จ่ายพิเศษ</t>
  </si>
  <si>
    <t>งานเช่ารถเครนเพื่อติดตั้งเสาไฟส่องสว่าง</t>
  </si>
  <si>
    <t>งานเช่ารถเครนเพื่อติดตั้งรั้วเหล็ก</t>
  </si>
  <si>
    <t>1.1.1</t>
  </si>
  <si>
    <t>1.1.2</t>
  </si>
  <si>
    <t>1.1.3</t>
  </si>
  <si>
    <t>1.1.4</t>
  </si>
  <si>
    <t>1.1.5</t>
  </si>
  <si>
    <t>1.2.1</t>
  </si>
  <si>
    <t>1.2.2</t>
  </si>
  <si>
    <t>1.2.3</t>
  </si>
  <si>
    <t>1.2.4</t>
  </si>
  <si>
    <t>1.2.5</t>
  </si>
  <si>
    <t>1.3.1</t>
  </si>
  <si>
    <t>งานวิศวกรรมโครงสร้าง</t>
  </si>
  <si>
    <t>งานสถาปัตยกรรม</t>
  </si>
  <si>
    <t>รวมงานวิศวกรรมโครงสร้าง</t>
  </si>
  <si>
    <t>รวมงานสถาปัตยกรรม</t>
  </si>
  <si>
    <t>งานระบบไฟฟ้าและแสงสว่าง</t>
  </si>
  <si>
    <t>รวมงานระบบไฟฟ้าและแสงสว่าง</t>
  </si>
  <si>
    <t>รวมงานภูมิสถาปัตยกรรม</t>
  </si>
  <si>
    <t>งานภูมิสถาปัตยกรรม</t>
  </si>
  <si>
    <t>รวมค่าใช้จ่ายพิเศษ</t>
  </si>
  <si>
    <t>เครื่อง</t>
  </si>
  <si>
    <t>ลูก</t>
  </si>
  <si>
    <t>ป้าย</t>
  </si>
  <si>
    <t>ผืน</t>
  </si>
  <si>
    <t>อุปกรณ์ฝึกกล้ามเนื้ออกแบบไฮโดรลิก</t>
  </si>
  <si>
    <t>อุปกรณ์ฝึกกล้ามเนื้อท้องแบบโค้ง</t>
  </si>
  <si>
    <t>อุปกรณ์ฝึกกล้ามเนื้อหลังส่วนบน ชนิดดึงเข้าแบบไฮโดรลิก</t>
  </si>
  <si>
    <t>อุปกรณ์ฝึกกล้ามเนื้อไหล่แบบไฮโดรลิก</t>
  </si>
  <si>
    <t>อุปกรณ์ฝึกกล้ามเนื้อหลังส่วนบน ชนิดดึงลงแบบไฮโดรลิก</t>
  </si>
  <si>
    <t>อุปกรณ์ฝึกกล้ามเนื้อท้องแบบไฮโดรลิก</t>
  </si>
  <si>
    <t>อุปกรณ์ฝึกกล้ามเนื้อหลังส่วนล่างแบบไฮโดรลิก</t>
  </si>
  <si>
    <t>อุปกรณ์ฝึกกล้ามเนื้อต้นขาด้านหน้าแบบไฮโดรลิก</t>
  </si>
  <si>
    <t>อุปกรณ์ฝึกกล้ามเนื้อต้นขาด้านหลังแบบไฮโดรลิก</t>
  </si>
  <si>
    <t>อุปกรณ์ฝึกบริหารกล้ามเนื้อช่วงสะโพกและท่อนขาส่วนบน</t>
  </si>
  <si>
    <t>อุปกรณ์ยืดเหยียดกล้ามเนื้อ</t>
  </si>
  <si>
    <t>อุปกรณ์ฝึกบริหารกล้ามเนื้อช่วงแขนส่วนล่าง</t>
  </si>
  <si>
    <t>อุปกรณ์ฝึกบริหารกล้ามเนื้อช่วงแขนส่วนบน</t>
  </si>
  <si>
    <t>อุปกรณ์ฝึกก้าว, เดิน และวิ่งไร้แรงกระแทก</t>
  </si>
  <si>
    <t>อุปกรณ์เสริมสร้างความแข็งแรงกล้ามเนื้อแขน ขา และลำตัว</t>
  </si>
  <si>
    <t>อุปกรณ์ฝึกบริหารกล้ามเนื้อช่วงเอวและสะโพก</t>
  </si>
  <si>
    <t>เครื่องฝึกกล้ามเนื้อแบบดึงเข้า ชนิดเลื่อนแผ่นน้ำหนัก</t>
  </si>
  <si>
    <t>อุปกรณ์ฝึกกล้ามเนื้อทั่วร่างกายแบบไฮโดรลิก</t>
  </si>
  <si>
    <t>เครื่องฝึกกล้ามเนื้อขาที่ใช้ในการทรงตัว หน้า/หลัง</t>
  </si>
  <si>
    <t>เครื่องฝึกระบบประสาทและกล้ามเนื้อในขณะเดินแนวราบ</t>
  </si>
  <si>
    <t>ลูกฟุตซอล</t>
  </si>
  <si>
    <t>ประตูฟุตซอล</t>
  </si>
  <si>
    <t>ป้ายคะแนนฟุตซอล</t>
  </si>
  <si>
    <t>ลูกวอลเลย์บอล</t>
  </si>
  <si>
    <t>เสาวอลเลย์บอล</t>
  </si>
  <si>
    <t>ตาข่ายวอลเลย์บอล</t>
  </si>
  <si>
    <t>เปตองสเตนเลสสำหรับเด็ก น้ำหนัก 600 กรัม เส้นผ่านศูนย์ 65 มม.</t>
  </si>
  <si>
    <t>ลูกแก่นพลาสติก</t>
  </si>
  <si>
    <t>วงกลม - ฐานปล่อยลูก</t>
  </si>
  <si>
    <t>ลูกตะกร้อสำหรับเด็กเล็ก</t>
  </si>
  <si>
    <t>ลูกตะกร้อสำหรับเด็กโต</t>
  </si>
  <si>
    <t>ลูกตะกร้อสำหรับแข่งขันชาย</t>
  </si>
  <si>
    <t>ลูกตะกร้อสำหรับแข่งขันหญิง</t>
  </si>
  <si>
    <t>ตาข่ายตะกร้อ</t>
  </si>
  <si>
    <t>เสาตะกร้ออเนกประสงค์แบบเคลื่อนย้ายได้</t>
  </si>
  <si>
    <t>ลูกฟุตบอล เบอร์ 5 หนัง PU</t>
  </si>
  <si>
    <t>ลูกฟุตบอล รุ่นฝึกซ้อม</t>
  </si>
  <si>
    <t>รวมครุภัณฑ์และอุปกรณ์เครื่องออกกำลังกาย</t>
  </si>
  <si>
    <t>ค่าแรงประกอบและติดตั้ง</t>
  </si>
  <si>
    <t>งานก่อสร้างอาคาร</t>
  </si>
  <si>
    <t>รวมงานก่อสร้างอาคาร</t>
  </si>
  <si>
    <t>วิศวกรโยธาชำนาญการพิเศษ (วช.)</t>
  </si>
  <si>
    <t>(นายพรชัย  แก้วบังวัน)</t>
  </si>
  <si>
    <t>ผู้ช่วยวิศวกรโยธา</t>
  </si>
  <si>
    <t>ประมาณราคา</t>
  </si>
  <si>
    <t>(นางสาวบุษราคม รัตนสำอางค์)</t>
  </si>
  <si>
    <t>งานพื้นสนามฟุตซอล, ลานเครื่องออกกำลังกาย และลานอัฒจันทร์</t>
  </si>
  <si>
    <t>ตาข่ายประตูฟุตซอล</t>
  </si>
  <si>
    <t>พื้น หนา</t>
  </si>
  <si>
    <t>ค่าหยอดยางรอยต่อ</t>
  </si>
  <si>
    <t>บาท</t>
  </si>
  <si>
    <t xml:space="preserve">คิดจากความยาวรอยต่อ   </t>
  </si>
  <si>
    <t>ม.</t>
  </si>
  <si>
    <t>ค่าเหล็ก  RB19</t>
  </si>
  <si>
    <t>=</t>
  </si>
  <si>
    <t>บาท/ตัน</t>
  </si>
  <si>
    <t>…42</t>
  </si>
  <si>
    <t>ค่าขนส่งจากแหล่ง อ.เมืองสระบุรีถึงหน้างาน</t>
  </si>
  <si>
    <t>กม.</t>
  </si>
  <si>
    <t>…43</t>
  </si>
  <si>
    <t>ค่าเหล็ก  RB19 รวมค่าขนส่ง  (…42+…43)</t>
  </si>
  <si>
    <t>ค่าเหล็ก RB19</t>
  </si>
  <si>
    <t>กก.@</t>
  </si>
  <si>
    <t>(บาท/ตัน)/1000</t>
  </si>
  <si>
    <t>…44</t>
  </si>
  <si>
    <t xml:space="preserve">JOINT FILLER </t>
  </si>
  <si>
    <t>ตร.ม. @</t>
  </si>
  <si>
    <t>…45</t>
  </si>
  <si>
    <t>กระดาษชานอ้อย</t>
  </si>
  <si>
    <t xml:space="preserve">JOINT SEALER </t>
  </si>
  <si>
    <t>ลิตร @</t>
  </si>
  <si>
    <t>ลิตร</t>
  </si>
  <si>
    <t>…46</t>
  </si>
  <si>
    <t>ยางมะตอย</t>
  </si>
  <si>
    <t>ค่าหยอดยาง</t>
  </si>
  <si>
    <t>ม. @ (ค่าเสื่อม ค่าหยอดยางรอยต่อคอนกรีต)</t>
  </si>
  <si>
    <t>…47</t>
  </si>
  <si>
    <t xml:space="preserve">ค่าใช้จ่ายรวม  (…44+…45+…46+…47) </t>
  </si>
  <si>
    <t>ค่างานต้นทุน</t>
  </si>
  <si>
    <t>/</t>
  </si>
  <si>
    <t>บาท/เมตร</t>
  </si>
  <si>
    <t>ราคาเหล็ก  RB19</t>
  </si>
  <si>
    <t>…48</t>
  </si>
  <si>
    <t>…49</t>
  </si>
  <si>
    <t>ค่าเหล็ก  RB19 รวมค่าขนส่ง  (…48+…49)</t>
  </si>
  <si>
    <t>…50</t>
  </si>
  <si>
    <t xml:space="preserve">ค่าตัด JOINTและหยอดยาง </t>
  </si>
  <si>
    <t>ม. @ (ค่าตัดรอยต่อคอนกรีตและหยอดยาง)</t>
  </si>
  <si>
    <t>…51</t>
  </si>
  <si>
    <t>บาท/ลิตร</t>
  </si>
  <si>
    <t>…52</t>
  </si>
  <si>
    <t>ค่าใช้จ่ายรวม   (…50+…51+…52)</t>
  </si>
  <si>
    <t xml:space="preserve">/ </t>
  </si>
  <si>
    <t>Metal Cap</t>
  </si>
  <si>
    <t>ขอบคันหินเล็ก สำเร็จรูป ขนาด 0.11x0.20x0.50 เมตร</t>
  </si>
  <si>
    <t>Plastic Sheet หนา 0.20 มม. กว้าง 0.50 เมตร</t>
  </si>
  <si>
    <t xml:space="preserve">เสาเหล็กชุบกัลวาไนท์ 4 นิ้ว ความสูง 6.00 เมตร </t>
  </si>
  <si>
    <t>1.2.6</t>
  </si>
  <si>
    <t>งานภูมิทัศน์</t>
  </si>
  <si>
    <t>ตอม่อติดตั้งเสาไฟฟ้าสำเร็จรูป สำหรับเสาไฟสูง 6.00 เมตร</t>
  </si>
  <si>
    <t>โคมไฟฟ้าถนนโซล่าเซลล์ ขนาด 60 วัตต์ พร้อมอุปกรณ์ครบชุด</t>
  </si>
  <si>
    <t>แบบสรุปประมาณราคางานก่อสร้างสนามกีฬาชุมชน</t>
  </si>
  <si>
    <t>โครงการ   ก่อสร้างสนามกีฬาชุมชน</t>
  </si>
  <si>
    <t>ประมาณราคาเดือน   มิถุนายน 2567</t>
  </si>
  <si>
    <t>x</t>
  </si>
  <si>
    <t>ลานคอนกรีต หนา 20 ซม. + wiremesh 6mm @0.15m#</t>
  </si>
  <si>
    <t>wiremesh</t>
  </si>
  <si>
    <t>สนามหญ้า ความกว้างด้านละ 0.90 เมตร</t>
  </si>
  <si>
    <t>คอนกรีต (หนา 0.20 เมตร)</t>
  </si>
  <si>
    <t>Curb Stone ขนาด 149x300x1000 mm.</t>
  </si>
  <si>
    <t>ความยาวรวม</t>
  </si>
  <si>
    <t>ความยาว 1</t>
  </si>
  <si>
    <t>ความยาว 2</t>
  </si>
  <si>
    <t>ความยาว 3</t>
  </si>
  <si>
    <t>ความยาว 4</t>
  </si>
  <si>
    <t>ความยาว 5</t>
  </si>
  <si>
    <t>ความยาว 6</t>
  </si>
  <si>
    <t>ความยาว 7</t>
  </si>
  <si>
    <t>ความยาว 8</t>
  </si>
  <si>
    <t>ความยาว 9</t>
  </si>
  <si>
    <t>ความยาว 10</t>
  </si>
  <si>
    <t>ความยาว 11</t>
  </si>
  <si>
    <t>ก้อน</t>
  </si>
  <si>
    <t>เครื่องฝึกกล้ามเนื้อขาที่ใช้ในการทรงตัว ซ้าย/ขวา</t>
  </si>
  <si>
    <t>ครุภัณฑ์อุปกรณ์ออกกำลังกายและสนามเด็กเล่น</t>
  </si>
  <si>
    <t>* ครุภัณฑ์อุปกรณ์ออกกำลังกายและสนามเด็กเล่น รวมค่าติดตั้งและภาษีมูลค่าเพิ่ม 7% แล้ว</t>
  </si>
  <si>
    <t>ค่าก่อสร้าง
(บาท)</t>
  </si>
  <si>
    <t>ค่างานต้นทุน
(บาท)</t>
  </si>
  <si>
    <t>ราคาเฉลี่ยต่อตารางเมตร</t>
  </si>
  <si>
    <t>บาทต่อตารางเมตร</t>
  </si>
  <si>
    <t>พฤษภาคม</t>
  </si>
  <si>
    <t>งานสนามกีฬา</t>
  </si>
  <si>
    <t>สนามฟุตซอล</t>
  </si>
  <si>
    <t>สนามวอลเลย์บอล</t>
  </si>
  <si>
    <t>สนามตะกร้อ</t>
  </si>
  <si>
    <t>สนามกีฬา 1 (สนามฟุตซอล, สนามวอลเลย์บอล, สนามตะกร้อ และลานวางอัฒจันทร์)</t>
  </si>
  <si>
    <t>ลานวางอัฒจันทร์</t>
  </si>
  <si>
    <t xml:space="preserve"> - พื้นขัดเรียบ</t>
  </si>
  <si>
    <t xml:space="preserve"> - รั้วสูง 4.80 ม. สูงจากพื้น 1.80 เมตร</t>
  </si>
  <si>
    <t xml:space="preserve"> - พื้นยางสังเคระห์โพลิยูรีเทน</t>
  </si>
  <si>
    <t>* ชั้นรองพื้น</t>
  </si>
  <si>
    <t>* ชั้นยางสังเคราะห์โพลียูรีเทนผสมเม็ดยางดำ</t>
  </si>
  <si>
    <t>* ชั้นรองชั้นทับหน้ายางสังเคราะห์โพลียูรีเทน</t>
  </si>
  <si>
    <t>* ชั้นทับหน้ายางสังเคราะห์โพลิยูรีเทน</t>
  </si>
  <si>
    <t>* ชั้นทับหน้ายางสังเคราะห์โพลิยูรีเทน ชนิดทนแสงยูวี</t>
  </si>
  <si>
    <t xml:space="preserve"> - ตีเส้นสนามด้วยสีโพลิยูรีเทน</t>
  </si>
  <si>
    <t xml:space="preserve"> - ชั้นรองพื้น</t>
  </si>
  <si>
    <t xml:space="preserve"> - ชั้นทับหน้า</t>
  </si>
  <si>
    <t>สนามกีฬา 2 (สนามเปตอง, ลานวางเครื่องออกกำลังกาย, สนามเด็กเล่น และลานวางอัฒจันทร์)</t>
  </si>
  <si>
    <t xml:space="preserve"> - พื้นที่ปกติ</t>
  </si>
  <si>
    <t>+</t>
  </si>
  <si>
    <t>คอนกรีต (หนา 0.12 เมตร)</t>
  </si>
  <si>
    <t>สนามเปตอง</t>
  </si>
  <si>
    <t>ลานคอนกรีต หนา 15 ซม. + wiremesh 6mm @0.20m# - สนามเปตอง</t>
  </si>
  <si>
    <t>Curb Stone ขนาด 110x200x500 mm.</t>
  </si>
  <si>
    <t xml:space="preserve"> - ดินเดิมบดอัดแน่น</t>
  </si>
  <si>
    <t xml:space="preserve"> - แผ่น Geotextile</t>
  </si>
  <si>
    <t xml:space="preserve"> - หินคลุกบดอัดแน่น 5 ซม.</t>
  </si>
  <si>
    <t xml:space="preserve"> - กรวดหยาบ 7 ซม.</t>
  </si>
  <si>
    <t>ลานวางเครื่องออกกำลังกาย</t>
  </si>
  <si>
    <t>SURFACE JOINT</t>
  </si>
  <si>
    <t xml:space="preserve">          </t>
  </si>
  <si>
    <t xml:space="preserve"> - ชั้นยางสังเคราะห์ผสมเม็ดยางดำ</t>
  </si>
  <si>
    <t>EXPANSION JOINT</t>
  </si>
  <si>
    <t>ค่าตัดรอยต่อและหยอดยาง</t>
  </si>
  <si>
    <t>ราคาน้ำมัน วันที่ 20/6/2567 = 33.11 บาท/ลิตร</t>
  </si>
  <si>
    <t>* รวมโถงทางเข้า</t>
  </si>
  <si>
    <t>งานดินถม (หินคลุก)</t>
  </si>
  <si>
    <t>RB19 dowel bar</t>
  </si>
  <si>
    <t>คอนกรีตส่วนผสม 1 : 2 : 4</t>
  </si>
  <si>
    <t>ปูนซีเมนต์ผสม (มอก.80/2550)</t>
  </si>
  <si>
    <t>จำนวน</t>
  </si>
  <si>
    <t>@</t>
  </si>
  <si>
    <t>บาท/กก.</t>
  </si>
  <si>
    <t>บาท/ลบ.ม.</t>
  </si>
  <si>
    <t>หินเบอร์ 1-2</t>
  </si>
  <si>
    <t>น้ำผสมคอนกรีต</t>
  </si>
  <si>
    <t>รวมคอนกรีต 1 : 3 : 5</t>
  </si>
  <si>
    <t>สถานที่   โรงเรียนหรเทพ (รุ่งเรืองประชาสามัคคี) ตำบลหรเทพ อำเภอบ้านหมอ จังหวัดสระบุรี</t>
  </si>
  <si>
    <t>ฉาบปูนผิวซีเมนต์ขัดมันเรียบ (หนา 1.5 ซม.)</t>
  </si>
  <si>
    <t>ปูนซีเมนต์ผสม (Silica Cement)</t>
  </si>
  <si>
    <t>บาท/ตร.ม.</t>
  </si>
  <si>
    <t>น้ำยาผสมปูนฉาบ</t>
  </si>
  <si>
    <t>ทรายละเอียด</t>
  </si>
  <si>
    <t>น้ำผสมปูน</t>
  </si>
  <si>
    <t>รวมฉาบปูนซีเมนต์ขัดมันเรียบ (หนา 1.5 ซม.)</t>
  </si>
  <si>
    <t>พื้นที่</t>
  </si>
  <si>
    <t>ปูนทรายพื้นผิวซีเมนต์ขัดมัน (หนา 4 ซม.)</t>
  </si>
  <si>
    <t>รวมปูนทรายรองพื้นผิวซีเมนต์ขัดมัน</t>
  </si>
  <si>
    <t>งานทาสี สีน้ำอะคริลิค 100% ชนิดทาภายใน (ปูนใหม่) เกรดที่ 1 (ประเภทกึ่งเงา)</t>
  </si>
  <si>
    <t>GL.</t>
  </si>
  <si>
    <t>บาท/GL.</t>
  </si>
  <si>
    <t>รวมวัสดุทาสีภายใน (ปูนใหม่)</t>
  </si>
  <si>
    <t>สีทารองพื้นกันสนิม 2 เที่ยว</t>
  </si>
  <si>
    <t>สีทาทับหน้า 2 เที่ยว</t>
  </si>
  <si>
    <t>น้ำมันสน</t>
  </si>
  <si>
    <t>Wiremesh ขนาด 4.00 มม. ขนาดตาราง 0.20x0.20 เมตร</t>
  </si>
  <si>
    <t>งานพื้นสนามเด็กเล่น</t>
  </si>
  <si>
    <t>งานพื้นสนามวอลเลย์บอลและสนามตะกร้อ</t>
  </si>
  <si>
    <t xml:space="preserve"> - พื้นยางสังเคราะห์โพลียูรีเทนผสมเม็ดยางดำ หนา 7 มม.</t>
  </si>
  <si>
    <t xml:space="preserve"> - ชั้นหน้ายางสังเคราะห์โพลียูรีเทน หนา 1.5 มม.</t>
  </si>
  <si>
    <t xml:space="preserve"> - ชั้นยางสังเคราะห์โพลียูรีเทนผสมเม็ดยางละเอียด หนา 1 มม.</t>
  </si>
  <si>
    <t xml:space="preserve"> - ชั้นยางสังเคราะห์โพลียูรีเทน ชนิดทนแสงยูวี หนา 0.3 มม.</t>
  </si>
  <si>
    <t>คณะกรรมการกำหนดราคากลาง</t>
  </si>
  <si>
    <t>ลงชื่อ</t>
  </si>
  <si>
    <t>ประธานกรรมการ</t>
  </si>
  <si>
    <t>(นายจิรพล บุญลือ)</t>
  </si>
  <si>
    <t>หัวหน้าฝ่ายสาธารณูปโภค</t>
  </si>
  <si>
    <t>กรรมการ</t>
  </si>
  <si>
    <t>(นายมารุต ชาวสวน)</t>
  </si>
  <si>
    <t>(นายสนธยา สนนอก)</t>
  </si>
  <si>
    <t>นักพัฒนาการกีฬาปฏิบัติการ</t>
  </si>
  <si>
    <t>(นายภูริทัต กิจเกตุ)</t>
  </si>
  <si>
    <t>นายช่างโยธาชำนาญงาน</t>
  </si>
  <si>
    <t>แบบสรุปราคากลางงานก่อสร้างสนามกีฬาชุมชน</t>
  </si>
  <si>
    <t>โครงการ   ก่อสร้างสนามกีฬาชุมชน จำนวน 2 แห่ง</t>
  </si>
  <si>
    <t>สถานที่   ภายในโรงเรียนหรเทพ (รุ่งเรืองประชาสามัคคี) ตำบลหรเทพ อำเภอบ้านหมอ จังหวัดสระบุรี</t>
  </si>
  <si>
    <t>ค่าพาหนะไป-กลับของคนงาน</t>
  </si>
  <si>
    <t>ค่าขนส่งวัดุก่อสร้าง</t>
  </si>
  <si>
    <t>เที่ยว</t>
  </si>
  <si>
    <t>การคำนวณหาค่า Factor F</t>
  </si>
  <si>
    <t>A</t>
  </si>
  <si>
    <t>B</t>
  </si>
  <si>
    <t>C</t>
  </si>
  <si>
    <t>D</t>
  </si>
  <si>
    <t>E</t>
  </si>
  <si>
    <t>ค่าวัสดุและแรงงานต้นทุน</t>
  </si>
  <si>
    <t>ค่างานที่ต่ำกว่าต้นทุน</t>
  </si>
  <si>
    <t>ค่างานที่สูงกว่าต้นทุน</t>
  </si>
  <si>
    <t>Factor ของค่างานที่ต่ำกว่าต้นทุน</t>
  </si>
  <si>
    <t>Factor ของค่างานที่สูงกว่าต้นทุน</t>
  </si>
  <si>
    <t>มูลค่าก่อสร้าง</t>
  </si>
  <si>
    <t>รวมงานฐานรากรับรั้วเหล็ก</t>
  </si>
  <si>
    <t>งานดินถมปรับพื้นที่ (ถมเฉลี่ย สูง 0.50 เมตร)</t>
  </si>
  <si>
    <t>1.2.7</t>
  </si>
  <si>
    <t>งานเบ็ดเตล็ด</t>
  </si>
  <si>
    <t>ป้ายโครงการ</t>
  </si>
  <si>
    <t>รวมงานเบ็ดเตล็ด</t>
  </si>
  <si>
    <t>ตามคำสั่งองค์การบริหารส่วนจังหวัดสระบุรี ที่ 926/2567 ลงวันที่ 22 เมษายน พ.ศ. 2567</t>
  </si>
  <si>
    <t>เรื่อง ขออนุมัติกำหนดราคากลางงานก่อสร้าง</t>
  </si>
  <si>
    <t>คณะกรรมการกำหนดราคากลางเมื่อ วันที่ 16 สิงหาคม 2567</t>
  </si>
  <si>
    <t>เปตองโลหะสำหรับเยาวชน น้ำหนัก 680 กรัม เส้นผ่านศูนย์ 71 มม.</t>
  </si>
  <si>
    <t>เปตองโลหะสำหรับเยาวชน น้ำหนัก 680 กรัม เส้นผ่านศูนย์ 72 มม.</t>
  </si>
  <si>
    <t>เปตองโลหะสำหรับผู้ใหญ่ น้ำหนัก 680 กรัม เส้นผ่านศูนย์ 73 มม.</t>
  </si>
  <si>
    <t>กระดานแสดงผลการแข่งขันเปตอง</t>
  </si>
  <si>
    <t>ชุดเครื่องเล่นสนามเด็กเล็ก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</si>
</sst>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3" formatCode="_-* #,##0.00_-;\-* #,##0.00_-;_-* &quot;-&quot;??_-;_-@_-"/>
    <numFmt numFmtId="187" formatCode="_(* #,##0.0000_);_(* \(#,##0.0000\);_(* &quot;-&quot;??_);_(@_)"/>
    <numFmt numFmtId="188" formatCode="\(@\)"/>
    <numFmt numFmtId="189" formatCode="_(* #,##0.00_);_(* \(#,##0.00\);_(* &quot;-&quot;??_);_(@_)"/>
    <numFmt numFmtId="190" formatCode="_(* #,##0_);_(* \(#,##0\);_(* &quot;-&quot;??_);_(@_)"/>
    <numFmt numFmtId="191" formatCode="0.000"/>
    <numFmt numFmtId="192" formatCode="_-* #,##0.000_-;\-* #,##0.000_-;_-* &quot;-&quot;??_-;_-@_-"/>
    <numFmt numFmtId="193" formatCode="_-* #,##0.0000_-;\-* #,##0.0000_-;_-* &quot;-&quot;??_-;_-@_-"/>
  </numFmts>
  <fonts count="11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name val="Cordia New"/>
      <family val="2"/>
    </font>
    <font>
      <sz val="14"/>
      <color indexed="8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8"/>
      <name val="Tahoma"/>
      <family val="2"/>
      <charset val="222"/>
      <scheme val="minor"/>
    </font>
    <font>
      <b/>
      <sz val="14"/>
      <color rgb="FFFF0000"/>
      <name val="TH SarabunPSK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18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84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9" fontId="4" fillId="0" borderId="6" xfId="0" applyNumberFormat="1" applyFont="1" applyBorder="1" applyAlignment="1">
      <alignment horizontal="center" vertical="center"/>
    </xf>
    <xf numFmtId="0" fontId="4" fillId="0" borderId="5" xfId="0" quotePrefix="1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0" fontId="4" fillId="0" borderId="6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3" fontId="4" fillId="0" borderId="0" xfId="1" applyFont="1" applyBorder="1" applyAlignment="1" applyProtection="1">
      <alignment vertical="center"/>
    </xf>
    <xf numFmtId="43" fontId="4" fillId="0" borderId="7" xfId="1" applyFont="1" applyBorder="1" applyAlignment="1" applyProtection="1">
      <alignment vertical="center"/>
    </xf>
    <xf numFmtId="0" fontId="4" fillId="0" borderId="9" xfId="0" applyFont="1" applyBorder="1" applyAlignment="1">
      <alignment vertical="center"/>
    </xf>
    <xf numFmtId="43" fontId="2" fillId="0" borderId="10" xfId="1" applyFont="1" applyBorder="1" applyAlignment="1" applyProtection="1">
      <alignment vertical="center"/>
    </xf>
    <xf numFmtId="0" fontId="4" fillId="0" borderId="6" xfId="0" applyFont="1" applyBorder="1" applyAlignment="1">
      <alignment vertical="center"/>
    </xf>
    <xf numFmtId="188" fontId="4" fillId="0" borderId="8" xfId="0" applyNumberFormat="1" applyFont="1" applyBorder="1" applyAlignment="1">
      <alignment vertical="center"/>
    </xf>
    <xf numFmtId="43" fontId="4" fillId="0" borderId="11" xfId="1" applyFont="1" applyBorder="1" applyAlignment="1" applyProtection="1">
      <alignment vertical="center"/>
    </xf>
    <xf numFmtId="43" fontId="4" fillId="0" borderId="0" xfId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3" fontId="3" fillId="0" borderId="0" xfId="0" applyNumberFormat="1" applyFont="1" applyAlignment="1">
      <alignment vertical="center"/>
    </xf>
    <xf numFmtId="0" fontId="4" fillId="0" borderId="0" xfId="0" applyFont="1" applyAlignment="1">
      <alignment horizontal="left" vertical="center"/>
    </xf>
    <xf numFmtId="0" fontId="4" fillId="0" borderId="0" xfId="0" quotePrefix="1" applyFont="1" applyAlignment="1">
      <alignment horizontal="left" vertical="center"/>
    </xf>
    <xf numFmtId="0" fontId="7" fillId="0" borderId="12" xfId="2" applyFont="1" applyBorder="1" applyAlignment="1">
      <alignment horizontal="center" vertical="center"/>
    </xf>
    <xf numFmtId="190" fontId="7" fillId="0" borderId="12" xfId="4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0" fontId="3" fillId="0" borderId="14" xfId="2" applyFont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0" fontId="7" fillId="0" borderId="14" xfId="2" applyFont="1" applyBorder="1" applyAlignment="1">
      <alignment horizontal="left" vertical="center"/>
    </xf>
    <xf numFmtId="49" fontId="3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3" fontId="3" fillId="0" borderId="13" xfId="1" applyFont="1" applyBorder="1" applyAlignment="1">
      <alignment vertical="center"/>
    </xf>
    <xf numFmtId="43" fontId="3" fillId="0" borderId="14" xfId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43" fontId="7" fillId="0" borderId="14" xfId="1" applyFont="1" applyBorder="1" applyAlignment="1">
      <alignment vertical="center"/>
    </xf>
    <xf numFmtId="2" fontId="7" fillId="0" borderId="14" xfId="0" applyNumberFormat="1" applyFont="1" applyBorder="1" applyAlignment="1">
      <alignment vertical="center"/>
    </xf>
    <xf numFmtId="43" fontId="3" fillId="0" borderId="14" xfId="1" applyFont="1" applyBorder="1" applyAlignment="1">
      <alignment horizontal="center" vertical="center"/>
    </xf>
    <xf numFmtId="43" fontId="7" fillId="0" borderId="14" xfId="1" applyFont="1" applyBorder="1" applyAlignment="1">
      <alignment horizontal="center" vertical="center"/>
    </xf>
    <xf numFmtId="43" fontId="3" fillId="0" borderId="14" xfId="1" applyFont="1" applyBorder="1" applyAlignment="1">
      <alignment horizontal="center"/>
    </xf>
    <xf numFmtId="43" fontId="3" fillId="0" borderId="14" xfId="1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7" fillId="2" borderId="14" xfId="2" applyFont="1" applyFill="1" applyBorder="1" applyAlignment="1">
      <alignment horizontal="left" vertical="center"/>
    </xf>
    <xf numFmtId="43" fontId="3" fillId="2" borderId="14" xfId="1" applyFont="1" applyFill="1" applyBorder="1" applyAlignment="1">
      <alignment vertical="center"/>
    </xf>
    <xf numFmtId="43" fontId="3" fillId="2" borderId="14" xfId="1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left" vertical="center"/>
    </xf>
    <xf numFmtId="0" fontId="7" fillId="2" borderId="14" xfId="0" applyFont="1" applyFill="1" applyBorder="1" applyAlignment="1">
      <alignment vertical="center"/>
    </xf>
    <xf numFmtId="43" fontId="7" fillId="2" borderId="14" xfId="1" applyFont="1" applyFill="1" applyBorder="1" applyAlignment="1">
      <alignment vertical="center"/>
    </xf>
    <xf numFmtId="43" fontId="7" fillId="2" borderId="14" xfId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5" xfId="2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3" fontId="7" fillId="0" borderId="15" xfId="1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3" fillId="0" borderId="17" xfId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43" fontId="7" fillId="0" borderId="16" xfId="1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43" fontId="7" fillId="0" borderId="12" xfId="1" applyFont="1" applyBorder="1" applyAlignment="1">
      <alignment vertical="center"/>
    </xf>
    <xf numFmtId="43" fontId="7" fillId="0" borderId="12" xfId="1" applyFont="1" applyBorder="1" applyAlignment="1">
      <alignment horizontal="center" vertical="center"/>
    </xf>
    <xf numFmtId="0" fontId="3" fillId="0" borderId="17" xfId="2" applyFont="1" applyBorder="1" applyAlignment="1">
      <alignment horizontal="left" vertical="center"/>
    </xf>
    <xf numFmtId="2" fontId="3" fillId="0" borderId="17" xfId="0" applyNumberFormat="1" applyFont="1" applyBorder="1" applyAlignment="1">
      <alignment vertical="center"/>
    </xf>
    <xf numFmtId="0" fontId="7" fillId="0" borderId="16" xfId="2" applyFont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2" fontId="7" fillId="0" borderId="1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43" fontId="7" fillId="0" borderId="10" xfId="1" applyFont="1" applyBorder="1" applyAlignment="1">
      <alignment vertical="center"/>
    </xf>
    <xf numFmtId="43" fontId="7" fillId="0" borderId="10" xfId="1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49" fontId="3" fillId="0" borderId="17" xfId="0" applyNumberFormat="1" applyFont="1" applyBorder="1" applyAlignment="1">
      <alignment vertical="center"/>
    </xf>
    <xf numFmtId="43" fontId="7" fillId="0" borderId="14" xfId="1" applyFont="1" applyBorder="1" applyAlignment="1">
      <alignment horizontal="center"/>
    </xf>
    <xf numFmtId="43" fontId="7" fillId="0" borderId="14" xfId="1" applyFont="1" applyFill="1" applyBorder="1" applyAlignment="1">
      <alignment vertical="center"/>
    </xf>
    <xf numFmtId="43" fontId="7" fillId="0" borderId="14" xfId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43" fontId="3" fillId="0" borderId="15" xfId="1" applyFont="1" applyBorder="1" applyAlignment="1">
      <alignment vertical="center"/>
    </xf>
    <xf numFmtId="43" fontId="3" fillId="0" borderId="0" xfId="1" applyFont="1" applyAlignment="1">
      <alignment vertical="center"/>
    </xf>
    <xf numFmtId="43" fontId="4" fillId="0" borderId="14" xfId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43" fontId="7" fillId="0" borderId="13" xfId="1" applyFont="1" applyBorder="1" applyAlignment="1">
      <alignment vertical="center"/>
    </xf>
    <xf numFmtId="43" fontId="7" fillId="0" borderId="13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/>
    </xf>
    <xf numFmtId="43" fontId="4" fillId="0" borderId="14" xfId="1" applyFont="1" applyFill="1" applyBorder="1" applyAlignment="1">
      <alignment vertical="center"/>
    </xf>
    <xf numFmtId="43" fontId="4" fillId="0" borderId="14" xfId="1" applyFont="1" applyFill="1" applyBorder="1" applyAlignment="1">
      <alignment horizontal="center" vertical="center"/>
    </xf>
    <xf numFmtId="43" fontId="4" fillId="0" borderId="17" xfId="1" applyFont="1" applyBorder="1" applyAlignment="1">
      <alignment vertical="center"/>
    </xf>
    <xf numFmtId="43" fontId="8" fillId="0" borderId="0" xfId="1" applyFont="1" applyAlignment="1">
      <alignment vertical="center"/>
    </xf>
    <xf numFmtId="43" fontId="8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7" fillId="0" borderId="1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2" applyFont="1" applyBorder="1" applyAlignment="1">
      <alignment vertical="center"/>
    </xf>
    <xf numFmtId="0" fontId="3" fillId="0" borderId="17" xfId="2" applyFont="1" applyBorder="1" applyAlignment="1">
      <alignment vertical="center"/>
    </xf>
    <xf numFmtId="0" fontId="3" fillId="0" borderId="14" xfId="2" applyFont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7" fillId="0" borderId="13" xfId="2" quotePrefix="1" applyFont="1" applyBorder="1" applyAlignment="1">
      <alignment vertical="center"/>
    </xf>
    <xf numFmtId="0" fontId="7" fillId="0" borderId="16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7" fillId="0" borderId="13" xfId="2" applyFont="1" applyBorder="1" applyAlignment="1">
      <alignment horizontal="center" vertical="center"/>
    </xf>
    <xf numFmtId="190" fontId="7" fillId="0" borderId="13" xfId="4" applyNumberFormat="1" applyFont="1" applyFill="1" applyBorder="1" applyAlignment="1">
      <alignment horizontal="center" vertical="center"/>
    </xf>
    <xf numFmtId="43" fontId="7" fillId="0" borderId="13" xfId="1" applyFont="1" applyFill="1" applyBorder="1" applyAlignment="1">
      <alignment horizontal="center" vertical="center"/>
    </xf>
    <xf numFmtId="0" fontId="7" fillId="0" borderId="13" xfId="2" applyFont="1" applyBorder="1" applyAlignment="1">
      <alignment horizontal="left" vertical="center"/>
    </xf>
    <xf numFmtId="2" fontId="3" fillId="0" borderId="0" xfId="0" applyNumberFormat="1" applyFont="1" applyAlignment="1">
      <alignment horizontal="center" vertical="center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43" fontId="4" fillId="0" borderId="0" xfId="1" applyFont="1" applyAlignment="1" applyProtection="1">
      <alignment vertical="center"/>
      <protection hidden="1"/>
    </xf>
    <xf numFmtId="43" fontId="4" fillId="0" borderId="0" xfId="1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191" fontId="4" fillId="0" borderId="12" xfId="0" applyNumberFormat="1" applyFont="1" applyBorder="1" applyAlignment="1" applyProtection="1">
      <alignment horizontal="center" vertical="center"/>
      <protection hidden="1"/>
    </xf>
    <xf numFmtId="192" fontId="4" fillId="0" borderId="0" xfId="1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3" fontId="4" fillId="0" borderId="0" xfId="0" applyNumberFormat="1" applyFont="1" applyAlignment="1" applyProtection="1">
      <alignment vertical="center"/>
      <protection hidden="1"/>
    </xf>
    <xf numFmtId="43" fontId="4" fillId="0" borderId="12" xfId="0" applyNumberFormat="1" applyFont="1" applyBorder="1" applyAlignment="1" applyProtection="1">
      <alignment vertical="center"/>
      <protection hidden="1"/>
    </xf>
    <xf numFmtId="192" fontId="4" fillId="0" borderId="0" xfId="0" applyNumberFormat="1" applyFont="1" applyAlignment="1" applyProtection="1">
      <alignment vertical="center"/>
      <protection hidden="1"/>
    </xf>
    <xf numFmtId="191" fontId="4" fillId="0" borderId="12" xfId="0" applyNumberFormat="1" applyFont="1" applyBorder="1" applyAlignment="1" applyProtection="1">
      <alignment vertical="center"/>
      <protection hidden="1"/>
    </xf>
    <xf numFmtId="192" fontId="4" fillId="0" borderId="0" xfId="0" applyNumberFormat="1" applyFont="1" applyAlignment="1">
      <alignment vertical="center"/>
    </xf>
    <xf numFmtId="191" fontId="8" fillId="0" borderId="12" xfId="0" applyNumberFormat="1" applyFont="1" applyBorder="1" applyAlignment="1" applyProtection="1">
      <alignment vertical="center"/>
      <protection hidden="1"/>
    </xf>
    <xf numFmtId="191" fontId="4" fillId="0" borderId="0" xfId="0" applyNumberFormat="1" applyFont="1" applyAlignment="1" applyProtection="1">
      <alignment vertical="center"/>
      <protection hidden="1"/>
    </xf>
    <xf numFmtId="43" fontId="4" fillId="0" borderId="12" xfId="1" applyFont="1" applyBorder="1" applyAlignment="1" applyProtection="1">
      <alignment vertical="center"/>
      <protection hidden="1"/>
    </xf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43" fontId="4" fillId="0" borderId="0" xfId="1" applyFont="1" applyProtection="1">
      <protection hidden="1"/>
    </xf>
    <xf numFmtId="43" fontId="4" fillId="0" borderId="0" xfId="1" applyFont="1" applyAlignment="1" applyProtection="1">
      <alignment horizontal="left"/>
      <protection hidden="1"/>
    </xf>
    <xf numFmtId="192" fontId="4" fillId="0" borderId="12" xfId="1" applyNumberFormat="1" applyFont="1" applyFill="1" applyBorder="1" applyAlignment="1" applyProtection="1">
      <alignment horizontal="center"/>
      <protection hidden="1"/>
    </xf>
    <xf numFmtId="192" fontId="4" fillId="0" borderId="0" xfId="1" applyNumberFormat="1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43" fontId="4" fillId="0" borderId="0" xfId="0" applyNumberFormat="1" applyFont="1" applyProtection="1">
      <protection hidden="1"/>
    </xf>
    <xf numFmtId="43" fontId="4" fillId="0" borderId="12" xfId="0" applyNumberFormat="1" applyFont="1" applyBorder="1" applyAlignment="1" applyProtection="1">
      <alignment horizontal="center"/>
      <protection hidden="1"/>
    </xf>
    <xf numFmtId="192" fontId="4" fillId="0" borderId="0" xfId="0" applyNumberFormat="1" applyFont="1" applyProtection="1">
      <protection hidden="1"/>
    </xf>
    <xf numFmtId="0" fontId="4" fillId="0" borderId="12" xfId="0" applyFont="1" applyBorder="1" applyProtection="1">
      <protection hidden="1"/>
    </xf>
    <xf numFmtId="191" fontId="4" fillId="0" borderId="12" xfId="0" applyNumberFormat="1" applyFont="1" applyBorder="1" applyProtection="1">
      <protection hidden="1"/>
    </xf>
    <xf numFmtId="191" fontId="4" fillId="0" borderId="0" xfId="0" applyNumberFormat="1" applyFont="1" applyProtection="1">
      <protection hidden="1"/>
    </xf>
    <xf numFmtId="192" fontId="4" fillId="0" borderId="0" xfId="1" applyNumberFormat="1" applyFont="1" applyAlignment="1" applyProtection="1">
      <protection hidden="1"/>
    </xf>
    <xf numFmtId="43" fontId="4" fillId="0" borderId="12" xfId="1" applyFont="1" applyBorder="1" applyProtection="1">
      <protection hidden="1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43" fontId="3" fillId="0" borderId="16" xfId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43" fontId="3" fillId="0" borderId="19" xfId="1" applyFont="1" applyBorder="1" applyAlignment="1">
      <alignment vertical="center"/>
    </xf>
    <xf numFmtId="43" fontId="3" fillId="0" borderId="16" xfId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43" fontId="3" fillId="0" borderId="15" xfId="1" applyFont="1" applyBorder="1" applyAlignment="1">
      <alignment horizontal="center" vertical="center"/>
    </xf>
    <xf numFmtId="43" fontId="7" fillId="0" borderId="16" xfId="1" applyFont="1" applyBorder="1" applyAlignment="1">
      <alignment horizontal="center" vertical="center"/>
    </xf>
    <xf numFmtId="43" fontId="3" fillId="0" borderId="0" xfId="1" applyFont="1" applyAlignment="1">
      <alignment horizontal="center" vertical="center"/>
    </xf>
    <xf numFmtId="43" fontId="4" fillId="0" borderId="0" xfId="1" applyFont="1" applyAlignment="1">
      <alignment vertical="center"/>
    </xf>
    <xf numFmtId="43" fontId="4" fillId="0" borderId="0" xfId="1" applyFont="1" applyAlignment="1">
      <alignment horizontal="left" vertical="center"/>
    </xf>
    <xf numFmtId="43" fontId="3" fillId="3" borderId="0" xfId="1" applyFont="1" applyFill="1" applyAlignment="1">
      <alignment vertical="center"/>
    </xf>
    <xf numFmtId="43" fontId="3" fillId="0" borderId="0" xfId="1" applyFont="1" applyFill="1" applyAlignment="1">
      <alignment vertical="center"/>
    </xf>
    <xf numFmtId="43" fontId="3" fillId="0" borderId="0" xfId="1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43" fontId="2" fillId="0" borderId="0" xfId="1" applyFont="1" applyBorder="1" applyAlignment="1" applyProtection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43" fontId="4" fillId="0" borderId="20" xfId="1" applyFont="1" applyBorder="1" applyAlignment="1" applyProtection="1">
      <alignment vertical="center"/>
    </xf>
    <xf numFmtId="43" fontId="6" fillId="0" borderId="19" xfId="1" applyFont="1" applyBorder="1" applyAlignment="1" applyProtection="1">
      <alignment vertical="center"/>
    </xf>
    <xf numFmtId="43" fontId="4" fillId="0" borderId="19" xfId="1" applyFont="1" applyBorder="1" applyAlignment="1" applyProtection="1">
      <alignment vertical="center"/>
    </xf>
    <xf numFmtId="43" fontId="4" fillId="0" borderId="21" xfId="1" quotePrefix="1" applyFont="1" applyBorder="1" applyAlignment="1" applyProtection="1">
      <alignment horizontal="center" vertical="center"/>
    </xf>
    <xf numFmtId="187" fontId="6" fillId="0" borderId="6" xfId="1" applyNumberFormat="1" applyFont="1" applyBorder="1" applyAlignment="1" applyProtection="1">
      <alignment horizontal="center" vertical="center"/>
    </xf>
    <xf numFmtId="43" fontId="4" fillId="0" borderId="9" xfId="1" quotePrefix="1" applyFont="1" applyBorder="1" applyAlignment="1" applyProtection="1">
      <alignment horizontal="center" vertical="center"/>
    </xf>
    <xf numFmtId="0" fontId="4" fillId="0" borderId="12" xfId="0" applyFont="1" applyBorder="1" applyAlignment="1">
      <alignment horizontal="center" vertical="center" wrapText="1"/>
    </xf>
    <xf numFmtId="43" fontId="4" fillId="0" borderId="21" xfId="1" applyFont="1" applyBorder="1" applyAlignment="1" applyProtection="1">
      <alignment vertical="center"/>
    </xf>
    <xf numFmtId="187" fontId="4" fillId="0" borderId="18" xfId="1" applyNumberFormat="1" applyFont="1" applyBorder="1" applyAlignment="1" applyProtection="1">
      <alignment horizontal="center" vertical="center"/>
    </xf>
    <xf numFmtId="187" fontId="6" fillId="0" borderId="6" xfId="1" quotePrefix="1" applyNumberFormat="1" applyFont="1" applyBorder="1" applyAlignment="1" applyProtection="1">
      <alignment horizontal="center" vertical="center"/>
    </xf>
    <xf numFmtId="187" fontId="4" fillId="0" borderId="6" xfId="1" applyNumberFormat="1" applyFont="1" applyBorder="1" applyAlignment="1" applyProtection="1">
      <alignment horizontal="center" vertical="center"/>
    </xf>
    <xf numFmtId="0" fontId="4" fillId="0" borderId="0" xfId="1" applyNumberFormat="1" applyFont="1" applyBorder="1" applyAlignment="1" applyProtection="1">
      <alignment vertical="center"/>
    </xf>
    <xf numFmtId="43" fontId="4" fillId="0" borderId="0" xfId="1" applyFont="1" applyAlignment="1">
      <alignment horizontal="center" vertical="center"/>
    </xf>
    <xf numFmtId="43" fontId="4" fillId="0" borderId="0" xfId="1" applyFont="1" applyAlignment="1" applyProtection="1">
      <alignment horizontal="left" vertical="center"/>
      <protection locked="0"/>
    </xf>
    <xf numFmtId="43" fontId="4" fillId="0" borderId="0" xfId="1" quotePrefix="1" applyFont="1" applyAlignment="1">
      <alignment horizontal="left" vertical="center"/>
    </xf>
    <xf numFmtId="43" fontId="3" fillId="2" borderId="0" xfId="1" applyFont="1" applyFill="1" applyAlignment="1">
      <alignment vertical="center"/>
    </xf>
    <xf numFmtId="0" fontId="4" fillId="0" borderId="0" xfId="0" applyFont="1"/>
    <xf numFmtId="192" fontId="4" fillId="0" borderId="12" xfId="0" applyNumberFormat="1" applyFont="1" applyBorder="1" applyProtection="1">
      <protection hidden="1"/>
    </xf>
    <xf numFmtId="192" fontId="4" fillId="0" borderId="0" xfId="0" applyNumberFormat="1" applyFont="1"/>
    <xf numFmtId="192" fontId="4" fillId="0" borderId="12" xfId="0" applyNumberFormat="1" applyFont="1" applyBorder="1"/>
    <xf numFmtId="43" fontId="8" fillId="0" borderId="0" xfId="1" applyFont="1" applyAlignment="1" applyProtection="1">
      <alignment horizontal="left" vertical="center"/>
      <protection hidden="1"/>
    </xf>
    <xf numFmtId="0" fontId="8" fillId="0" borderId="0" xfId="0" applyFont="1" applyAlignment="1" applyProtection="1">
      <alignment horizontal="right"/>
      <protection hidden="1"/>
    </xf>
    <xf numFmtId="2" fontId="4" fillId="0" borderId="14" xfId="0" applyNumberFormat="1" applyFont="1" applyBorder="1" applyAlignment="1">
      <alignment vertical="center"/>
    </xf>
    <xf numFmtId="192" fontId="4" fillId="0" borderId="0" xfId="1" applyNumberFormat="1" applyFont="1" applyFill="1" applyBorder="1" applyAlignment="1" applyProtection="1">
      <alignment horizontal="center"/>
      <protection hidden="1"/>
    </xf>
    <xf numFmtId="43" fontId="3" fillId="0" borderId="17" xfId="1" applyFont="1" applyFill="1" applyBorder="1" applyAlignment="1">
      <alignment vertical="center"/>
    </xf>
    <xf numFmtId="43" fontId="7" fillId="0" borderId="12" xfId="1" applyFont="1" applyFill="1" applyBorder="1" applyAlignment="1">
      <alignment vertical="center"/>
    </xf>
    <xf numFmtId="43" fontId="7" fillId="0" borderId="13" xfId="1" applyFont="1" applyFill="1" applyBorder="1" applyAlignment="1">
      <alignment vertical="center"/>
    </xf>
    <xf numFmtId="43" fontId="3" fillId="0" borderId="16" xfId="1" applyFont="1" applyFill="1" applyBorder="1" applyAlignment="1">
      <alignment vertical="center"/>
    </xf>
    <xf numFmtId="43" fontId="3" fillId="0" borderId="19" xfId="1" applyFont="1" applyFill="1" applyBorder="1" applyAlignment="1">
      <alignment vertical="center"/>
    </xf>
    <xf numFmtId="43" fontId="7" fillId="0" borderId="10" xfId="1" applyFont="1" applyFill="1" applyBorder="1" applyAlignment="1">
      <alignment vertical="center"/>
    </xf>
    <xf numFmtId="43" fontId="7" fillId="0" borderId="16" xfId="1" applyFont="1" applyFill="1" applyBorder="1" applyAlignment="1">
      <alignment vertical="center"/>
    </xf>
    <xf numFmtId="0" fontId="4" fillId="0" borderId="0" xfId="1" applyNumberFormat="1" applyFont="1"/>
    <xf numFmtId="43" fontId="4" fillId="0" borderId="0" xfId="1" applyFont="1"/>
    <xf numFmtId="43" fontId="4" fillId="2" borderId="12" xfId="1" applyFont="1" applyFill="1" applyBorder="1"/>
    <xf numFmtId="43" fontId="4" fillId="0" borderId="12" xfId="1" applyFont="1" applyBorder="1"/>
    <xf numFmtId="193" fontId="4" fillId="0" borderId="12" xfId="1" applyNumberFormat="1" applyFont="1" applyFill="1" applyBorder="1"/>
    <xf numFmtId="43" fontId="2" fillId="3" borderId="10" xfId="1" applyFont="1" applyFill="1" applyBorder="1"/>
    <xf numFmtId="43" fontId="10" fillId="0" borderId="12" xfId="1" applyFont="1" applyBorder="1" applyAlignment="1">
      <alignment vertical="center"/>
    </xf>
    <xf numFmtId="43" fontId="10" fillId="0" borderId="14" xfId="1" applyFont="1" applyFill="1" applyBorder="1" applyAlignment="1">
      <alignment vertical="center"/>
    </xf>
    <xf numFmtId="43" fontId="8" fillId="0" borderId="14" xfId="1" applyFont="1" applyFill="1" applyBorder="1" applyAlignment="1">
      <alignment vertical="center"/>
    </xf>
    <xf numFmtId="43" fontId="10" fillId="0" borderId="13" xfId="1" applyFont="1" applyBorder="1" applyAlignment="1">
      <alignment vertical="center"/>
    </xf>
    <xf numFmtId="43" fontId="10" fillId="0" borderId="14" xfId="1" applyFont="1" applyBorder="1" applyAlignment="1">
      <alignment vertical="center"/>
    </xf>
    <xf numFmtId="193" fontId="3" fillId="0" borderId="0" xfId="1" applyNumberFormat="1" applyFont="1" applyAlignment="1">
      <alignment vertical="center"/>
    </xf>
    <xf numFmtId="193" fontId="3" fillId="0" borderId="0" xfId="1" applyNumberFormat="1" applyFont="1" applyFill="1" applyAlignment="1">
      <alignment horizontal="center" vertical="center"/>
    </xf>
    <xf numFmtId="193" fontId="3" fillId="0" borderId="0" xfId="1" applyNumberFormat="1" applyFont="1" applyAlignment="1">
      <alignment horizontal="center" vertical="center"/>
    </xf>
    <xf numFmtId="193" fontId="3" fillId="0" borderId="0" xfId="0" applyNumberFormat="1" applyFont="1" applyAlignment="1">
      <alignment horizontal="center" vertical="center"/>
    </xf>
    <xf numFmtId="193" fontId="3" fillId="0" borderId="0" xfId="0" applyNumberFormat="1" applyFont="1" applyAlignment="1">
      <alignment vertical="center"/>
    </xf>
    <xf numFmtId="193" fontId="4" fillId="0" borderId="0" xfId="1" applyNumberFormat="1" applyFont="1" applyAlignment="1" applyProtection="1">
      <alignment horizontal="left" vertical="center"/>
      <protection hidden="1"/>
    </xf>
    <xf numFmtId="193" fontId="4" fillId="0" borderId="0" xfId="0" applyNumberFormat="1" applyFont="1" applyAlignment="1" applyProtection="1">
      <alignment horizontal="left" vertical="center"/>
      <protection hidden="1"/>
    </xf>
    <xf numFmtId="193" fontId="4" fillId="0" borderId="0" xfId="0" applyNumberFormat="1" applyFont="1" applyAlignment="1" applyProtection="1">
      <alignment vertical="center"/>
      <protection hidden="1"/>
    </xf>
    <xf numFmtId="193" fontId="4" fillId="0" borderId="0" xfId="1" applyNumberFormat="1" applyFont="1" applyAlignment="1" applyProtection="1">
      <alignment horizontal="left"/>
      <protection hidden="1"/>
    </xf>
    <xf numFmtId="193" fontId="4" fillId="0" borderId="0" xfId="0" applyNumberFormat="1" applyFont="1" applyAlignment="1" applyProtection="1">
      <alignment horizontal="left"/>
      <protection hidden="1"/>
    </xf>
    <xf numFmtId="193" fontId="4" fillId="0" borderId="0" xfId="0" applyNumberFormat="1" applyFont="1" applyProtection="1">
      <protection hidden="1"/>
    </xf>
    <xf numFmtId="43" fontId="2" fillId="0" borderId="14" xfId="1" applyFont="1" applyBorder="1" applyAlignment="1">
      <alignment vertical="center"/>
    </xf>
    <xf numFmtId="0" fontId="3" fillId="0" borderId="0" xfId="1" applyNumberFormat="1" applyFont="1" applyAlignment="1">
      <alignment vertical="center"/>
    </xf>
    <xf numFmtId="0" fontId="3" fillId="0" borderId="0" xfId="1" applyNumberFormat="1" applyFont="1" applyAlignment="1">
      <alignment horizontal="left" vertical="center"/>
    </xf>
    <xf numFmtId="0" fontId="3" fillId="0" borderId="0" xfId="1" applyNumberFormat="1" applyFont="1" applyAlignment="1">
      <alignment horizontal="center" vertical="center"/>
    </xf>
    <xf numFmtId="43" fontId="3" fillId="2" borderId="12" xfId="1" applyFont="1" applyFill="1" applyBorder="1" applyAlignment="1">
      <alignment vertical="center"/>
    </xf>
    <xf numFmtId="43" fontId="3" fillId="0" borderId="12" xfId="1" applyFont="1" applyBorder="1" applyAlignment="1">
      <alignment vertical="center"/>
    </xf>
    <xf numFmtId="193" fontId="3" fillId="0" borderId="12" xfId="1" applyNumberFormat="1" applyFont="1" applyFill="1" applyBorder="1" applyAlignment="1">
      <alignment vertical="center"/>
    </xf>
    <xf numFmtId="43" fontId="3" fillId="0" borderId="20" xfId="1" applyFont="1" applyBorder="1" applyAlignment="1">
      <alignment vertical="center"/>
    </xf>
    <xf numFmtId="43" fontId="7" fillId="3" borderId="10" xfId="1" applyFont="1" applyFill="1" applyBorder="1" applyAlignment="1">
      <alignment vertical="center"/>
    </xf>
    <xf numFmtId="0" fontId="4" fillId="0" borderId="0" xfId="1" applyNumberFormat="1" applyFont="1" applyAlignment="1">
      <alignment vertical="center"/>
    </xf>
    <xf numFmtId="0" fontId="4" fillId="0" borderId="0" xfId="1" applyNumberFormat="1" applyFont="1" applyAlignment="1">
      <alignment horizontal="left" vertical="center"/>
    </xf>
    <xf numFmtId="0" fontId="4" fillId="0" borderId="0" xfId="1" applyNumberFormat="1" applyFont="1" applyAlignment="1">
      <alignment horizontal="center" vertical="center"/>
    </xf>
    <xf numFmtId="43" fontId="4" fillId="2" borderId="12" xfId="1" applyFont="1" applyFill="1" applyBorder="1" applyAlignment="1">
      <alignment vertical="center"/>
    </xf>
    <xf numFmtId="43" fontId="4" fillId="0" borderId="12" xfId="1" applyFont="1" applyBorder="1" applyAlignment="1">
      <alignment vertical="center"/>
    </xf>
    <xf numFmtId="193" fontId="4" fillId="0" borderId="12" xfId="1" applyNumberFormat="1" applyFont="1" applyFill="1" applyBorder="1" applyAlignment="1">
      <alignment vertical="center"/>
    </xf>
    <xf numFmtId="43" fontId="2" fillId="3" borderId="10" xfId="1" applyFont="1" applyFill="1" applyBorder="1" applyAlignment="1">
      <alignment vertical="center"/>
    </xf>
    <xf numFmtId="0" fontId="3" fillId="0" borderId="0" xfId="1" applyNumberFormat="1" applyFont="1"/>
    <xf numFmtId="43" fontId="3" fillId="0" borderId="0" xfId="1" applyFont="1"/>
    <xf numFmtId="43" fontId="3" fillId="2" borderId="12" xfId="1" applyFont="1" applyFill="1" applyBorder="1"/>
    <xf numFmtId="43" fontId="3" fillId="0" borderId="12" xfId="1" applyFont="1" applyBorder="1"/>
    <xf numFmtId="43" fontId="3" fillId="0" borderId="20" xfId="1" applyFont="1" applyBorder="1"/>
    <xf numFmtId="43" fontId="7" fillId="3" borderId="10" xfId="1" applyFont="1" applyFill="1" applyBorder="1"/>
    <xf numFmtId="43" fontId="4" fillId="0" borderId="17" xfId="1" applyFont="1" applyFill="1" applyBorder="1" applyAlignment="1">
      <alignment vertical="center"/>
    </xf>
    <xf numFmtId="43" fontId="3" fillId="0" borderId="17" xfId="1" applyFont="1" applyFill="1" applyBorder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43" fontId="4" fillId="0" borderId="0" xfId="0" applyNumberFormat="1" applyFont="1" applyAlignment="1">
      <alignment horizontal="left" vertical="center"/>
    </xf>
    <xf numFmtId="43" fontId="4" fillId="0" borderId="0" xfId="3" applyFont="1" applyAlignment="1" applyProtection="1">
      <alignment horizontal="left" vertical="center"/>
      <protection locked="0"/>
    </xf>
    <xf numFmtId="43" fontId="3" fillId="0" borderId="14" xfId="1" quotePrefix="1" applyFont="1" applyBorder="1" applyAlignment="1">
      <alignment horizontal="center" vertical="center"/>
    </xf>
    <xf numFmtId="49" fontId="3" fillId="0" borderId="15" xfId="0" applyNumberFormat="1" applyFont="1" applyBorder="1" applyAlignment="1">
      <alignment vertical="center"/>
    </xf>
    <xf numFmtId="43" fontId="3" fillId="0" borderId="15" xfId="1" quotePrefix="1" applyFont="1" applyBorder="1" applyAlignment="1">
      <alignment horizontal="center" vertical="center"/>
    </xf>
    <xf numFmtId="43" fontId="4" fillId="0" borderId="15" xfId="1" applyFont="1" applyBorder="1" applyAlignment="1">
      <alignment vertical="center"/>
    </xf>
    <xf numFmtId="193" fontId="3" fillId="0" borderId="0" xfId="1" applyNumberFormat="1" applyFont="1"/>
    <xf numFmtId="0" fontId="4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43" fontId="7" fillId="0" borderId="12" xfId="1" applyFont="1" applyFill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center"/>
    </xf>
  </cellXfs>
  <cellStyles count="6">
    <cellStyle name="Comma 2 3" xfId="4" xr:uid="{DB99A619-9356-4F0D-8C3E-F567B1437DA6}"/>
    <cellStyle name="Comma 3" xfId="5" xr:uid="{C150650E-7E83-4B61-A72B-8896FD7B688B}"/>
    <cellStyle name="Normal 2" xfId="2" xr:uid="{B970A9BE-C442-4562-A775-9F85D90FCAFF}"/>
    <cellStyle name="เครื่องหมายจุลภาค 2 2" xfId="3" xr:uid="{E25964AF-8351-47D8-8BD3-A25463EEFB68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9</xdr:row>
      <xdr:rowOff>76200</xdr:rowOff>
    </xdr:from>
    <xdr:to>
      <xdr:col>9</xdr:col>
      <xdr:colOff>77200</xdr:colOff>
      <xdr:row>12</xdr:row>
      <xdr:rowOff>123907</xdr:rowOff>
    </xdr:to>
    <xdr:pic>
      <xdr:nvPicPr>
        <xdr:cNvPr id="2" name="รูปภาพ 1">
          <a:extLst>
            <a:ext uri="{FF2B5EF4-FFF2-40B4-BE49-F238E27FC236}">
              <a16:creationId xmlns:a16="http://schemas.microsoft.com/office/drawing/2014/main" id="{E8555155-7D87-0B05-3E4C-E15B73C9B69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09625" y="2124075"/>
          <a:ext cx="7163800" cy="5906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34451-AC50-4BE2-B354-2E9967AC472F}">
  <sheetPr>
    <tabColor theme="5"/>
  </sheetPr>
  <dimension ref="A1:I41"/>
  <sheetViews>
    <sheetView tabSelected="1" view="pageBreakPreview" zoomScaleNormal="100" zoomScaleSheetLayoutView="100" workbookViewId="0">
      <selection activeCell="D22" sqref="D22"/>
    </sheetView>
  </sheetViews>
  <sheetFormatPr defaultRowHeight="17.25" customHeight="1" x14ac:dyDescent="0.2"/>
  <cols>
    <col min="1" max="1" width="6.875" style="28" customWidth="1"/>
    <col min="2" max="3" width="8.75" style="28" customWidth="1"/>
    <col min="4" max="4" width="13.125" style="28" customWidth="1"/>
    <col min="5" max="5" width="12.125" style="28" customWidth="1"/>
    <col min="6" max="6" width="13.125" style="28" customWidth="1"/>
    <col min="7" max="8" width="7.5" style="28" customWidth="1"/>
    <col min="9" max="9" width="4.375" style="28" customWidth="1"/>
    <col min="10" max="16384" width="9" style="28"/>
  </cols>
  <sheetData>
    <row r="1" spans="1:9" ht="17.25" customHeight="1" x14ac:dyDescent="0.2">
      <c r="A1" s="273" t="s">
        <v>403</v>
      </c>
      <c r="B1" s="273"/>
      <c r="C1" s="273"/>
      <c r="D1" s="273"/>
      <c r="E1" s="273"/>
      <c r="F1" s="273"/>
      <c r="G1" s="273"/>
      <c r="H1" s="273"/>
      <c r="I1" s="273"/>
    </row>
    <row r="2" spans="1:9" ht="17.25" customHeight="1" x14ac:dyDescent="0.2">
      <c r="A2" s="273" t="s">
        <v>0</v>
      </c>
      <c r="B2" s="273"/>
      <c r="C2" s="273"/>
      <c r="D2" s="273"/>
      <c r="E2" s="273"/>
      <c r="F2" s="273"/>
      <c r="G2" s="273"/>
      <c r="H2" s="273"/>
      <c r="I2" s="273"/>
    </row>
    <row r="3" spans="1:9" ht="17.25" customHeight="1" x14ac:dyDescent="0.2">
      <c r="A3" s="273" t="s">
        <v>427</v>
      </c>
      <c r="B3" s="273"/>
      <c r="C3" s="273"/>
      <c r="D3" s="273"/>
      <c r="E3" s="273"/>
      <c r="F3" s="273"/>
      <c r="G3" s="273"/>
      <c r="H3" s="273"/>
      <c r="I3" s="273"/>
    </row>
    <row r="4" spans="1:9" ht="17.25" customHeight="1" x14ac:dyDescent="0.2">
      <c r="A4" s="273" t="s">
        <v>428</v>
      </c>
      <c r="B4" s="273"/>
      <c r="C4" s="273"/>
      <c r="D4" s="273"/>
      <c r="E4" s="273"/>
      <c r="F4" s="273"/>
      <c r="G4" s="273"/>
      <c r="H4" s="273"/>
      <c r="I4" s="273"/>
    </row>
    <row r="5" spans="1:9" ht="17.25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17.25" customHeight="1" x14ac:dyDescent="0.2">
      <c r="A6" s="4" t="s">
        <v>404</v>
      </c>
      <c r="B6" s="5"/>
      <c r="C6" s="5"/>
      <c r="D6" s="5"/>
      <c r="E6" s="5"/>
      <c r="F6" s="5"/>
      <c r="G6" s="5"/>
      <c r="H6" s="5"/>
      <c r="I6" s="5"/>
    </row>
    <row r="7" spans="1:9" ht="17.25" customHeight="1" x14ac:dyDescent="0.2">
      <c r="A7" s="5" t="s">
        <v>405</v>
      </c>
      <c r="B7" s="5"/>
      <c r="C7" s="6"/>
      <c r="D7" s="6"/>
      <c r="E7" s="6"/>
      <c r="F7" s="1"/>
      <c r="G7" s="1"/>
      <c r="H7" s="5"/>
      <c r="I7" s="5"/>
    </row>
    <row r="8" spans="1:9" ht="17.25" customHeight="1" x14ac:dyDescent="0.2">
      <c r="A8" s="36" t="s">
        <v>429</v>
      </c>
      <c r="B8" s="5"/>
      <c r="C8" s="5"/>
      <c r="D8" s="5"/>
      <c r="E8" s="5"/>
      <c r="G8" s="7"/>
      <c r="H8" s="6"/>
      <c r="I8" s="6"/>
    </row>
    <row r="9" spans="1:9" ht="41.25" customHeight="1" x14ac:dyDescent="0.2">
      <c r="A9" s="8" t="s">
        <v>3</v>
      </c>
      <c r="B9" s="274" t="s">
        <v>30</v>
      </c>
      <c r="C9" s="275"/>
      <c r="D9" s="191" t="s">
        <v>316</v>
      </c>
      <c r="E9" s="180" t="s">
        <v>4</v>
      </c>
      <c r="F9" s="9" t="s">
        <v>315</v>
      </c>
      <c r="G9" s="274" t="s">
        <v>5</v>
      </c>
      <c r="H9" s="276"/>
      <c r="I9" s="275"/>
    </row>
    <row r="10" spans="1:9" ht="17.25" customHeight="1" x14ac:dyDescent="0.2">
      <c r="A10" s="10">
        <v>1</v>
      </c>
      <c r="B10" s="181" t="s">
        <v>320</v>
      </c>
      <c r="C10" s="182"/>
      <c r="D10" s="185">
        <f>'ปร.4 งานก่อสร้าง'!I13</f>
        <v>8937065.5200000014</v>
      </c>
      <c r="E10" s="193">
        <v>1.2333000000000001</v>
      </c>
      <c r="F10" s="185">
        <f>D10*E10</f>
        <v>11022082.905816002</v>
      </c>
      <c r="G10" s="277" t="s">
        <v>4</v>
      </c>
      <c r="H10" s="278"/>
      <c r="I10" s="279"/>
    </row>
    <row r="11" spans="1:9" ht="17.25" customHeight="1" x14ac:dyDescent="0.2">
      <c r="A11" s="12">
        <v>2</v>
      </c>
      <c r="B11" s="13" t="s">
        <v>157</v>
      </c>
      <c r="C11" s="183"/>
      <c r="D11" s="186">
        <f>ครุภัณฑ์!I54</f>
        <v>5103748</v>
      </c>
      <c r="E11" s="189">
        <v>1</v>
      </c>
      <c r="F11" s="187">
        <f>D11*E11</f>
        <v>5103748</v>
      </c>
      <c r="G11" s="11" t="s">
        <v>6</v>
      </c>
      <c r="I11" s="14">
        <v>7.0000000000000007E-2</v>
      </c>
    </row>
    <row r="12" spans="1:9" ht="17.25" customHeight="1" x14ac:dyDescent="0.2">
      <c r="A12" s="12">
        <v>3</v>
      </c>
      <c r="B12" s="13" t="s">
        <v>162</v>
      </c>
      <c r="C12" s="184"/>
      <c r="D12" s="186">
        <f>ค่าใช้จ่ายพิเศษ!I15</f>
        <v>596575</v>
      </c>
      <c r="E12" s="194">
        <v>1</v>
      </c>
      <c r="F12" s="186">
        <f>D12*E12</f>
        <v>596575</v>
      </c>
      <c r="G12" s="15" t="s">
        <v>7</v>
      </c>
      <c r="I12" s="14">
        <v>7.0000000000000007E-2</v>
      </c>
    </row>
    <row r="13" spans="1:9" ht="17.25" customHeight="1" x14ac:dyDescent="0.2">
      <c r="A13" s="11"/>
      <c r="B13" s="11"/>
      <c r="C13" s="24"/>
      <c r="D13" s="187"/>
      <c r="E13" s="195"/>
      <c r="F13" s="187"/>
      <c r="G13" s="11" t="s">
        <v>8</v>
      </c>
      <c r="I13" s="14">
        <v>0</v>
      </c>
    </row>
    <row r="14" spans="1:9" ht="17.25" customHeight="1" x14ac:dyDescent="0.2">
      <c r="A14" s="11"/>
      <c r="B14" s="11"/>
      <c r="C14" s="24"/>
      <c r="D14" s="187"/>
      <c r="E14" s="195"/>
      <c r="F14" s="187"/>
      <c r="G14" s="11" t="s">
        <v>9</v>
      </c>
      <c r="I14" s="14">
        <v>0</v>
      </c>
    </row>
    <row r="15" spans="1:9" ht="17.25" customHeight="1" x14ac:dyDescent="0.2">
      <c r="A15" s="16"/>
      <c r="B15" s="16"/>
      <c r="C15" s="22"/>
      <c r="D15" s="192"/>
      <c r="E15" s="190"/>
      <c r="F15" s="188"/>
      <c r="G15" s="15" t="s">
        <v>338</v>
      </c>
      <c r="I15" s="18"/>
    </row>
    <row r="16" spans="1:9" ht="17.25" customHeight="1" x14ac:dyDescent="0.2">
      <c r="A16" s="19" t="s">
        <v>10</v>
      </c>
      <c r="B16" s="1"/>
      <c r="C16" s="5"/>
      <c r="D16" s="20" t="s">
        <v>11</v>
      </c>
      <c r="E16" s="20"/>
      <c r="F16" s="21">
        <f>SUM(F10:F15)</f>
        <v>16722405.905816002</v>
      </c>
      <c r="G16" s="21"/>
      <c r="H16" s="17" t="s">
        <v>12</v>
      </c>
      <c r="I16" s="22"/>
    </row>
    <row r="17" spans="1:9" ht="17.25" customHeight="1" thickBot="1" x14ac:dyDescent="0.25">
      <c r="A17" s="11"/>
      <c r="B17" s="5"/>
      <c r="C17" s="5"/>
      <c r="D17" s="20" t="s">
        <v>13</v>
      </c>
      <c r="E17" s="20"/>
      <c r="F17" s="23">
        <f>IF(F16&lt;10000000,ROUNDDOWN(F16,-3),ROUNDDOWN(F16,-4))</f>
        <v>16720000</v>
      </c>
      <c r="G17" s="179"/>
      <c r="H17" s="5" t="s">
        <v>12</v>
      </c>
      <c r="I17" s="24"/>
    </row>
    <row r="18" spans="1:9" ht="17.25" customHeight="1" thickTop="1" x14ac:dyDescent="0.2">
      <c r="A18" s="16"/>
      <c r="B18" s="17"/>
      <c r="C18" s="17" t="s">
        <v>14</v>
      </c>
      <c r="D18" s="25" t="str">
        <f>BAHTTEXT(F17)</f>
        <v>สิบหกล้านเจ็ดแสนสองหมื่นบาทถ้วน</v>
      </c>
      <c r="E18" s="17"/>
      <c r="F18" s="17"/>
      <c r="G18" s="17"/>
      <c r="H18" s="17"/>
      <c r="I18" s="22"/>
    </row>
    <row r="19" spans="1:9" ht="17.25" customHeight="1" x14ac:dyDescent="0.2">
      <c r="A19" s="196" t="s">
        <v>317</v>
      </c>
      <c r="B19" s="5"/>
      <c r="C19" s="26">
        <f>F17/(1812+1558)</f>
        <v>4961.4243323442133</v>
      </c>
      <c r="D19" s="5" t="s">
        <v>318</v>
      </c>
      <c r="E19" s="5"/>
      <c r="F19" s="5"/>
      <c r="G19" s="5"/>
      <c r="H19" s="5"/>
      <c r="I19" s="5"/>
    </row>
    <row r="20" spans="1:9" ht="17.25" customHeight="1" x14ac:dyDescent="0.2">
      <c r="A20" s="196"/>
      <c r="B20" s="5"/>
      <c r="C20" s="20"/>
      <c r="D20" s="5"/>
      <c r="E20" s="5"/>
      <c r="F20" s="5"/>
      <c r="G20" s="5"/>
      <c r="H20" s="5"/>
      <c r="I20" s="5"/>
    </row>
    <row r="21" spans="1:9" ht="17.25" customHeight="1" x14ac:dyDescent="0.2">
      <c r="A21" s="5"/>
      <c r="B21" s="3" t="s">
        <v>392</v>
      </c>
      <c r="C21" s="27"/>
      <c r="D21" s="20"/>
      <c r="E21" s="5"/>
      <c r="F21" s="5"/>
      <c r="I21" s="5"/>
    </row>
    <row r="22" spans="1:9" ht="17.25" customHeight="1" x14ac:dyDescent="0.2">
      <c r="A22" s="5"/>
      <c r="B22" s="5"/>
      <c r="C22" s="27"/>
      <c r="D22" s="20"/>
      <c r="E22" s="5"/>
      <c r="F22" s="5"/>
      <c r="I22" s="5"/>
    </row>
    <row r="23" spans="1:9" ht="17.25" customHeight="1" x14ac:dyDescent="0.2">
      <c r="A23" s="5"/>
      <c r="B23" s="7"/>
      <c r="C23" s="5" t="s">
        <v>393</v>
      </c>
      <c r="D23" s="5"/>
      <c r="E23" s="5"/>
      <c r="F23" s="5" t="s">
        <v>394</v>
      </c>
      <c r="I23" s="5"/>
    </row>
    <row r="24" spans="1:9" ht="17.25" customHeight="1" x14ac:dyDescent="0.2">
      <c r="A24" s="5"/>
      <c r="B24" s="5"/>
      <c r="C24" s="5"/>
      <c r="D24" s="272" t="s">
        <v>395</v>
      </c>
      <c r="E24" s="272"/>
      <c r="F24" s="263" t="s">
        <v>16</v>
      </c>
      <c r="I24" s="5"/>
    </row>
    <row r="25" spans="1:9" ht="17.25" customHeight="1" x14ac:dyDescent="0.2">
      <c r="A25" s="5"/>
      <c r="B25" s="5"/>
      <c r="C25" s="5"/>
      <c r="D25" s="272" t="s">
        <v>396</v>
      </c>
      <c r="E25" s="272"/>
      <c r="F25" s="6"/>
      <c r="I25" s="5"/>
    </row>
    <row r="26" spans="1:9" ht="17.25" customHeight="1" x14ac:dyDescent="0.2">
      <c r="A26" s="5"/>
      <c r="B26" s="5"/>
      <c r="C26" s="5"/>
      <c r="D26" s="6"/>
      <c r="E26" s="6"/>
      <c r="F26" s="5"/>
      <c r="I26" s="5"/>
    </row>
    <row r="27" spans="1:9" ht="17.25" customHeight="1" x14ac:dyDescent="0.2">
      <c r="A27" s="5"/>
      <c r="B27" s="7"/>
      <c r="C27" s="5" t="s">
        <v>393</v>
      </c>
      <c r="D27" s="6"/>
      <c r="E27" s="6"/>
      <c r="F27" s="5" t="s">
        <v>397</v>
      </c>
      <c r="I27" s="5"/>
    </row>
    <row r="28" spans="1:9" ht="17.25" customHeight="1" x14ac:dyDescent="0.2">
      <c r="A28" s="5"/>
      <c r="B28" s="7"/>
      <c r="C28" s="6"/>
      <c r="D28" s="272" t="s">
        <v>231</v>
      </c>
      <c r="E28" s="272"/>
      <c r="F28" s="5"/>
      <c r="I28" s="5"/>
    </row>
    <row r="29" spans="1:9" ht="17.25" customHeight="1" x14ac:dyDescent="0.2">
      <c r="A29" s="5"/>
      <c r="B29" s="7"/>
      <c r="C29" s="6"/>
      <c r="D29" s="272" t="s">
        <v>230</v>
      </c>
      <c r="E29" s="272"/>
      <c r="F29" s="5"/>
      <c r="I29" s="5"/>
    </row>
    <row r="30" spans="1:9" ht="17.25" customHeight="1" x14ac:dyDescent="0.2">
      <c r="A30" s="5"/>
      <c r="B30" s="7"/>
      <c r="C30" s="6"/>
      <c r="D30" s="6"/>
      <c r="E30" s="6"/>
      <c r="F30" s="5"/>
      <c r="I30" s="5"/>
    </row>
    <row r="31" spans="1:9" ht="17.25" customHeight="1" x14ac:dyDescent="0.2">
      <c r="A31" s="5"/>
      <c r="B31" s="7"/>
      <c r="C31" s="5" t="s">
        <v>393</v>
      </c>
      <c r="D31" s="6"/>
      <c r="E31" s="6"/>
      <c r="F31" s="264" t="s">
        <v>397</v>
      </c>
      <c r="I31" s="5"/>
    </row>
    <row r="32" spans="1:9" ht="17.25" customHeight="1" x14ac:dyDescent="0.2">
      <c r="A32" s="5"/>
      <c r="B32" s="7"/>
      <c r="C32" s="5"/>
      <c r="D32" s="271" t="s">
        <v>398</v>
      </c>
      <c r="E32" s="271"/>
      <c r="F32" s="262"/>
      <c r="I32" s="5"/>
    </row>
    <row r="33" spans="1:9" ht="17.25" customHeight="1" x14ac:dyDescent="0.2">
      <c r="A33" s="5"/>
      <c r="B33" s="7"/>
      <c r="C33" s="5"/>
      <c r="D33" s="272" t="s">
        <v>230</v>
      </c>
      <c r="E33" s="272"/>
      <c r="F33" s="6"/>
      <c r="I33" s="5"/>
    </row>
    <row r="34" spans="1:9" ht="17.25" customHeight="1" x14ac:dyDescent="0.2">
      <c r="A34" s="5"/>
      <c r="B34" s="7"/>
      <c r="C34" s="5"/>
      <c r="D34" s="32"/>
      <c r="E34" s="5"/>
      <c r="F34" s="5"/>
      <c r="I34" s="5"/>
    </row>
    <row r="35" spans="1:9" ht="17.25" customHeight="1" x14ac:dyDescent="0.2">
      <c r="A35" s="5"/>
      <c r="B35" s="7"/>
      <c r="C35" s="5" t="s">
        <v>393</v>
      </c>
      <c r="D35" s="5"/>
      <c r="E35" s="5"/>
      <c r="F35" s="5" t="s">
        <v>397</v>
      </c>
      <c r="I35" s="5"/>
    </row>
    <row r="36" spans="1:9" ht="17.25" customHeight="1" x14ac:dyDescent="0.2">
      <c r="A36" s="5"/>
      <c r="B36" s="7"/>
      <c r="C36" s="5"/>
      <c r="D36" s="271" t="s">
        <v>399</v>
      </c>
      <c r="E36" s="271"/>
      <c r="F36" s="32"/>
      <c r="I36" s="5"/>
    </row>
    <row r="37" spans="1:9" ht="17.25" customHeight="1" x14ac:dyDescent="0.2">
      <c r="A37" s="5"/>
      <c r="B37" s="7"/>
      <c r="C37" s="5"/>
      <c r="D37" s="270" t="s">
        <v>400</v>
      </c>
      <c r="E37" s="270"/>
      <c r="F37" s="31"/>
      <c r="I37" s="5"/>
    </row>
    <row r="38" spans="1:9" ht="17.25" customHeight="1" x14ac:dyDescent="0.2">
      <c r="A38" s="5"/>
      <c r="B38" s="7"/>
      <c r="C38" s="5"/>
      <c r="D38" s="5"/>
      <c r="E38" s="5"/>
      <c r="F38" s="5"/>
      <c r="I38" s="5"/>
    </row>
    <row r="39" spans="1:9" ht="17.25" customHeight="1" x14ac:dyDescent="0.2">
      <c r="A39" s="5"/>
      <c r="B39" s="7"/>
      <c r="C39" s="5" t="s">
        <v>393</v>
      </c>
      <c r="D39" s="5"/>
      <c r="E39" s="5"/>
      <c r="F39" s="5" t="s">
        <v>397</v>
      </c>
      <c r="G39" s="178"/>
      <c r="H39" s="30"/>
      <c r="I39" s="5"/>
    </row>
    <row r="40" spans="1:9" ht="17.25" customHeight="1" x14ac:dyDescent="0.2">
      <c r="B40" s="5"/>
      <c r="C40" s="5"/>
      <c r="D40" s="271" t="s">
        <v>401</v>
      </c>
      <c r="E40" s="271"/>
      <c r="F40" s="262"/>
    </row>
    <row r="41" spans="1:9" ht="17.25" customHeight="1" x14ac:dyDescent="0.2">
      <c r="B41" s="5"/>
      <c r="C41" s="5"/>
      <c r="D41" s="270" t="s">
        <v>402</v>
      </c>
      <c r="E41" s="270"/>
      <c r="F41" s="178"/>
    </row>
  </sheetData>
  <mergeCells count="17">
    <mergeCell ref="A1:I1"/>
    <mergeCell ref="A4:I4"/>
    <mergeCell ref="B9:C9"/>
    <mergeCell ref="G9:I9"/>
    <mergeCell ref="G10:I10"/>
    <mergeCell ref="A2:I2"/>
    <mergeCell ref="A3:I3"/>
    <mergeCell ref="D37:E37"/>
    <mergeCell ref="D40:E40"/>
    <mergeCell ref="D41:E41"/>
    <mergeCell ref="D24:E24"/>
    <mergeCell ref="D25:E25"/>
    <mergeCell ref="D28:E28"/>
    <mergeCell ref="D29:E29"/>
    <mergeCell ref="D32:E32"/>
    <mergeCell ref="D33:E33"/>
    <mergeCell ref="D36:E36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8A3DF7-0558-4472-81D2-46B4A1265EC6}">
  <dimension ref="A1:K36"/>
  <sheetViews>
    <sheetView zoomScale="75" zoomScaleNormal="75" workbookViewId="0">
      <selection activeCell="G37" sqref="G37"/>
    </sheetView>
  </sheetViews>
  <sheetFormatPr defaultRowHeight="14.25" x14ac:dyDescent="0.2"/>
  <cols>
    <col min="2" max="2" width="22.625" customWidth="1"/>
  </cols>
  <sheetData>
    <row r="1" spans="1:11" ht="18.75" x14ac:dyDescent="0.3">
      <c r="A1" s="216" t="s">
        <v>358</v>
      </c>
      <c r="B1" s="216"/>
      <c r="C1" s="216"/>
      <c r="D1" s="217"/>
      <c r="E1" s="216"/>
      <c r="F1" s="216"/>
      <c r="G1" s="217"/>
      <c r="H1" s="216"/>
      <c r="I1" s="216"/>
      <c r="J1" s="217"/>
      <c r="K1" s="216"/>
    </row>
    <row r="2" spans="1:11" ht="18.75" x14ac:dyDescent="0.3">
      <c r="A2" s="216"/>
      <c r="B2" s="216" t="s">
        <v>359</v>
      </c>
      <c r="C2" s="216" t="s">
        <v>360</v>
      </c>
      <c r="D2" s="217">
        <v>260</v>
      </c>
      <c r="E2" s="216" t="s">
        <v>90</v>
      </c>
      <c r="F2" s="216" t="s">
        <v>361</v>
      </c>
      <c r="G2" s="218">
        <f>2840.19/1000</f>
        <v>2.8401900000000002</v>
      </c>
      <c r="H2" s="216" t="s">
        <v>362</v>
      </c>
      <c r="I2" s="216" t="s">
        <v>243</v>
      </c>
      <c r="J2" s="219">
        <f>D2*G2</f>
        <v>738.44940000000008</v>
      </c>
      <c r="K2" s="216" t="s">
        <v>363</v>
      </c>
    </row>
    <row r="3" spans="1:11" ht="18.75" x14ac:dyDescent="0.3">
      <c r="A3" s="216"/>
      <c r="B3" s="216" t="s">
        <v>52</v>
      </c>
      <c r="C3" s="216" t="s">
        <v>360</v>
      </c>
      <c r="D3" s="217">
        <v>0.62</v>
      </c>
      <c r="E3" s="216" t="s">
        <v>88</v>
      </c>
      <c r="F3" s="216" t="s">
        <v>361</v>
      </c>
      <c r="G3" s="218">
        <v>436.92</v>
      </c>
      <c r="H3" s="216" t="s">
        <v>363</v>
      </c>
      <c r="I3" s="216" t="s">
        <v>243</v>
      </c>
      <c r="J3" s="219">
        <f t="shared" ref="J3:J5" si="0">D3*G3</f>
        <v>270.8904</v>
      </c>
      <c r="K3" s="216" t="s">
        <v>363</v>
      </c>
    </row>
    <row r="4" spans="1:11" ht="18.75" x14ac:dyDescent="0.3">
      <c r="A4" s="216"/>
      <c r="B4" s="216" t="s">
        <v>364</v>
      </c>
      <c r="C4" s="216" t="s">
        <v>360</v>
      </c>
      <c r="D4" s="217">
        <v>1.03</v>
      </c>
      <c r="E4" s="216" t="s">
        <v>88</v>
      </c>
      <c r="F4" s="216" t="s">
        <v>361</v>
      </c>
      <c r="G4" s="218">
        <v>287</v>
      </c>
      <c r="H4" s="216" t="s">
        <v>363</v>
      </c>
      <c r="I4" s="216" t="s">
        <v>243</v>
      </c>
      <c r="J4" s="219">
        <f t="shared" si="0"/>
        <v>295.61</v>
      </c>
      <c r="K4" s="216" t="s">
        <v>363</v>
      </c>
    </row>
    <row r="5" spans="1:11" ht="18.75" x14ac:dyDescent="0.3">
      <c r="A5" s="216"/>
      <c r="B5" s="216" t="s">
        <v>365</v>
      </c>
      <c r="C5" s="216" t="s">
        <v>360</v>
      </c>
      <c r="D5" s="217">
        <v>180</v>
      </c>
      <c r="E5" s="216" t="s">
        <v>260</v>
      </c>
      <c r="F5" s="216" t="s">
        <v>361</v>
      </c>
      <c r="G5" s="220">
        <v>1.6400000000000001E-2</v>
      </c>
      <c r="H5" s="216" t="s">
        <v>278</v>
      </c>
      <c r="I5" s="216" t="s">
        <v>243</v>
      </c>
      <c r="J5" s="219">
        <f t="shared" si="0"/>
        <v>2.9520000000000004</v>
      </c>
      <c r="K5" s="216" t="s">
        <v>363</v>
      </c>
    </row>
    <row r="6" spans="1:11" ht="18.75" x14ac:dyDescent="0.3">
      <c r="A6" s="216"/>
      <c r="B6" s="216" t="s">
        <v>366</v>
      </c>
      <c r="C6" s="216"/>
      <c r="D6" s="217"/>
      <c r="E6" s="216"/>
      <c r="F6" s="216"/>
      <c r="G6" s="217"/>
      <c r="H6" s="216"/>
      <c r="I6" s="216" t="s">
        <v>243</v>
      </c>
      <c r="J6" s="219">
        <f>SUM(J2:J5)</f>
        <v>1307.9018000000001</v>
      </c>
      <c r="K6" s="216" t="s">
        <v>363</v>
      </c>
    </row>
    <row r="7" spans="1:11" ht="19.5" thickBot="1" x14ac:dyDescent="0.35">
      <c r="A7" s="216"/>
      <c r="B7" s="216" t="s">
        <v>267</v>
      </c>
      <c r="C7" s="216"/>
      <c r="D7" s="217"/>
      <c r="E7" s="216"/>
      <c r="F7" s="216"/>
      <c r="G7" s="217"/>
      <c r="H7" s="216"/>
      <c r="I7" s="216" t="s">
        <v>243</v>
      </c>
      <c r="J7" s="221">
        <f>J6</f>
        <v>1307.9018000000001</v>
      </c>
      <c r="K7" s="216" t="s">
        <v>363</v>
      </c>
    </row>
    <row r="8" spans="1:11" ht="15" thickTop="1" x14ac:dyDescent="0.2"/>
    <row r="15" spans="1:11" ht="18.75" x14ac:dyDescent="0.2">
      <c r="A15" s="239" t="s">
        <v>368</v>
      </c>
      <c r="B15" s="239"/>
      <c r="C15" s="240"/>
      <c r="D15" s="98"/>
      <c r="E15" s="239"/>
      <c r="F15" s="241"/>
      <c r="G15" s="98"/>
      <c r="H15" s="239"/>
      <c r="I15" s="241"/>
      <c r="J15" s="98"/>
      <c r="K15" s="239"/>
    </row>
    <row r="16" spans="1:11" ht="18.75" x14ac:dyDescent="0.2">
      <c r="A16" s="239"/>
      <c r="B16" s="239" t="s">
        <v>369</v>
      </c>
      <c r="C16" s="240" t="s">
        <v>360</v>
      </c>
      <c r="D16" s="98">
        <v>18</v>
      </c>
      <c r="E16" s="239" t="s">
        <v>90</v>
      </c>
      <c r="F16" s="241" t="s">
        <v>361</v>
      </c>
      <c r="G16" s="242">
        <v>1.9</v>
      </c>
      <c r="H16" s="239" t="s">
        <v>362</v>
      </c>
      <c r="I16" s="241" t="s">
        <v>243</v>
      </c>
      <c r="J16" s="243">
        <f t="shared" ref="J16:J19" si="1">D16*G16</f>
        <v>34.199999999999996</v>
      </c>
      <c r="K16" s="239" t="s">
        <v>370</v>
      </c>
    </row>
    <row r="17" spans="1:11" ht="18.75" x14ac:dyDescent="0.2">
      <c r="A17" s="239"/>
      <c r="B17" s="239" t="s">
        <v>371</v>
      </c>
      <c r="C17" s="240" t="s">
        <v>360</v>
      </c>
      <c r="D17" s="98">
        <v>0.5</v>
      </c>
      <c r="E17" s="239" t="s">
        <v>260</v>
      </c>
      <c r="F17" s="241" t="s">
        <v>361</v>
      </c>
      <c r="G17" s="242">
        <v>57.6</v>
      </c>
      <c r="H17" s="239" t="s">
        <v>278</v>
      </c>
      <c r="I17" s="241" t="s">
        <v>243</v>
      </c>
      <c r="J17" s="243">
        <f t="shared" si="1"/>
        <v>28.8</v>
      </c>
      <c r="K17" s="239" t="s">
        <v>370</v>
      </c>
    </row>
    <row r="18" spans="1:11" ht="18.75" x14ac:dyDescent="0.2">
      <c r="A18" s="239"/>
      <c r="B18" s="239" t="s">
        <v>372</v>
      </c>
      <c r="C18" s="240" t="s">
        <v>360</v>
      </c>
      <c r="D18" s="98">
        <v>0.04</v>
      </c>
      <c r="E18" s="239" t="s">
        <v>88</v>
      </c>
      <c r="F18" s="241" t="s">
        <v>361</v>
      </c>
      <c r="G18" s="242">
        <v>442.37</v>
      </c>
      <c r="H18" s="239" t="s">
        <v>363</v>
      </c>
      <c r="I18" s="241" t="s">
        <v>243</v>
      </c>
      <c r="J18" s="243">
        <f t="shared" si="1"/>
        <v>17.694800000000001</v>
      </c>
      <c r="K18" s="239" t="s">
        <v>370</v>
      </c>
    </row>
    <row r="19" spans="1:11" ht="18.75" x14ac:dyDescent="0.2">
      <c r="A19" s="239"/>
      <c r="B19" s="239" t="s">
        <v>373</v>
      </c>
      <c r="C19" s="240" t="s">
        <v>360</v>
      </c>
      <c r="D19" s="98">
        <v>3</v>
      </c>
      <c r="E19" s="239" t="s">
        <v>260</v>
      </c>
      <c r="F19" s="241" t="s">
        <v>361</v>
      </c>
      <c r="G19" s="244">
        <v>1.6400000000000001E-2</v>
      </c>
      <c r="H19" s="239" t="s">
        <v>278</v>
      </c>
      <c r="I19" s="241" t="s">
        <v>243</v>
      </c>
      <c r="J19" s="243">
        <f t="shared" si="1"/>
        <v>4.9200000000000008E-2</v>
      </c>
      <c r="K19" s="239" t="s">
        <v>370</v>
      </c>
    </row>
    <row r="20" spans="1:11" ht="18.75" x14ac:dyDescent="0.2">
      <c r="A20" s="239"/>
      <c r="B20" s="239" t="s">
        <v>374</v>
      </c>
      <c r="C20" s="240" t="s">
        <v>375</v>
      </c>
      <c r="D20" s="98">
        <v>1</v>
      </c>
      <c r="E20" s="239" t="s">
        <v>91</v>
      </c>
      <c r="F20" s="241"/>
      <c r="G20" s="98"/>
      <c r="H20" s="239"/>
      <c r="I20" s="241" t="s">
        <v>243</v>
      </c>
      <c r="J20" s="245">
        <f>SUM(J16:J19)</f>
        <v>80.744</v>
      </c>
      <c r="K20" s="239" t="s">
        <v>370</v>
      </c>
    </row>
    <row r="21" spans="1:11" ht="19.5" thickBot="1" x14ac:dyDescent="0.25">
      <c r="A21" s="239"/>
      <c r="B21" s="239" t="s">
        <v>267</v>
      </c>
      <c r="C21" s="240"/>
      <c r="D21" s="98"/>
      <c r="E21" s="239"/>
      <c r="F21" s="241"/>
      <c r="G21" s="98"/>
      <c r="H21" s="239"/>
      <c r="I21" s="241" t="s">
        <v>243</v>
      </c>
      <c r="J21" s="246">
        <f>J20</f>
        <v>80.744</v>
      </c>
      <c r="K21" s="239" t="s">
        <v>370</v>
      </c>
    </row>
    <row r="22" spans="1:11" ht="15" thickTop="1" x14ac:dyDescent="0.2"/>
    <row r="23" spans="1:11" ht="18.75" x14ac:dyDescent="0.2">
      <c r="A23" s="28" t="s">
        <v>376</v>
      </c>
      <c r="B23" s="28"/>
      <c r="C23" s="36"/>
      <c r="D23" s="98"/>
      <c r="E23" s="28"/>
      <c r="F23" s="43"/>
      <c r="G23" s="28"/>
      <c r="H23" s="28"/>
      <c r="I23" s="43"/>
      <c r="J23" s="98"/>
      <c r="K23" s="28"/>
    </row>
    <row r="24" spans="1:11" ht="18.75" x14ac:dyDescent="0.2">
      <c r="A24" s="247"/>
      <c r="B24" s="239" t="s">
        <v>369</v>
      </c>
      <c r="C24" s="240" t="s">
        <v>360</v>
      </c>
      <c r="D24" s="98">
        <v>28.68</v>
      </c>
      <c r="E24" s="239" t="s">
        <v>90</v>
      </c>
      <c r="F24" s="241" t="s">
        <v>361</v>
      </c>
      <c r="G24" s="242">
        <v>1.9</v>
      </c>
      <c r="H24" s="239" t="s">
        <v>362</v>
      </c>
      <c r="I24" s="241" t="s">
        <v>243</v>
      </c>
      <c r="J24" s="243">
        <f>D24*G24</f>
        <v>54.491999999999997</v>
      </c>
      <c r="K24" s="239" t="s">
        <v>370</v>
      </c>
    </row>
    <row r="25" spans="1:11" ht="18.75" x14ac:dyDescent="0.2">
      <c r="A25" s="247"/>
      <c r="B25" s="247" t="s">
        <v>52</v>
      </c>
      <c r="C25" s="248" t="s">
        <v>360</v>
      </c>
      <c r="D25" s="173">
        <v>0.15</v>
      </c>
      <c r="E25" s="247" t="s">
        <v>88</v>
      </c>
      <c r="F25" s="249" t="s">
        <v>361</v>
      </c>
      <c r="G25" s="250">
        <v>436.92</v>
      </c>
      <c r="H25" s="247" t="s">
        <v>363</v>
      </c>
      <c r="I25" s="249" t="s">
        <v>243</v>
      </c>
      <c r="J25" s="251">
        <f t="shared" ref="J25:J26" si="2">D25*G25</f>
        <v>65.537999999999997</v>
      </c>
      <c r="K25" s="247" t="s">
        <v>363</v>
      </c>
    </row>
    <row r="26" spans="1:11" ht="18.75" x14ac:dyDescent="0.2">
      <c r="A26" s="247"/>
      <c r="B26" s="247" t="s">
        <v>365</v>
      </c>
      <c r="C26" s="248" t="s">
        <v>360</v>
      </c>
      <c r="D26" s="173">
        <v>8</v>
      </c>
      <c r="E26" s="247" t="s">
        <v>260</v>
      </c>
      <c r="F26" s="249" t="s">
        <v>361</v>
      </c>
      <c r="G26" s="252">
        <v>1.6400000000000001E-2</v>
      </c>
      <c r="H26" s="247" t="s">
        <v>278</v>
      </c>
      <c r="I26" s="249" t="s">
        <v>243</v>
      </c>
      <c r="J26" s="251">
        <f t="shared" si="2"/>
        <v>0.13120000000000001</v>
      </c>
      <c r="K26" s="247" t="s">
        <v>363</v>
      </c>
    </row>
    <row r="27" spans="1:11" ht="18.75" x14ac:dyDescent="0.2">
      <c r="A27" s="247"/>
      <c r="B27" s="247" t="s">
        <v>377</v>
      </c>
      <c r="C27" s="248"/>
      <c r="D27" s="173"/>
      <c r="E27" s="247"/>
      <c r="F27" s="249"/>
      <c r="G27" s="173"/>
      <c r="H27" s="247"/>
      <c r="I27" s="249" t="s">
        <v>243</v>
      </c>
      <c r="J27" s="251">
        <f>SUM(J24:J26)</f>
        <v>120.16120000000001</v>
      </c>
      <c r="K27" s="247" t="s">
        <v>363</v>
      </c>
    </row>
    <row r="28" spans="1:11" ht="19.5" thickBot="1" x14ac:dyDescent="0.25">
      <c r="A28" s="247"/>
      <c r="B28" s="247" t="s">
        <v>267</v>
      </c>
      <c r="C28" s="248"/>
      <c r="D28" s="173"/>
      <c r="E28" s="247"/>
      <c r="F28" s="249"/>
      <c r="G28" s="173"/>
      <c r="H28" s="247"/>
      <c r="I28" s="249" t="s">
        <v>243</v>
      </c>
      <c r="J28" s="253">
        <f>J27</f>
        <v>120.16120000000001</v>
      </c>
      <c r="K28" s="247" t="s">
        <v>363</v>
      </c>
    </row>
    <row r="29" spans="1:11" ht="15" thickTop="1" x14ac:dyDescent="0.2"/>
    <row r="30" spans="1:11" ht="18.75" x14ac:dyDescent="0.3">
      <c r="A30" s="254" t="s">
        <v>378</v>
      </c>
      <c r="B30" s="254"/>
      <c r="C30" s="254"/>
      <c r="D30" s="255"/>
      <c r="E30" s="254"/>
      <c r="F30" s="254"/>
      <c r="G30" s="255"/>
      <c r="H30" s="254"/>
      <c r="I30" s="254"/>
      <c r="J30" s="255"/>
      <c r="K30" s="254"/>
    </row>
    <row r="31" spans="1:11" ht="18.75" x14ac:dyDescent="0.3">
      <c r="A31" s="254"/>
      <c r="B31" s="254" t="s">
        <v>382</v>
      </c>
      <c r="C31" s="254" t="s">
        <v>360</v>
      </c>
      <c r="D31" s="255">
        <v>3.7999999999999999E-2</v>
      </c>
      <c r="E31" s="254" t="s">
        <v>379</v>
      </c>
      <c r="F31" s="254" t="s">
        <v>361</v>
      </c>
      <c r="G31" s="256">
        <v>378.5</v>
      </c>
      <c r="H31" s="254" t="s">
        <v>380</v>
      </c>
      <c r="I31" s="254" t="s">
        <v>243</v>
      </c>
      <c r="J31" s="257">
        <f t="shared" ref="J31:J33" si="3">D31*G31</f>
        <v>14.382999999999999</v>
      </c>
      <c r="K31" s="254" t="s">
        <v>370</v>
      </c>
    </row>
    <row r="32" spans="1:11" ht="18.75" x14ac:dyDescent="0.3">
      <c r="A32" s="254"/>
      <c r="B32" s="254" t="s">
        <v>383</v>
      </c>
      <c r="C32" s="254" t="s">
        <v>360</v>
      </c>
      <c r="D32" s="255">
        <v>7.5999999999999998E-2</v>
      </c>
      <c r="E32" s="254" t="s">
        <v>379</v>
      </c>
      <c r="F32" s="254" t="s">
        <v>361</v>
      </c>
      <c r="G32" s="256">
        <v>668.22</v>
      </c>
      <c r="H32" s="254" t="s">
        <v>380</v>
      </c>
      <c r="I32" s="254" t="s">
        <v>243</v>
      </c>
      <c r="J32" s="257">
        <f t="shared" si="3"/>
        <v>50.78472</v>
      </c>
      <c r="K32" s="254" t="s">
        <v>370</v>
      </c>
    </row>
    <row r="33" spans="1:11" ht="18.75" x14ac:dyDescent="0.3">
      <c r="A33" s="254"/>
      <c r="B33" s="254" t="s">
        <v>384</v>
      </c>
      <c r="C33" s="254" t="s">
        <v>360</v>
      </c>
      <c r="D33" s="255">
        <v>2.3E-2</v>
      </c>
      <c r="E33" s="254" t="s">
        <v>379</v>
      </c>
      <c r="F33" s="254" t="s">
        <v>361</v>
      </c>
      <c r="G33" s="256">
        <v>280.37</v>
      </c>
      <c r="H33" s="254" t="s">
        <v>380</v>
      </c>
      <c r="I33" s="254" t="s">
        <v>243</v>
      </c>
      <c r="J33" s="257">
        <f t="shared" si="3"/>
        <v>6.4485099999999997</v>
      </c>
      <c r="K33" s="254" t="s">
        <v>370</v>
      </c>
    </row>
    <row r="34" spans="1:11" ht="18.75" x14ac:dyDescent="0.3">
      <c r="A34" s="254"/>
      <c r="B34" s="254" t="s">
        <v>381</v>
      </c>
      <c r="C34" s="254" t="s">
        <v>375</v>
      </c>
      <c r="D34" s="255">
        <v>1</v>
      </c>
      <c r="E34" s="254" t="s">
        <v>91</v>
      </c>
      <c r="F34" s="254"/>
      <c r="G34" s="255"/>
      <c r="H34" s="254"/>
      <c r="I34" s="254" t="s">
        <v>243</v>
      </c>
      <c r="J34" s="258">
        <f>SUM(J31:J33)</f>
        <v>71.616230000000002</v>
      </c>
      <c r="K34" s="254" t="s">
        <v>370</v>
      </c>
    </row>
    <row r="35" spans="1:11" ht="19.5" thickBot="1" x14ac:dyDescent="0.35">
      <c r="A35" s="254"/>
      <c r="B35" s="254" t="s">
        <v>267</v>
      </c>
      <c r="C35" s="254"/>
      <c r="D35" s="255"/>
      <c r="E35" s="254"/>
      <c r="F35" s="254"/>
      <c r="G35" s="255"/>
      <c r="H35" s="254"/>
      <c r="I35" s="254" t="s">
        <v>243</v>
      </c>
      <c r="J35" s="259">
        <f>J34</f>
        <v>71.616230000000002</v>
      </c>
      <c r="K35" s="254" t="s">
        <v>370</v>
      </c>
    </row>
    <row r="36" spans="1:11" ht="15" thickTop="1" x14ac:dyDescent="0.2"/>
  </sheetData>
  <pageMargins left="0.7" right="0.7" top="0.75" bottom="0.75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95F94B8-4F5A-4CB0-BC2C-C7E68F9EAC5E}">
  <dimension ref="A1:E14"/>
  <sheetViews>
    <sheetView workbookViewId="0">
      <selection activeCell="D14" sqref="D14"/>
    </sheetView>
  </sheetViews>
  <sheetFormatPr defaultRowHeight="18.75" x14ac:dyDescent="0.3"/>
  <cols>
    <col min="1" max="1" width="5" style="255" customWidth="1"/>
    <col min="2" max="2" width="9" style="255"/>
    <col min="3" max="4" width="12.75" style="255" customWidth="1"/>
    <col min="5" max="5" width="11.75" style="255" bestFit="1" customWidth="1"/>
    <col min="6" max="16384" width="9" style="255"/>
  </cols>
  <sheetData>
    <row r="1" spans="1:5" x14ac:dyDescent="0.3">
      <c r="A1" s="255" t="s">
        <v>409</v>
      </c>
    </row>
    <row r="3" spans="1:5" x14ac:dyDescent="0.3">
      <c r="A3" s="255" t="s">
        <v>410</v>
      </c>
      <c r="B3" s="255" t="s">
        <v>415</v>
      </c>
      <c r="E3" s="255">
        <f>C13+D13</f>
        <v>23294829.369999997</v>
      </c>
    </row>
    <row r="4" spans="1:5" x14ac:dyDescent="0.3">
      <c r="A4" s="255" t="s">
        <v>411</v>
      </c>
      <c r="B4" s="255" t="s">
        <v>416</v>
      </c>
      <c r="E4" s="255">
        <v>20000000</v>
      </c>
    </row>
    <row r="5" spans="1:5" x14ac:dyDescent="0.3">
      <c r="A5" s="255" t="s">
        <v>412</v>
      </c>
      <c r="B5" s="255" t="s">
        <v>417</v>
      </c>
      <c r="E5" s="255">
        <v>25000000</v>
      </c>
    </row>
    <row r="6" spans="1:5" x14ac:dyDescent="0.3">
      <c r="A6" s="255" t="s">
        <v>413</v>
      </c>
      <c r="B6" s="255" t="s">
        <v>418</v>
      </c>
      <c r="E6" s="269">
        <v>1.2535000000000001</v>
      </c>
    </row>
    <row r="7" spans="1:5" x14ac:dyDescent="0.3">
      <c r="A7" s="255" t="s">
        <v>414</v>
      </c>
      <c r="B7" s="255" t="s">
        <v>419</v>
      </c>
      <c r="E7" s="269">
        <v>1.2264999999999999</v>
      </c>
    </row>
    <row r="9" spans="1:5" x14ac:dyDescent="0.3">
      <c r="A9" s="255" t="s">
        <v>4</v>
      </c>
      <c r="C9" s="269">
        <f>E6-(((E6-E7)*(E3-E4))/(E5-E4))</f>
        <v>1.2357079214019999</v>
      </c>
    </row>
    <row r="10" spans="1:5" x14ac:dyDescent="0.3">
      <c r="A10" s="255" t="s">
        <v>420</v>
      </c>
      <c r="C10" s="255">
        <f>E3*C9</f>
        <v>28785605.180216957</v>
      </c>
    </row>
    <row r="13" spans="1:5" x14ac:dyDescent="0.3">
      <c r="C13" s="255">
        <v>14808932.51</v>
      </c>
      <c r="D13" s="255">
        <v>8485896.8599999994</v>
      </c>
      <c r="E13" s="255">
        <f>SUM(C13:D13)</f>
        <v>23294829.369999997</v>
      </c>
    </row>
    <row r="14" spans="1:5" x14ac:dyDescent="0.3">
      <c r="C14" s="269"/>
      <c r="D14" s="269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D53B5-C834-4128-B026-C9A7323788D4}">
  <dimension ref="A1:M156"/>
  <sheetViews>
    <sheetView zoomScaleNormal="100" workbookViewId="0">
      <selection sqref="A1:I1"/>
    </sheetView>
  </sheetViews>
  <sheetFormatPr defaultRowHeight="18.75" x14ac:dyDescent="0.2"/>
  <cols>
    <col min="1" max="1" width="5.625" style="28" customWidth="1"/>
    <col min="2" max="2" width="42.5" style="28" customWidth="1"/>
    <col min="3" max="3" width="10" style="28" customWidth="1"/>
    <col min="4" max="4" width="7.5" style="43" customWidth="1"/>
    <col min="5" max="5" width="10" style="28" customWidth="1"/>
    <col min="6" max="6" width="12.5" style="28" customWidth="1"/>
    <col min="7" max="7" width="10" style="28" customWidth="1"/>
    <col min="8" max="9" width="12.5" style="28" customWidth="1"/>
    <col min="10" max="11" width="9" style="28"/>
    <col min="12" max="13" width="9" style="28" customWidth="1"/>
    <col min="14" max="16384" width="9" style="28"/>
  </cols>
  <sheetData>
    <row r="1" spans="1:13" x14ac:dyDescent="0.2">
      <c r="A1" s="280" t="s">
        <v>156</v>
      </c>
      <c r="B1" s="280"/>
      <c r="C1" s="280"/>
      <c r="D1" s="280"/>
      <c r="E1" s="280"/>
      <c r="F1" s="280"/>
      <c r="G1" s="280"/>
      <c r="H1" s="280"/>
      <c r="I1" s="280"/>
      <c r="J1" s="29"/>
      <c r="K1" s="29"/>
      <c r="L1" s="29"/>
      <c r="M1" s="29"/>
    </row>
    <row r="2" spans="1:13" x14ac:dyDescent="0.2">
      <c r="A2" s="280" t="s">
        <v>0</v>
      </c>
      <c r="B2" s="280"/>
      <c r="C2" s="280"/>
      <c r="D2" s="280"/>
      <c r="E2" s="280"/>
      <c r="F2" s="280"/>
      <c r="G2" s="280"/>
      <c r="H2" s="280"/>
      <c r="I2" s="280"/>
      <c r="J2" s="29"/>
      <c r="K2" s="29"/>
      <c r="L2" s="29"/>
      <c r="M2" s="29"/>
    </row>
    <row r="3" spans="1:13" x14ac:dyDescent="0.2">
      <c r="A3" s="280" t="s">
        <v>40</v>
      </c>
      <c r="B3" s="280"/>
      <c r="C3" s="280"/>
      <c r="D3" s="280"/>
      <c r="E3" s="280"/>
      <c r="F3" s="280"/>
      <c r="G3" s="280"/>
      <c r="H3" s="280"/>
      <c r="I3" s="280"/>
      <c r="J3" s="29"/>
      <c r="K3" s="29"/>
      <c r="L3" s="29"/>
      <c r="M3" s="29"/>
    </row>
    <row r="4" spans="1:13" x14ac:dyDescent="0.2">
      <c r="A4" s="35"/>
      <c r="B4" s="35"/>
      <c r="C4" s="35"/>
      <c r="D4" s="35"/>
      <c r="E4" s="35"/>
      <c r="F4" s="35"/>
      <c r="G4" s="35"/>
      <c r="H4" s="35"/>
      <c r="I4" s="35"/>
    </row>
    <row r="5" spans="1:13" s="36" customFormat="1" x14ac:dyDescent="0.2">
      <c r="A5" s="36" t="str">
        <f>ปร.5!A4</f>
        <v>โครงการ   ก่อสร้างสนามกีฬาชุมชน</v>
      </c>
      <c r="D5" s="43"/>
    </row>
    <row r="6" spans="1:13" s="36" customFormat="1" x14ac:dyDescent="0.2">
      <c r="A6" s="36" t="str">
        <f>ปร.5!A5</f>
        <v>สถานที่   โรงเรียนหรเทพ (รุ่งเรืองประชาสามัคคี) ตำบลหรเทพ อำเภอบ้านหมอ จังหวัดสระบุรี</v>
      </c>
      <c r="D6" s="43"/>
    </row>
    <row r="7" spans="1:13" s="36" customFormat="1" x14ac:dyDescent="0.2">
      <c r="A7" s="36" t="str">
        <f>ปร.5!A6</f>
        <v>ประมาณราคาเดือน   มิถุนายน 2567</v>
      </c>
      <c r="D7" s="43"/>
    </row>
    <row r="8" spans="1:13" x14ac:dyDescent="0.2">
      <c r="A8" s="281" t="s">
        <v>32</v>
      </c>
      <c r="B8" s="281" t="s">
        <v>30</v>
      </c>
      <c r="C8" s="281" t="s">
        <v>33</v>
      </c>
      <c r="D8" s="281" t="s">
        <v>31</v>
      </c>
      <c r="E8" s="281" t="s">
        <v>34</v>
      </c>
      <c r="F8" s="281"/>
      <c r="G8" s="281" t="s">
        <v>35</v>
      </c>
      <c r="H8" s="281"/>
      <c r="I8" s="282" t="s">
        <v>36</v>
      </c>
    </row>
    <row r="9" spans="1:13" x14ac:dyDescent="0.2">
      <c r="A9" s="281"/>
      <c r="B9" s="281"/>
      <c r="C9" s="281"/>
      <c r="D9" s="281"/>
      <c r="E9" s="33" t="s">
        <v>37</v>
      </c>
      <c r="F9" s="34" t="s">
        <v>38</v>
      </c>
      <c r="G9" s="33" t="s">
        <v>37</v>
      </c>
      <c r="H9" s="34" t="s">
        <v>39</v>
      </c>
      <c r="I9" s="282"/>
    </row>
    <row r="10" spans="1:13" x14ac:dyDescent="0.2">
      <c r="A10" s="37"/>
      <c r="B10" s="37"/>
      <c r="C10" s="37"/>
      <c r="D10" s="44"/>
      <c r="E10" s="46"/>
      <c r="F10" s="46"/>
      <c r="G10" s="46"/>
      <c r="H10" s="46"/>
      <c r="I10" s="46"/>
    </row>
    <row r="11" spans="1:13" x14ac:dyDescent="0.2">
      <c r="A11" s="38"/>
      <c r="B11" s="40" t="s">
        <v>100</v>
      </c>
      <c r="C11" s="38"/>
      <c r="D11" s="45"/>
      <c r="E11" s="47"/>
      <c r="F11" s="47"/>
      <c r="G11" s="47"/>
      <c r="H11" s="47"/>
      <c r="I11" s="47"/>
    </row>
    <row r="12" spans="1:13" x14ac:dyDescent="0.2">
      <c r="A12" s="38"/>
      <c r="B12" s="38" t="s">
        <v>101</v>
      </c>
      <c r="C12" s="47">
        <f>(27.0816+83.9101280875+1.404)*1.3</f>
        <v>146.11444651375001</v>
      </c>
      <c r="D12" s="54" t="s">
        <v>88</v>
      </c>
      <c r="E12" s="47">
        <v>0</v>
      </c>
      <c r="F12" s="47">
        <f>C12*E12</f>
        <v>0</v>
      </c>
      <c r="G12" s="47">
        <v>112</v>
      </c>
      <c r="H12" s="47">
        <f>C12*G12</f>
        <v>16364.818009540002</v>
      </c>
      <c r="I12" s="47">
        <f>F12+H12</f>
        <v>16364.818009540002</v>
      </c>
    </row>
    <row r="13" spans="1:13" x14ac:dyDescent="0.2">
      <c r="A13" s="38"/>
      <c r="B13" s="38" t="s">
        <v>138</v>
      </c>
      <c r="C13" s="47">
        <f>(51.864066+127.5779505+375+333.0768)*1.3</f>
        <v>1153.77446145</v>
      </c>
      <c r="D13" s="54" t="s">
        <v>88</v>
      </c>
      <c r="E13" s="47">
        <v>466</v>
      </c>
      <c r="F13" s="47">
        <f>C13*E13</f>
        <v>537658.89903570001</v>
      </c>
      <c r="G13" s="47">
        <v>112</v>
      </c>
      <c r="H13" s="47">
        <f>C13*G13</f>
        <v>129222.7396824</v>
      </c>
      <c r="I13" s="47">
        <f>F13+H13</f>
        <v>666881.63871810003</v>
      </c>
    </row>
    <row r="14" spans="1:13" x14ac:dyDescent="0.2">
      <c r="A14" s="38"/>
      <c r="B14" s="38" t="s">
        <v>139</v>
      </c>
      <c r="C14" s="47">
        <f>59*89</f>
        <v>5251</v>
      </c>
      <c r="D14" s="54" t="s">
        <v>91</v>
      </c>
      <c r="E14" s="47">
        <v>0</v>
      </c>
      <c r="F14" s="47">
        <f>C14*E14</f>
        <v>0</v>
      </c>
      <c r="G14" s="47">
        <v>112</v>
      </c>
      <c r="H14" s="47">
        <f>C14*G14</f>
        <v>588112</v>
      </c>
      <c r="I14" s="47">
        <f>F14+H14</f>
        <v>588112</v>
      </c>
    </row>
    <row r="15" spans="1:13" s="29" customFormat="1" x14ac:dyDescent="0.2">
      <c r="A15" s="40"/>
      <c r="B15" s="40" t="s">
        <v>102</v>
      </c>
      <c r="C15" s="52"/>
      <c r="D15" s="55"/>
      <c r="E15" s="52"/>
      <c r="F15" s="52">
        <f>SUM(F12:F14)</f>
        <v>537658.89903570001</v>
      </c>
      <c r="G15" s="52"/>
      <c r="H15" s="52">
        <f>SUM(H12:H14)</f>
        <v>733699.55769193999</v>
      </c>
      <c r="I15" s="52">
        <f>SUM(I12:I14)</f>
        <v>1271358.45672764</v>
      </c>
    </row>
    <row r="16" spans="1:13" s="29" customFormat="1" x14ac:dyDescent="0.2">
      <c r="A16" s="40"/>
      <c r="B16" s="40"/>
      <c r="C16" s="52"/>
      <c r="D16" s="55"/>
      <c r="E16" s="52"/>
      <c r="F16" s="52"/>
      <c r="G16" s="52"/>
      <c r="H16" s="52"/>
      <c r="I16" s="52"/>
    </row>
    <row r="17" spans="1:9" x14ac:dyDescent="0.2">
      <c r="A17" s="38"/>
      <c r="B17" s="40" t="s">
        <v>94</v>
      </c>
      <c r="C17" s="38"/>
      <c r="D17" s="45"/>
      <c r="E17" s="47"/>
      <c r="F17" s="47"/>
      <c r="G17" s="47"/>
      <c r="H17" s="47"/>
      <c r="I17" s="47"/>
    </row>
    <row r="18" spans="1:9" x14ac:dyDescent="0.2">
      <c r="A18" s="38"/>
      <c r="B18" s="38" t="s">
        <v>52</v>
      </c>
      <c r="C18" s="48">
        <f>(0.8*0.8*0.1)*(93)*1.25</f>
        <v>7.4400000000000022</v>
      </c>
      <c r="D18" s="45" t="s">
        <v>88</v>
      </c>
      <c r="E18" s="47">
        <v>436.92</v>
      </c>
      <c r="F18" s="47">
        <f>C18*E18</f>
        <v>3250.6848000000009</v>
      </c>
      <c r="G18" s="47">
        <v>104</v>
      </c>
      <c r="H18" s="47">
        <f>C18*G18</f>
        <v>773.76000000000022</v>
      </c>
      <c r="I18" s="47">
        <f>F18+H18</f>
        <v>4024.4448000000011</v>
      </c>
    </row>
    <row r="19" spans="1:9" x14ac:dyDescent="0.2">
      <c r="A19" s="38"/>
      <c r="B19" s="38" t="s">
        <v>43</v>
      </c>
      <c r="C19" s="48">
        <f>(0.8*0.8*0.05)*(93)</f>
        <v>2.9760000000000009</v>
      </c>
      <c r="D19" s="45" t="s">
        <v>88</v>
      </c>
      <c r="E19" s="47">
        <v>1635.51</v>
      </c>
      <c r="F19" s="47">
        <f t="shared" ref="F19:F83" si="0">C19*E19</f>
        <v>4867.2777600000018</v>
      </c>
      <c r="G19" s="47">
        <v>419</v>
      </c>
      <c r="H19" s="47">
        <f t="shared" ref="H19:H26" si="1">C19*G19</f>
        <v>1246.9440000000004</v>
      </c>
      <c r="I19" s="47">
        <f t="shared" ref="I19:I26" si="2">F19+H19</f>
        <v>6114.2217600000022</v>
      </c>
    </row>
    <row r="20" spans="1:9" x14ac:dyDescent="0.2">
      <c r="A20" s="38"/>
      <c r="B20" s="39" t="s">
        <v>44</v>
      </c>
      <c r="C20" s="48">
        <f>(0.8*0.8*0.2)*(93)</f>
        <v>11.904000000000003</v>
      </c>
      <c r="D20" s="45" t="s">
        <v>88</v>
      </c>
      <c r="E20" s="47">
        <v>2344.6799999999998</v>
      </c>
      <c r="F20" s="47">
        <f t="shared" si="0"/>
        <v>27911.070720000007</v>
      </c>
      <c r="G20" s="47">
        <v>419</v>
      </c>
      <c r="H20" s="47">
        <f t="shared" si="1"/>
        <v>4987.7760000000017</v>
      </c>
      <c r="I20" s="47">
        <f t="shared" si="2"/>
        <v>32898.846720000009</v>
      </c>
    </row>
    <row r="21" spans="1:9" x14ac:dyDescent="0.2">
      <c r="A21" s="38"/>
      <c r="B21" s="39" t="s">
        <v>46</v>
      </c>
      <c r="C21" s="48">
        <f>(12*93)*0.888/1000*1.09</f>
        <v>1.0801987200000001</v>
      </c>
      <c r="D21" s="45" t="s">
        <v>89</v>
      </c>
      <c r="E21" s="47">
        <v>22761.69</v>
      </c>
      <c r="F21" s="47">
        <f t="shared" si="0"/>
        <v>24587.148403036801</v>
      </c>
      <c r="G21" s="47">
        <v>3600</v>
      </c>
      <c r="H21" s="47">
        <f t="shared" si="1"/>
        <v>3888.7153920000001</v>
      </c>
      <c r="I21" s="47">
        <f t="shared" si="2"/>
        <v>28475.863795036799</v>
      </c>
    </row>
    <row r="22" spans="1:9" x14ac:dyDescent="0.2">
      <c r="A22" s="38"/>
      <c r="B22" s="39" t="s">
        <v>47</v>
      </c>
      <c r="C22" s="48">
        <f>(C21)*30</f>
        <v>32.405961600000005</v>
      </c>
      <c r="D22" s="45" t="s">
        <v>90</v>
      </c>
      <c r="E22" s="47">
        <v>40.369999999999997</v>
      </c>
      <c r="F22" s="47">
        <f t="shared" si="0"/>
        <v>1308.2286697920001</v>
      </c>
      <c r="G22" s="47">
        <v>0</v>
      </c>
      <c r="H22" s="47">
        <f t="shared" si="1"/>
        <v>0</v>
      </c>
      <c r="I22" s="47">
        <f t="shared" si="2"/>
        <v>1308.2286697920001</v>
      </c>
    </row>
    <row r="23" spans="1:9" x14ac:dyDescent="0.2">
      <c r="A23" s="38"/>
      <c r="B23" s="39" t="s">
        <v>48</v>
      </c>
      <c r="C23" s="48">
        <f>(3.2*0.2)*93</f>
        <v>59.52000000000001</v>
      </c>
      <c r="D23" s="45" t="s">
        <v>91</v>
      </c>
      <c r="E23" s="47">
        <v>0</v>
      </c>
      <c r="F23" s="47">
        <f t="shared" si="0"/>
        <v>0</v>
      </c>
      <c r="G23" s="47">
        <v>139</v>
      </c>
      <c r="H23" s="47">
        <f t="shared" si="1"/>
        <v>8273.2800000000007</v>
      </c>
      <c r="I23" s="47">
        <f t="shared" si="2"/>
        <v>8273.2800000000007</v>
      </c>
    </row>
    <row r="24" spans="1:9" x14ac:dyDescent="0.2">
      <c r="A24" s="38"/>
      <c r="B24" s="39" t="s">
        <v>49</v>
      </c>
      <c r="C24" s="48">
        <f>C23*0.8</f>
        <v>47.616000000000014</v>
      </c>
      <c r="D24" s="45" t="s">
        <v>92</v>
      </c>
      <c r="E24" s="47">
        <v>400</v>
      </c>
      <c r="F24" s="47">
        <f t="shared" si="0"/>
        <v>19046.400000000005</v>
      </c>
      <c r="G24" s="47">
        <v>0</v>
      </c>
      <c r="H24" s="47">
        <f t="shared" si="1"/>
        <v>0</v>
      </c>
      <c r="I24" s="47">
        <f t="shared" si="2"/>
        <v>19046.400000000005</v>
      </c>
    </row>
    <row r="25" spans="1:9" x14ac:dyDescent="0.2">
      <c r="A25" s="38"/>
      <c r="B25" s="39" t="s">
        <v>50</v>
      </c>
      <c r="C25" s="48">
        <f>C24*0.3</f>
        <v>14.284800000000004</v>
      </c>
      <c r="D25" s="45" t="s">
        <v>92</v>
      </c>
      <c r="E25" s="47">
        <v>400</v>
      </c>
      <c r="F25" s="47">
        <f t="shared" si="0"/>
        <v>5713.9200000000019</v>
      </c>
      <c r="G25" s="47">
        <v>0</v>
      </c>
      <c r="H25" s="47">
        <f t="shared" si="1"/>
        <v>0</v>
      </c>
      <c r="I25" s="47">
        <f t="shared" si="2"/>
        <v>5713.9200000000019</v>
      </c>
    </row>
    <row r="26" spans="1:9" x14ac:dyDescent="0.2">
      <c r="A26" s="38"/>
      <c r="B26" s="39" t="s">
        <v>51</v>
      </c>
      <c r="C26" s="48">
        <f>C23*0.25</f>
        <v>14.880000000000003</v>
      </c>
      <c r="D26" s="45" t="s">
        <v>90</v>
      </c>
      <c r="E26" s="47">
        <v>56.07</v>
      </c>
      <c r="F26" s="47">
        <f t="shared" si="0"/>
        <v>834.3216000000001</v>
      </c>
      <c r="G26" s="47">
        <v>0</v>
      </c>
      <c r="H26" s="47">
        <f t="shared" si="1"/>
        <v>0</v>
      </c>
      <c r="I26" s="47">
        <f t="shared" si="2"/>
        <v>834.3216000000001</v>
      </c>
    </row>
    <row r="27" spans="1:9" s="29" customFormat="1" x14ac:dyDescent="0.2">
      <c r="A27" s="40"/>
      <c r="B27" s="50" t="s">
        <v>93</v>
      </c>
      <c r="C27" s="40"/>
      <c r="D27" s="51"/>
      <c r="E27" s="52"/>
      <c r="F27" s="52">
        <f>SUM(F18:F26)</f>
        <v>87519.051952828813</v>
      </c>
      <c r="G27" s="52"/>
      <c r="H27" s="52">
        <f>SUM(H18:H26)</f>
        <v>19170.475392</v>
      </c>
      <c r="I27" s="52">
        <f>SUM(I18:I26)</f>
        <v>106689.52734482882</v>
      </c>
    </row>
    <row r="28" spans="1:9" x14ac:dyDescent="0.2">
      <c r="A28" s="38"/>
      <c r="B28" s="49"/>
      <c r="C28" s="38"/>
      <c r="D28" s="45"/>
      <c r="E28" s="47"/>
      <c r="F28" s="47"/>
      <c r="G28" s="47"/>
      <c r="H28" s="47"/>
      <c r="I28" s="47"/>
    </row>
    <row r="29" spans="1:9" x14ac:dyDescent="0.2">
      <c r="A29" s="38"/>
      <c r="B29" s="41" t="s">
        <v>54</v>
      </c>
      <c r="C29" s="38"/>
      <c r="D29" s="45"/>
      <c r="E29" s="47"/>
      <c r="F29" s="47"/>
      <c r="G29" s="47"/>
      <c r="H29" s="47"/>
      <c r="I29" s="47"/>
    </row>
    <row r="30" spans="1:9" x14ac:dyDescent="0.2">
      <c r="A30" s="38"/>
      <c r="B30" s="39" t="s">
        <v>44</v>
      </c>
      <c r="C30" s="47">
        <f>(0.2*0.2*0.5)*(93)</f>
        <v>1.8600000000000003</v>
      </c>
      <c r="D30" s="45" t="s">
        <v>88</v>
      </c>
      <c r="E30" s="47">
        <v>2344.6799999999998</v>
      </c>
      <c r="F30" s="47">
        <f t="shared" si="0"/>
        <v>4361.1048000000001</v>
      </c>
      <c r="G30" s="47">
        <v>419</v>
      </c>
      <c r="H30" s="47">
        <f t="shared" ref="H30:H90" si="3">C30*G30</f>
        <v>779.34000000000015</v>
      </c>
      <c r="I30" s="47">
        <f t="shared" ref="I30:I90" si="4">F30+H30</f>
        <v>5140.4448000000002</v>
      </c>
    </row>
    <row r="31" spans="1:9" x14ac:dyDescent="0.2">
      <c r="A31" s="38"/>
      <c r="B31" s="39" t="s">
        <v>53</v>
      </c>
      <c r="C31" s="47">
        <f>(4*93)*0.222/1000*1.05</f>
        <v>8.6713200000000004E-2</v>
      </c>
      <c r="D31" s="45" t="s">
        <v>89</v>
      </c>
      <c r="E31" s="47">
        <v>23572.43</v>
      </c>
      <c r="F31" s="47">
        <f t="shared" si="0"/>
        <v>2044.0408370760001</v>
      </c>
      <c r="G31" s="47">
        <v>4400</v>
      </c>
      <c r="H31" s="47">
        <f t="shared" si="3"/>
        <v>381.53808000000004</v>
      </c>
      <c r="I31" s="47">
        <f t="shared" si="4"/>
        <v>2425.5789170759999</v>
      </c>
    </row>
    <row r="32" spans="1:9" x14ac:dyDescent="0.2">
      <c r="A32" s="38"/>
      <c r="B32" s="39" t="s">
        <v>46</v>
      </c>
      <c r="C32" s="47">
        <f>(4*93)*0.888/1000*1.09</f>
        <v>0.36006624000000004</v>
      </c>
      <c r="D32" s="45" t="s">
        <v>89</v>
      </c>
      <c r="E32" s="47">
        <v>22761.69</v>
      </c>
      <c r="F32" s="47">
        <f t="shared" si="0"/>
        <v>8195.7161343456009</v>
      </c>
      <c r="G32" s="47">
        <v>3600</v>
      </c>
      <c r="H32" s="47">
        <f t="shared" si="3"/>
        <v>1296.238464</v>
      </c>
      <c r="I32" s="47">
        <f t="shared" si="4"/>
        <v>9491.954598345601</v>
      </c>
    </row>
    <row r="33" spans="1:9" x14ac:dyDescent="0.2">
      <c r="A33" s="38"/>
      <c r="B33" s="39" t="s">
        <v>47</v>
      </c>
      <c r="C33" s="47">
        <f>(C31+C32)*30</f>
        <v>13.4033832</v>
      </c>
      <c r="D33" s="45" t="s">
        <v>90</v>
      </c>
      <c r="E33" s="47">
        <v>40.369999999999997</v>
      </c>
      <c r="F33" s="47">
        <f t="shared" si="0"/>
        <v>541.09457978399996</v>
      </c>
      <c r="G33" s="47">
        <v>0</v>
      </c>
      <c r="H33" s="47">
        <f t="shared" si="3"/>
        <v>0</v>
      </c>
      <c r="I33" s="47">
        <f t="shared" si="4"/>
        <v>541.09457978399996</v>
      </c>
    </row>
    <row r="34" spans="1:9" x14ac:dyDescent="0.2">
      <c r="A34" s="38"/>
      <c r="B34" s="39" t="s">
        <v>48</v>
      </c>
      <c r="C34" s="47">
        <f>(0.8*1.4)*93</f>
        <v>104.15999999999998</v>
      </c>
      <c r="D34" s="45" t="s">
        <v>91</v>
      </c>
      <c r="E34" s="47">
        <v>0</v>
      </c>
      <c r="F34" s="47">
        <f t="shared" si="0"/>
        <v>0</v>
      </c>
      <c r="G34" s="47">
        <v>139</v>
      </c>
      <c r="H34" s="47">
        <f t="shared" si="3"/>
        <v>14478.239999999998</v>
      </c>
      <c r="I34" s="47">
        <f t="shared" si="4"/>
        <v>14478.239999999998</v>
      </c>
    </row>
    <row r="35" spans="1:9" x14ac:dyDescent="0.2">
      <c r="A35" s="38"/>
      <c r="B35" s="39" t="s">
        <v>49</v>
      </c>
      <c r="C35" s="47">
        <f>C34*0.8</f>
        <v>83.327999999999989</v>
      </c>
      <c r="D35" s="45" t="s">
        <v>92</v>
      </c>
      <c r="E35" s="47">
        <v>400</v>
      </c>
      <c r="F35" s="47">
        <f t="shared" si="0"/>
        <v>33331.199999999997</v>
      </c>
      <c r="G35" s="47">
        <v>0</v>
      </c>
      <c r="H35" s="47">
        <f t="shared" si="3"/>
        <v>0</v>
      </c>
      <c r="I35" s="47">
        <f t="shared" si="4"/>
        <v>33331.199999999997</v>
      </c>
    </row>
    <row r="36" spans="1:9" x14ac:dyDescent="0.2">
      <c r="A36" s="38"/>
      <c r="B36" s="39" t="s">
        <v>50</v>
      </c>
      <c r="C36" s="47">
        <f>C35*0.3</f>
        <v>24.998399999999997</v>
      </c>
      <c r="D36" s="45" t="s">
        <v>92</v>
      </c>
      <c r="E36" s="47">
        <v>400</v>
      </c>
      <c r="F36" s="47">
        <f t="shared" si="0"/>
        <v>9999.3599999999988</v>
      </c>
      <c r="G36" s="47">
        <v>0</v>
      </c>
      <c r="H36" s="47">
        <f t="shared" si="3"/>
        <v>0</v>
      </c>
      <c r="I36" s="47">
        <f t="shared" si="4"/>
        <v>9999.3599999999988</v>
      </c>
    </row>
    <row r="37" spans="1:9" x14ac:dyDescent="0.2">
      <c r="A37" s="38"/>
      <c r="B37" s="39" t="s">
        <v>51</v>
      </c>
      <c r="C37" s="47">
        <f>C34*0.25</f>
        <v>26.039999999999996</v>
      </c>
      <c r="D37" s="45" t="s">
        <v>90</v>
      </c>
      <c r="E37" s="47">
        <v>56.07</v>
      </c>
      <c r="F37" s="47">
        <f t="shared" si="0"/>
        <v>1460.0627999999997</v>
      </c>
      <c r="G37" s="47">
        <v>0</v>
      </c>
      <c r="H37" s="47">
        <f t="shared" si="3"/>
        <v>0</v>
      </c>
      <c r="I37" s="47">
        <f t="shared" si="4"/>
        <v>1460.0627999999997</v>
      </c>
    </row>
    <row r="38" spans="1:9" x14ac:dyDescent="0.2">
      <c r="A38" s="38"/>
      <c r="B38" s="39" t="s">
        <v>98</v>
      </c>
      <c r="C38" s="47">
        <f>(0.2*0.2*93)*94.291855</f>
        <v>350.76570060000006</v>
      </c>
      <c r="D38" s="45" t="s">
        <v>90</v>
      </c>
      <c r="E38" s="47">
        <v>36.5</v>
      </c>
      <c r="F38" s="47">
        <f t="shared" si="0"/>
        <v>12802.948071900002</v>
      </c>
      <c r="G38" s="47">
        <v>20</v>
      </c>
      <c r="H38" s="47">
        <f t="shared" ref="H38:H39" si="5">C38*G38</f>
        <v>7015.3140120000007</v>
      </c>
      <c r="I38" s="47">
        <f t="shared" ref="I38:I39" si="6">F38+H38</f>
        <v>19818.262083900001</v>
      </c>
    </row>
    <row r="39" spans="1:9" x14ac:dyDescent="0.2">
      <c r="A39" s="38"/>
      <c r="B39" s="39" t="s">
        <v>97</v>
      </c>
      <c r="C39" s="47">
        <f>4*93</f>
        <v>372</v>
      </c>
      <c r="D39" s="45" t="s">
        <v>99</v>
      </c>
      <c r="E39" s="47">
        <v>42.32</v>
      </c>
      <c r="F39" s="47">
        <f t="shared" si="0"/>
        <v>15743.04</v>
      </c>
      <c r="G39" s="47">
        <v>5</v>
      </c>
      <c r="H39" s="47">
        <f t="shared" si="5"/>
        <v>1860</v>
      </c>
      <c r="I39" s="47">
        <f t="shared" si="6"/>
        <v>17603.04</v>
      </c>
    </row>
    <row r="40" spans="1:9" s="29" customFormat="1" x14ac:dyDescent="0.2">
      <c r="A40" s="40"/>
      <c r="B40" s="41" t="s">
        <v>95</v>
      </c>
      <c r="C40" s="53"/>
      <c r="D40" s="51"/>
      <c r="E40" s="52"/>
      <c r="F40" s="52">
        <f>SUM(F30:F39)</f>
        <v>88478.567223105609</v>
      </c>
      <c r="G40" s="52"/>
      <c r="H40" s="52">
        <f>SUM(H30:H39)</f>
        <v>25810.670555999997</v>
      </c>
      <c r="I40" s="52">
        <f>SUM(I30:I39)</f>
        <v>114289.23777910561</v>
      </c>
    </row>
    <row r="41" spans="1:9" x14ac:dyDescent="0.2">
      <c r="A41" s="38"/>
      <c r="B41" s="39"/>
      <c r="C41" s="38"/>
      <c r="D41" s="45"/>
      <c r="E41" s="47"/>
      <c r="F41" s="47"/>
      <c r="G41" s="47"/>
      <c r="H41" s="47"/>
      <c r="I41" s="47"/>
    </row>
    <row r="42" spans="1:9" x14ac:dyDescent="0.2">
      <c r="A42" s="38"/>
      <c r="B42" s="41" t="s">
        <v>55</v>
      </c>
      <c r="C42" s="38"/>
      <c r="D42" s="45"/>
      <c r="E42" s="47"/>
      <c r="F42" s="47"/>
      <c r="G42" s="47"/>
      <c r="H42" s="47"/>
      <c r="I42" s="47"/>
    </row>
    <row r="43" spans="1:9" x14ac:dyDescent="0.2">
      <c r="A43" s="38"/>
      <c r="B43" s="39" t="s">
        <v>58</v>
      </c>
      <c r="C43" s="47">
        <f>(6*143)*6.78</f>
        <v>5817.24</v>
      </c>
      <c r="D43" s="54" t="s">
        <v>90</v>
      </c>
      <c r="E43" s="47">
        <f>1123/40.68</f>
        <v>27.605703048180924</v>
      </c>
      <c r="F43" s="47">
        <f t="shared" si="0"/>
        <v>160589</v>
      </c>
      <c r="G43" s="47">
        <v>0</v>
      </c>
      <c r="H43" s="47">
        <f t="shared" si="3"/>
        <v>0</v>
      </c>
      <c r="I43" s="47">
        <f t="shared" si="4"/>
        <v>160589</v>
      </c>
    </row>
    <row r="44" spans="1:9" x14ac:dyDescent="0.2">
      <c r="A44" s="38"/>
      <c r="B44" s="39" t="s">
        <v>57</v>
      </c>
      <c r="C44" s="47">
        <f>(6*93)*12.2</f>
        <v>6807.5999999999995</v>
      </c>
      <c r="D44" s="54" t="s">
        <v>90</v>
      </c>
      <c r="E44" s="47">
        <f>2021/73.2</f>
        <v>27.609289617486336</v>
      </c>
      <c r="F44" s="47">
        <f t="shared" si="0"/>
        <v>187952.99999999997</v>
      </c>
      <c r="G44" s="47">
        <v>0</v>
      </c>
      <c r="H44" s="47">
        <f t="shared" si="3"/>
        <v>0</v>
      </c>
      <c r="I44" s="47">
        <f t="shared" si="4"/>
        <v>187952.99999999997</v>
      </c>
    </row>
    <row r="45" spans="1:9" x14ac:dyDescent="0.2">
      <c r="A45" s="38"/>
      <c r="B45" s="39" t="s">
        <v>56</v>
      </c>
      <c r="C45" s="47">
        <f>1.8*273.2</f>
        <v>491.76</v>
      </c>
      <c r="D45" s="54" t="s">
        <v>91</v>
      </c>
      <c r="E45" s="47">
        <v>30</v>
      </c>
      <c r="F45" s="47">
        <f t="shared" si="0"/>
        <v>14752.8</v>
      </c>
      <c r="G45" s="47">
        <v>25</v>
      </c>
      <c r="H45" s="47">
        <f t="shared" si="3"/>
        <v>12294</v>
      </c>
      <c r="I45" s="47">
        <f t="shared" si="4"/>
        <v>27046.799999999999</v>
      </c>
    </row>
    <row r="46" spans="1:9" x14ac:dyDescent="0.2">
      <c r="A46" s="38"/>
      <c r="B46" s="39" t="s">
        <v>59</v>
      </c>
      <c r="C46" s="47">
        <f>3*273.2</f>
        <v>819.59999999999991</v>
      </c>
      <c r="D46" s="54" t="s">
        <v>91</v>
      </c>
      <c r="E46" s="47">
        <f>2409/18</f>
        <v>133.83333333333334</v>
      </c>
      <c r="F46" s="47">
        <f t="shared" si="0"/>
        <v>109689.79999999999</v>
      </c>
      <c r="G46" s="47">
        <v>25</v>
      </c>
      <c r="H46" s="47">
        <f t="shared" si="3"/>
        <v>20489.999999999996</v>
      </c>
      <c r="I46" s="47">
        <f t="shared" si="4"/>
        <v>130179.79999999999</v>
      </c>
    </row>
    <row r="47" spans="1:9" x14ac:dyDescent="0.2">
      <c r="A47" s="38"/>
      <c r="B47" s="39" t="s">
        <v>60</v>
      </c>
      <c r="C47" s="47">
        <f>C43+C44</f>
        <v>12624.84</v>
      </c>
      <c r="D47" s="54" t="s">
        <v>90</v>
      </c>
      <c r="E47" s="47">
        <v>0</v>
      </c>
      <c r="F47" s="47">
        <f t="shared" si="0"/>
        <v>0</v>
      </c>
      <c r="G47" s="47">
        <v>10</v>
      </c>
      <c r="H47" s="47">
        <f t="shared" si="3"/>
        <v>126248.4</v>
      </c>
      <c r="I47" s="47">
        <f t="shared" si="4"/>
        <v>126248.4</v>
      </c>
    </row>
    <row r="48" spans="1:9" x14ac:dyDescent="0.2">
      <c r="A48" s="38"/>
      <c r="B48" s="39" t="s">
        <v>75</v>
      </c>
      <c r="C48" s="47">
        <f>240.2+200.45</f>
        <v>440.65</v>
      </c>
      <c r="D48" s="54" t="s">
        <v>91</v>
      </c>
      <c r="E48" s="47">
        <v>58</v>
      </c>
      <c r="F48" s="47">
        <f t="shared" si="0"/>
        <v>25557.699999999997</v>
      </c>
      <c r="G48" s="47">
        <v>35</v>
      </c>
      <c r="H48" s="47">
        <f t="shared" si="3"/>
        <v>15422.75</v>
      </c>
      <c r="I48" s="47">
        <f t="shared" si="4"/>
        <v>40980.449999999997</v>
      </c>
    </row>
    <row r="49" spans="1:11" s="29" customFormat="1" x14ac:dyDescent="0.2">
      <c r="A49" s="40"/>
      <c r="B49" s="41" t="s">
        <v>96</v>
      </c>
      <c r="C49" s="52"/>
      <c r="D49" s="55"/>
      <c r="E49" s="52"/>
      <c r="F49" s="52">
        <f>SUM(F43:F48)</f>
        <v>498542.3</v>
      </c>
      <c r="G49" s="52"/>
      <c r="H49" s="52">
        <f>SUM(H43:H48)</f>
        <v>174455.15</v>
      </c>
      <c r="I49" s="52">
        <f>SUM(I43:I48)</f>
        <v>672997.45</v>
      </c>
    </row>
    <row r="50" spans="1:11" x14ac:dyDescent="0.2">
      <c r="A50" s="38"/>
      <c r="B50" s="39"/>
      <c r="C50" s="38"/>
      <c r="D50" s="45"/>
      <c r="E50" s="47"/>
      <c r="F50" s="47"/>
      <c r="G50" s="47"/>
      <c r="H50" s="47"/>
      <c r="I50" s="47"/>
    </row>
    <row r="51" spans="1:11" x14ac:dyDescent="0.3">
      <c r="A51" s="38"/>
      <c r="B51" s="41" t="s">
        <v>62</v>
      </c>
      <c r="C51" s="47"/>
      <c r="D51" s="56"/>
      <c r="E51" s="47"/>
      <c r="F51" s="47"/>
      <c r="G51" s="47"/>
      <c r="H51" s="47"/>
      <c r="I51" s="47"/>
    </row>
    <row r="52" spans="1:11" x14ac:dyDescent="0.3">
      <c r="A52" s="38"/>
      <c r="B52" s="39" t="s">
        <v>63</v>
      </c>
      <c r="C52" s="47">
        <f>2*(6*17.2*0.05)*1.6</f>
        <v>16.512</v>
      </c>
      <c r="D52" s="56" t="s">
        <v>88</v>
      </c>
      <c r="E52" s="57">
        <v>466</v>
      </c>
      <c r="F52" s="47">
        <f t="shared" si="0"/>
        <v>7694.5920000000006</v>
      </c>
      <c r="G52" s="47">
        <v>112</v>
      </c>
      <c r="H52" s="47">
        <f t="shared" si="3"/>
        <v>1849.3440000000001</v>
      </c>
      <c r="I52" s="47">
        <f t="shared" si="4"/>
        <v>9543.9360000000015</v>
      </c>
    </row>
    <row r="53" spans="1:11" x14ac:dyDescent="0.3">
      <c r="A53" s="38"/>
      <c r="B53" s="39" t="s">
        <v>64</v>
      </c>
      <c r="C53" s="47">
        <f>2*(6*17.2)</f>
        <v>206.39999999999998</v>
      </c>
      <c r="D53" s="56" t="s">
        <v>91</v>
      </c>
      <c r="E53" s="47">
        <v>24.877500000000001</v>
      </c>
      <c r="F53" s="47">
        <f t="shared" si="0"/>
        <v>5134.7159999999994</v>
      </c>
      <c r="G53" s="47">
        <v>5</v>
      </c>
      <c r="H53" s="47">
        <f t="shared" si="3"/>
        <v>1032</v>
      </c>
      <c r="I53" s="47">
        <f t="shared" si="4"/>
        <v>6166.7159999999994</v>
      </c>
      <c r="K53" s="30"/>
    </row>
    <row r="54" spans="1:11" x14ac:dyDescent="0.3">
      <c r="A54" s="38"/>
      <c r="B54" s="39" t="s">
        <v>103</v>
      </c>
      <c r="C54" s="47">
        <f>2*(6*17.2*0.07)</f>
        <v>14.448</v>
      </c>
      <c r="D54" s="56" t="s">
        <v>88</v>
      </c>
      <c r="E54" s="57">
        <v>600</v>
      </c>
      <c r="F54" s="47">
        <f t="shared" si="0"/>
        <v>8668.8000000000011</v>
      </c>
      <c r="G54" s="47">
        <v>112</v>
      </c>
      <c r="H54" s="47">
        <f t="shared" si="3"/>
        <v>1618.1759999999999</v>
      </c>
      <c r="I54" s="47">
        <f t="shared" si="4"/>
        <v>10286.976000000001</v>
      </c>
    </row>
    <row r="55" spans="1:11" x14ac:dyDescent="0.2">
      <c r="A55" s="38"/>
      <c r="B55" s="39" t="s">
        <v>131</v>
      </c>
      <c r="C55" s="47">
        <f>2*(12+35+12+35)</f>
        <v>188</v>
      </c>
      <c r="D55" s="54" t="s">
        <v>106</v>
      </c>
      <c r="E55" s="47">
        <v>75</v>
      </c>
      <c r="F55" s="47">
        <f t="shared" si="0"/>
        <v>14100</v>
      </c>
      <c r="G55" s="47">
        <v>50</v>
      </c>
      <c r="H55" s="47">
        <f t="shared" si="3"/>
        <v>9400</v>
      </c>
      <c r="I55" s="47">
        <f t="shared" si="4"/>
        <v>23500</v>
      </c>
    </row>
    <row r="56" spans="1:11" s="29" customFormat="1" x14ac:dyDescent="0.2">
      <c r="A56" s="40"/>
      <c r="B56" s="41" t="s">
        <v>107</v>
      </c>
      <c r="C56" s="52"/>
      <c r="D56" s="55"/>
      <c r="E56" s="52"/>
      <c r="F56" s="52">
        <f>SUM(F52:F55)</f>
        <v>35598.108</v>
      </c>
      <c r="G56" s="52"/>
      <c r="H56" s="52">
        <f>SUM(H52:H55)</f>
        <v>13899.52</v>
      </c>
      <c r="I56" s="52">
        <f>SUM(I52:I55)</f>
        <v>49497.628000000004</v>
      </c>
    </row>
    <row r="57" spans="1:11" x14ac:dyDescent="0.2">
      <c r="A57" s="38"/>
      <c r="B57" s="39"/>
      <c r="C57" s="47"/>
      <c r="D57" s="54"/>
      <c r="E57" s="47"/>
      <c r="F57" s="47"/>
      <c r="G57" s="47"/>
      <c r="H57" s="47"/>
      <c r="I57" s="47"/>
    </row>
    <row r="58" spans="1:11" x14ac:dyDescent="0.2">
      <c r="A58" s="38"/>
      <c r="B58" s="41" t="s">
        <v>65</v>
      </c>
      <c r="C58" s="47"/>
      <c r="D58" s="54"/>
      <c r="E58" s="47"/>
      <c r="F58" s="47"/>
      <c r="G58" s="47"/>
      <c r="H58" s="47"/>
      <c r="I58" s="47"/>
    </row>
    <row r="59" spans="1:11" x14ac:dyDescent="0.2">
      <c r="A59" s="38"/>
      <c r="B59" s="38" t="s">
        <v>52</v>
      </c>
      <c r="C59" s="47">
        <f>(0.12407*12)*1.25</f>
        <v>1.8610499999999999</v>
      </c>
      <c r="D59" s="54" t="s">
        <v>88</v>
      </c>
      <c r="E59" s="47">
        <v>436.92</v>
      </c>
      <c r="F59" s="47">
        <f t="shared" si="0"/>
        <v>813.12996599999997</v>
      </c>
      <c r="G59" s="47">
        <v>104</v>
      </c>
      <c r="H59" s="47">
        <f t="shared" si="3"/>
        <v>193.54919999999998</v>
      </c>
      <c r="I59" s="47">
        <f t="shared" si="4"/>
        <v>1006.6791659999999</v>
      </c>
    </row>
    <row r="60" spans="1:11" x14ac:dyDescent="0.2">
      <c r="A60" s="38"/>
      <c r="B60" s="38" t="s">
        <v>43</v>
      </c>
      <c r="C60" s="47">
        <f>(0.062035*12)</f>
        <v>0.74441999999999997</v>
      </c>
      <c r="D60" s="54" t="s">
        <v>88</v>
      </c>
      <c r="E60" s="47">
        <v>1635.51</v>
      </c>
      <c r="F60" s="47">
        <f t="shared" si="0"/>
        <v>1217.5063542</v>
      </c>
      <c r="G60" s="47">
        <v>419</v>
      </c>
      <c r="H60" s="47">
        <f t="shared" si="3"/>
        <v>311.91197999999997</v>
      </c>
      <c r="I60" s="47">
        <f t="shared" si="4"/>
        <v>1529.4183342000001</v>
      </c>
    </row>
    <row r="61" spans="1:11" x14ac:dyDescent="0.2">
      <c r="A61" s="38"/>
      <c r="B61" s="39" t="s">
        <v>44</v>
      </c>
      <c r="C61" s="47">
        <f>0.2972*1*12</f>
        <v>3.5664000000000002</v>
      </c>
      <c r="D61" s="54" t="s">
        <v>88</v>
      </c>
      <c r="E61" s="47">
        <v>2344.6799999999998</v>
      </c>
      <c r="F61" s="47">
        <f t="shared" si="0"/>
        <v>8362.0667520000006</v>
      </c>
      <c r="G61" s="47">
        <v>419</v>
      </c>
      <c r="H61" s="47">
        <f t="shared" si="3"/>
        <v>1494.3216</v>
      </c>
      <c r="I61" s="47">
        <f t="shared" si="4"/>
        <v>9856.3883519999999</v>
      </c>
    </row>
    <row r="62" spans="1:11" x14ac:dyDescent="0.2">
      <c r="A62" s="38"/>
      <c r="B62" s="39" t="s">
        <v>53</v>
      </c>
      <c r="C62" s="47">
        <f>(28.4*12)*0.222/1000*1.05</f>
        <v>7.9440479999999994E-2</v>
      </c>
      <c r="D62" s="54" t="s">
        <v>89</v>
      </c>
      <c r="E62" s="47">
        <v>23572.43</v>
      </c>
      <c r="F62" s="47">
        <f t="shared" si="0"/>
        <v>1872.6051539663999</v>
      </c>
      <c r="G62" s="47">
        <v>4400</v>
      </c>
      <c r="H62" s="47">
        <f t="shared" si="3"/>
        <v>349.53811199999996</v>
      </c>
      <c r="I62" s="47">
        <f t="shared" si="4"/>
        <v>2222.1432659663997</v>
      </c>
    </row>
    <row r="63" spans="1:11" x14ac:dyDescent="0.2">
      <c r="A63" s="38"/>
      <c r="B63" s="39" t="s">
        <v>45</v>
      </c>
      <c r="C63" s="47">
        <f>(19*12)*0.499/1000*1.07</f>
        <v>0.12173604000000002</v>
      </c>
      <c r="D63" s="54" t="s">
        <v>89</v>
      </c>
      <c r="E63" s="47">
        <v>22756.54</v>
      </c>
      <c r="F63" s="47">
        <f t="shared" si="0"/>
        <v>2770.2910637016007</v>
      </c>
      <c r="G63" s="47">
        <v>4400</v>
      </c>
      <c r="H63" s="47">
        <f t="shared" si="3"/>
        <v>535.63857600000006</v>
      </c>
      <c r="I63" s="47">
        <f t="shared" si="4"/>
        <v>3305.9296397016005</v>
      </c>
    </row>
    <row r="64" spans="1:11" x14ac:dyDescent="0.2">
      <c r="A64" s="38"/>
      <c r="B64" s="39" t="s">
        <v>46</v>
      </c>
      <c r="C64" s="47">
        <f>(8*12)*0.888/1000*1.09</f>
        <v>9.2920320000000015E-2</v>
      </c>
      <c r="D64" s="54" t="s">
        <v>89</v>
      </c>
      <c r="E64" s="47">
        <v>22761.69</v>
      </c>
      <c r="F64" s="47">
        <f t="shared" si="0"/>
        <v>2115.0235185408001</v>
      </c>
      <c r="G64" s="47">
        <v>3600</v>
      </c>
      <c r="H64" s="47">
        <f t="shared" si="3"/>
        <v>334.51315200000005</v>
      </c>
      <c r="I64" s="47">
        <f t="shared" si="4"/>
        <v>2449.5366705408001</v>
      </c>
    </row>
    <row r="65" spans="1:9" x14ac:dyDescent="0.2">
      <c r="A65" s="38"/>
      <c r="B65" s="39" t="s">
        <v>47</v>
      </c>
      <c r="C65" s="47">
        <f>(C62+C63+C64)*30</f>
        <v>8.822905200000001</v>
      </c>
      <c r="D65" s="54" t="s">
        <v>90</v>
      </c>
      <c r="E65" s="47">
        <v>40.369999999999997</v>
      </c>
      <c r="F65" s="47">
        <f t="shared" si="0"/>
        <v>356.180682924</v>
      </c>
      <c r="G65" s="47">
        <v>0</v>
      </c>
      <c r="H65" s="47">
        <f t="shared" si="3"/>
        <v>0</v>
      </c>
      <c r="I65" s="47">
        <f t="shared" si="4"/>
        <v>356.180682924</v>
      </c>
    </row>
    <row r="66" spans="1:9" x14ac:dyDescent="0.2">
      <c r="A66" s="38"/>
      <c r="B66" s="39" t="s">
        <v>48</v>
      </c>
      <c r="C66" s="47">
        <f>(1.62*12)+(0.2972*24)</f>
        <v>26.572800000000001</v>
      </c>
      <c r="D66" s="54" t="s">
        <v>91</v>
      </c>
      <c r="E66" s="47">
        <v>0</v>
      </c>
      <c r="F66" s="47">
        <f t="shared" si="0"/>
        <v>0</v>
      </c>
      <c r="G66" s="47">
        <v>139</v>
      </c>
      <c r="H66" s="47">
        <f t="shared" si="3"/>
        <v>3693.6192000000001</v>
      </c>
      <c r="I66" s="47">
        <f t="shared" si="4"/>
        <v>3693.6192000000001</v>
      </c>
    </row>
    <row r="67" spans="1:9" x14ac:dyDescent="0.2">
      <c r="A67" s="38"/>
      <c r="B67" s="39" t="s">
        <v>49</v>
      </c>
      <c r="C67" s="47">
        <f>C66*0.8</f>
        <v>21.258240000000001</v>
      </c>
      <c r="D67" s="54" t="s">
        <v>92</v>
      </c>
      <c r="E67" s="47">
        <v>400</v>
      </c>
      <c r="F67" s="47">
        <f t="shared" si="0"/>
        <v>8503.2960000000003</v>
      </c>
      <c r="G67" s="47">
        <v>0</v>
      </c>
      <c r="H67" s="47">
        <f t="shared" si="3"/>
        <v>0</v>
      </c>
      <c r="I67" s="47">
        <f t="shared" si="4"/>
        <v>8503.2960000000003</v>
      </c>
    </row>
    <row r="68" spans="1:9" x14ac:dyDescent="0.2">
      <c r="A68" s="38"/>
      <c r="B68" s="39" t="s">
        <v>50</v>
      </c>
      <c r="C68" s="47">
        <f>C67*0.3</f>
        <v>6.377472</v>
      </c>
      <c r="D68" s="54" t="s">
        <v>92</v>
      </c>
      <c r="E68" s="47">
        <v>400</v>
      </c>
      <c r="F68" s="47">
        <f t="shared" si="0"/>
        <v>2550.9888000000001</v>
      </c>
      <c r="G68" s="47">
        <v>0</v>
      </c>
      <c r="H68" s="47">
        <f t="shared" si="3"/>
        <v>0</v>
      </c>
      <c r="I68" s="47">
        <f t="shared" si="4"/>
        <v>2550.9888000000001</v>
      </c>
    </row>
    <row r="69" spans="1:9" x14ac:dyDescent="0.2">
      <c r="A69" s="38"/>
      <c r="B69" s="39" t="s">
        <v>51</v>
      </c>
      <c r="C69" s="47">
        <f>C66*0.25</f>
        <v>6.6432000000000002</v>
      </c>
      <c r="D69" s="54" t="s">
        <v>90</v>
      </c>
      <c r="E69" s="47">
        <v>56.07</v>
      </c>
      <c r="F69" s="47">
        <f t="shared" si="0"/>
        <v>372.48422400000004</v>
      </c>
      <c r="G69" s="47">
        <v>0</v>
      </c>
      <c r="H69" s="47">
        <f t="shared" si="3"/>
        <v>0</v>
      </c>
      <c r="I69" s="47">
        <f t="shared" si="4"/>
        <v>372.48422400000004</v>
      </c>
    </row>
    <row r="70" spans="1:9" s="29" customFormat="1" x14ac:dyDescent="0.2">
      <c r="A70" s="40"/>
      <c r="B70" s="41" t="s">
        <v>132</v>
      </c>
      <c r="C70" s="52"/>
      <c r="D70" s="55"/>
      <c r="E70" s="52"/>
      <c r="F70" s="52">
        <f>SUM(F59:F69)</f>
        <v>28933.572515332802</v>
      </c>
      <c r="G70" s="52"/>
      <c r="H70" s="52">
        <f>SUM(H59:H69)</f>
        <v>6913.0918199999996</v>
      </c>
      <c r="I70" s="52">
        <f>SUM(I59:I69)</f>
        <v>35846.664335332804</v>
      </c>
    </row>
    <row r="71" spans="1:9" x14ac:dyDescent="0.2">
      <c r="A71" s="38"/>
      <c r="B71" s="41"/>
      <c r="C71" s="47"/>
      <c r="D71" s="54"/>
      <c r="E71" s="47"/>
      <c r="F71" s="47"/>
      <c r="G71" s="47"/>
      <c r="H71" s="47"/>
      <c r="I71" s="47"/>
    </row>
    <row r="72" spans="1:9" x14ac:dyDescent="0.2">
      <c r="A72" s="38"/>
      <c r="B72" s="41" t="s">
        <v>67</v>
      </c>
      <c r="C72" s="47"/>
      <c r="D72" s="54"/>
      <c r="E72" s="47"/>
      <c r="F72" s="47"/>
      <c r="G72" s="47"/>
      <c r="H72" s="47"/>
      <c r="I72" s="47"/>
    </row>
    <row r="73" spans="1:9" x14ac:dyDescent="0.2">
      <c r="A73" s="38"/>
      <c r="B73" s="42" t="s">
        <v>68</v>
      </c>
      <c r="C73" s="47">
        <f>276.1337*1.2369*0.05*1.25</f>
        <v>21.346860845624999</v>
      </c>
      <c r="D73" s="54" t="s">
        <v>88</v>
      </c>
      <c r="E73" s="47">
        <v>436.92</v>
      </c>
      <c r="F73" s="47">
        <f t="shared" si="0"/>
        <v>9326.8704406704746</v>
      </c>
      <c r="G73" s="47">
        <v>112</v>
      </c>
      <c r="H73" s="47">
        <f t="shared" si="3"/>
        <v>2390.8484147099998</v>
      </c>
      <c r="I73" s="47">
        <f t="shared" si="4"/>
        <v>11717.718855380474</v>
      </c>
    </row>
    <row r="74" spans="1:9" x14ac:dyDescent="0.2">
      <c r="A74" s="38"/>
      <c r="B74" s="42" t="s">
        <v>69</v>
      </c>
      <c r="C74" s="47">
        <f>276.1337*1.2369*0.05*1.3</f>
        <v>22.200735279450001</v>
      </c>
      <c r="D74" s="54" t="s">
        <v>88</v>
      </c>
      <c r="E74" s="57">
        <v>950</v>
      </c>
      <c r="F74" s="47">
        <f t="shared" si="0"/>
        <v>21090.698515477499</v>
      </c>
      <c r="G74" s="47">
        <v>112</v>
      </c>
      <c r="H74" s="47">
        <f t="shared" si="3"/>
        <v>2486.4823512984003</v>
      </c>
      <c r="I74" s="47">
        <f t="shared" si="4"/>
        <v>23577.1808667759</v>
      </c>
    </row>
    <row r="75" spans="1:9" x14ac:dyDescent="0.2">
      <c r="A75" s="38"/>
      <c r="B75" s="42" t="s">
        <v>70</v>
      </c>
      <c r="C75" s="47">
        <f>5232.0378-(4891.0445+14.4)</f>
        <v>326.59330000000045</v>
      </c>
      <c r="D75" s="54" t="s">
        <v>91</v>
      </c>
      <c r="E75" s="47">
        <v>25</v>
      </c>
      <c r="F75" s="47">
        <f t="shared" si="0"/>
        <v>8164.8325000000114</v>
      </c>
      <c r="G75" s="47">
        <v>10</v>
      </c>
      <c r="H75" s="47">
        <f t="shared" si="3"/>
        <v>3265.9330000000045</v>
      </c>
      <c r="I75" s="47">
        <f t="shared" si="4"/>
        <v>11430.765500000016</v>
      </c>
    </row>
    <row r="76" spans="1:9" s="29" customFormat="1" x14ac:dyDescent="0.2">
      <c r="A76" s="40"/>
      <c r="B76" s="66" t="s">
        <v>136</v>
      </c>
      <c r="C76" s="52"/>
      <c r="D76" s="55"/>
      <c r="E76" s="52"/>
      <c r="F76" s="52">
        <f>SUM(F73:F75)</f>
        <v>38582.401456147985</v>
      </c>
      <c r="G76" s="52"/>
      <c r="H76" s="52">
        <f>SUM(H73:H75)</f>
        <v>8143.2637660084047</v>
      </c>
      <c r="I76" s="52">
        <f>SUM(I73:I75)</f>
        <v>46725.665222156393</v>
      </c>
    </row>
    <row r="77" spans="1:9" x14ac:dyDescent="0.2">
      <c r="A77" s="38"/>
      <c r="B77" s="39"/>
      <c r="C77" s="47"/>
      <c r="D77" s="54"/>
      <c r="E77" s="47"/>
      <c r="F77" s="47"/>
      <c r="G77" s="47"/>
      <c r="H77" s="47"/>
      <c r="I77" s="47"/>
    </row>
    <row r="78" spans="1:9" x14ac:dyDescent="0.2">
      <c r="A78" s="38"/>
      <c r="B78" s="41" t="s">
        <v>71</v>
      </c>
      <c r="C78" s="47"/>
      <c r="D78" s="54"/>
      <c r="E78" s="47"/>
      <c r="F78" s="47"/>
      <c r="G78" s="47"/>
      <c r="H78" s="47"/>
      <c r="I78" s="47"/>
    </row>
    <row r="79" spans="1:9" x14ac:dyDescent="0.2">
      <c r="A79" s="38"/>
      <c r="B79" s="39" t="s">
        <v>130</v>
      </c>
      <c r="C79" s="47">
        <f>(84+128+56)+(98+158)+49+26+28+21+26+(48+60)+(7+44+7+44)+(36+29+30)</f>
        <v>979</v>
      </c>
      <c r="D79" s="54" t="s">
        <v>106</v>
      </c>
      <c r="E79" s="47">
        <v>170</v>
      </c>
      <c r="F79" s="47">
        <f t="shared" si="0"/>
        <v>166430</v>
      </c>
      <c r="G79" s="47">
        <v>50</v>
      </c>
      <c r="H79" s="47">
        <f t="shared" si="3"/>
        <v>48950</v>
      </c>
      <c r="I79" s="47">
        <f t="shared" si="4"/>
        <v>215380</v>
      </c>
    </row>
    <row r="80" spans="1:9" s="29" customFormat="1" x14ac:dyDescent="0.2">
      <c r="A80" s="40"/>
      <c r="B80" s="41" t="s">
        <v>135</v>
      </c>
      <c r="C80" s="52"/>
      <c r="D80" s="55"/>
      <c r="E80" s="52"/>
      <c r="F80" s="52">
        <f>SUM(F79)</f>
        <v>166430</v>
      </c>
      <c r="G80" s="52"/>
      <c r="H80" s="52">
        <f>SUM(H79)</f>
        <v>48950</v>
      </c>
      <c r="I80" s="52">
        <f>SUM(I79)</f>
        <v>215380</v>
      </c>
    </row>
    <row r="81" spans="1:9" x14ac:dyDescent="0.2">
      <c r="A81" s="38"/>
      <c r="B81" s="39"/>
      <c r="C81" s="47"/>
      <c r="D81" s="54"/>
      <c r="E81" s="47"/>
      <c r="F81" s="47"/>
      <c r="G81" s="47"/>
      <c r="H81" s="47"/>
      <c r="I81" s="47"/>
    </row>
    <row r="82" spans="1:9" x14ac:dyDescent="0.2">
      <c r="A82" s="38"/>
      <c r="B82" s="41" t="s">
        <v>72</v>
      </c>
      <c r="C82" s="47"/>
      <c r="D82" s="54"/>
      <c r="E82" s="47"/>
      <c r="F82" s="47"/>
      <c r="G82" s="47"/>
      <c r="H82" s="47"/>
      <c r="I82" s="47"/>
    </row>
    <row r="83" spans="1:9" x14ac:dyDescent="0.2">
      <c r="A83" s="38"/>
      <c r="B83" s="38" t="s">
        <v>52</v>
      </c>
      <c r="C83" s="47">
        <f>3741.76*0.1*1.25</f>
        <v>467.72</v>
      </c>
      <c r="D83" s="54" t="s">
        <v>88</v>
      </c>
      <c r="E83" s="47">
        <v>436.92</v>
      </c>
      <c r="F83" s="47">
        <f t="shared" si="0"/>
        <v>204356.22240000003</v>
      </c>
      <c r="G83" s="47">
        <v>104</v>
      </c>
      <c r="H83" s="47">
        <f t="shared" si="3"/>
        <v>48642.880000000005</v>
      </c>
      <c r="I83" s="47">
        <f t="shared" si="4"/>
        <v>252999.10240000003</v>
      </c>
    </row>
    <row r="84" spans="1:9" x14ac:dyDescent="0.2">
      <c r="A84" s="38"/>
      <c r="B84" s="38" t="s">
        <v>43</v>
      </c>
      <c r="C84" s="47">
        <f>3741.76*0.05</f>
        <v>187.08800000000002</v>
      </c>
      <c r="D84" s="54" t="s">
        <v>88</v>
      </c>
      <c r="E84" s="47">
        <v>1635.51</v>
      </c>
      <c r="F84" s="47">
        <f t="shared" ref="F84:F147" si="7">C84*E84</f>
        <v>305984.29488000006</v>
      </c>
      <c r="G84" s="47">
        <v>419</v>
      </c>
      <c r="H84" s="47">
        <f t="shared" si="3"/>
        <v>78389.872000000003</v>
      </c>
      <c r="I84" s="47">
        <f t="shared" si="4"/>
        <v>384374.16688000003</v>
      </c>
    </row>
    <row r="85" spans="1:9" x14ac:dyDescent="0.2">
      <c r="A85" s="38"/>
      <c r="B85" s="39" t="s">
        <v>44</v>
      </c>
      <c r="C85" s="47">
        <f>(2500*0.2)+(1241.76*0.12)</f>
        <v>649.01120000000003</v>
      </c>
      <c r="D85" s="54" t="s">
        <v>88</v>
      </c>
      <c r="E85" s="47">
        <v>2344.6799999999998</v>
      </c>
      <c r="F85" s="47">
        <f t="shared" si="7"/>
        <v>1521723.580416</v>
      </c>
      <c r="G85" s="47">
        <v>419</v>
      </c>
      <c r="H85" s="47">
        <f t="shared" si="3"/>
        <v>271935.69280000002</v>
      </c>
      <c r="I85" s="47">
        <f t="shared" si="4"/>
        <v>1793659.2732160001</v>
      </c>
    </row>
    <row r="86" spans="1:9" x14ac:dyDescent="0.2">
      <c r="A86" s="38"/>
      <c r="B86" s="39" t="s">
        <v>73</v>
      </c>
      <c r="C86" s="47">
        <f>2500</f>
        <v>2500</v>
      </c>
      <c r="D86" s="54" t="s">
        <v>91</v>
      </c>
      <c r="E86" s="47">
        <v>97</v>
      </c>
      <c r="F86" s="47">
        <f t="shared" si="7"/>
        <v>242500</v>
      </c>
      <c r="G86" s="47">
        <v>5</v>
      </c>
      <c r="H86" s="47">
        <f t="shared" si="3"/>
        <v>12500</v>
      </c>
      <c r="I86" s="47">
        <f t="shared" si="4"/>
        <v>255000</v>
      </c>
    </row>
    <row r="87" spans="1:9" x14ac:dyDescent="0.2">
      <c r="A87" s="38"/>
      <c r="B87" s="39" t="s">
        <v>74</v>
      </c>
      <c r="C87" s="47">
        <f>1241.76</f>
        <v>1241.76</v>
      </c>
      <c r="D87" s="54" t="s">
        <v>91</v>
      </c>
      <c r="E87" s="47">
        <v>73</v>
      </c>
      <c r="F87" s="47">
        <f t="shared" si="7"/>
        <v>90648.48</v>
      </c>
      <c r="G87" s="47">
        <v>5</v>
      </c>
      <c r="H87" s="47">
        <f t="shared" si="3"/>
        <v>6208.8</v>
      </c>
      <c r="I87" s="47">
        <f t="shared" si="4"/>
        <v>96857.279999999999</v>
      </c>
    </row>
    <row r="88" spans="1:9" x14ac:dyDescent="0.2">
      <c r="A88" s="38"/>
      <c r="B88" s="39" t="s">
        <v>48</v>
      </c>
      <c r="C88" s="47">
        <f>(552.9037*0.12)+(204.5*0.2)</f>
        <v>107.24844399999999</v>
      </c>
      <c r="D88" s="54" t="s">
        <v>91</v>
      </c>
      <c r="E88" s="47">
        <v>0</v>
      </c>
      <c r="F88" s="47">
        <f t="shared" si="7"/>
        <v>0</v>
      </c>
      <c r="G88" s="47">
        <v>139</v>
      </c>
      <c r="H88" s="47">
        <f t="shared" si="3"/>
        <v>14907.533715999998</v>
      </c>
      <c r="I88" s="47">
        <f t="shared" si="4"/>
        <v>14907.533715999998</v>
      </c>
    </row>
    <row r="89" spans="1:9" x14ac:dyDescent="0.2">
      <c r="A89" s="38"/>
      <c r="B89" s="39" t="s">
        <v>49</v>
      </c>
      <c r="C89" s="47">
        <f>C88*0.8</f>
        <v>85.798755200000002</v>
      </c>
      <c r="D89" s="54" t="s">
        <v>92</v>
      </c>
      <c r="E89" s="47">
        <v>400</v>
      </c>
      <c r="F89" s="47">
        <f t="shared" si="7"/>
        <v>34319.502079999998</v>
      </c>
      <c r="G89" s="47">
        <v>0</v>
      </c>
      <c r="H89" s="47">
        <f t="shared" si="3"/>
        <v>0</v>
      </c>
      <c r="I89" s="47">
        <f t="shared" si="4"/>
        <v>34319.502079999998</v>
      </c>
    </row>
    <row r="90" spans="1:9" x14ac:dyDescent="0.2">
      <c r="A90" s="38"/>
      <c r="B90" s="39" t="s">
        <v>50</v>
      </c>
      <c r="C90" s="47">
        <f>C89*0.3</f>
        <v>25.739626560000001</v>
      </c>
      <c r="D90" s="54" t="s">
        <v>92</v>
      </c>
      <c r="E90" s="47">
        <v>400</v>
      </c>
      <c r="F90" s="47">
        <f t="shared" si="7"/>
        <v>10295.850624000001</v>
      </c>
      <c r="G90" s="47">
        <v>0</v>
      </c>
      <c r="H90" s="47">
        <f t="shared" si="3"/>
        <v>0</v>
      </c>
      <c r="I90" s="47">
        <f t="shared" si="4"/>
        <v>10295.850624000001</v>
      </c>
    </row>
    <row r="91" spans="1:9" x14ac:dyDescent="0.2">
      <c r="A91" s="38"/>
      <c r="B91" s="39" t="s">
        <v>51</v>
      </c>
      <c r="C91" s="47">
        <f>C88*0.25</f>
        <v>26.812110999999998</v>
      </c>
      <c r="D91" s="54" t="s">
        <v>90</v>
      </c>
      <c r="E91" s="47">
        <v>56.07</v>
      </c>
      <c r="F91" s="47">
        <f t="shared" si="7"/>
        <v>1503.3550637699998</v>
      </c>
      <c r="G91" s="47">
        <v>0</v>
      </c>
      <c r="H91" s="47">
        <f t="shared" ref="H91:H147" si="8">C91*G91</f>
        <v>0</v>
      </c>
      <c r="I91" s="47">
        <f t="shared" ref="I91:I147" si="9">F91+H91</f>
        <v>1503.3550637699998</v>
      </c>
    </row>
    <row r="92" spans="1:9" x14ac:dyDescent="0.2">
      <c r="A92" s="38"/>
      <c r="B92" s="39" t="s">
        <v>76</v>
      </c>
      <c r="C92" s="47"/>
      <c r="D92" s="54"/>
      <c r="E92" s="47"/>
      <c r="F92" s="47"/>
      <c r="G92" s="47"/>
      <c r="H92" s="47"/>
      <c r="I92" s="47"/>
    </row>
    <row r="93" spans="1:9" x14ac:dyDescent="0.2">
      <c r="A93" s="38"/>
      <c r="B93" s="39" t="s">
        <v>78</v>
      </c>
      <c r="C93" s="47">
        <v>273.2</v>
      </c>
      <c r="D93" s="54" t="s">
        <v>104</v>
      </c>
      <c r="E93" s="47">
        <v>12.3</v>
      </c>
      <c r="F93" s="47">
        <f t="shared" si="7"/>
        <v>3360.36</v>
      </c>
      <c r="G93" s="47">
        <v>0</v>
      </c>
      <c r="H93" s="47">
        <f t="shared" si="8"/>
        <v>0</v>
      </c>
      <c r="I93" s="47">
        <f t="shared" si="9"/>
        <v>3360.36</v>
      </c>
    </row>
    <row r="94" spans="1:9" x14ac:dyDescent="0.2">
      <c r="A94" s="38"/>
      <c r="B94" s="39" t="s">
        <v>79</v>
      </c>
      <c r="C94" s="47">
        <v>19</v>
      </c>
      <c r="D94" s="54" t="s">
        <v>143</v>
      </c>
      <c r="E94" s="47">
        <v>640.36</v>
      </c>
      <c r="F94" s="47">
        <f t="shared" si="7"/>
        <v>12166.84</v>
      </c>
      <c r="G94" s="47">
        <v>0</v>
      </c>
      <c r="H94" s="47">
        <f t="shared" si="8"/>
        <v>0</v>
      </c>
      <c r="I94" s="47">
        <f t="shared" si="9"/>
        <v>12166.84</v>
      </c>
    </row>
    <row r="95" spans="1:9" x14ac:dyDescent="0.2">
      <c r="A95" s="38"/>
      <c r="B95" s="39" t="s">
        <v>80</v>
      </c>
      <c r="C95" s="47">
        <v>925</v>
      </c>
      <c r="D95" s="54" t="s">
        <v>142</v>
      </c>
      <c r="E95" s="47">
        <v>24.6</v>
      </c>
      <c r="F95" s="47">
        <f t="shared" si="7"/>
        <v>22755</v>
      </c>
      <c r="G95" s="47">
        <v>0</v>
      </c>
      <c r="H95" s="47">
        <f t="shared" si="8"/>
        <v>0</v>
      </c>
      <c r="I95" s="47">
        <f t="shared" si="9"/>
        <v>22755</v>
      </c>
    </row>
    <row r="96" spans="1:9" x14ac:dyDescent="0.2">
      <c r="A96" s="38"/>
      <c r="B96" s="39" t="s">
        <v>81</v>
      </c>
      <c r="C96" s="47">
        <f>(462.5*2.226)/1000*1.13</f>
        <v>1.16336325</v>
      </c>
      <c r="D96" s="54" t="s">
        <v>89</v>
      </c>
      <c r="E96" s="47">
        <v>24766.36</v>
      </c>
      <c r="F96" s="47">
        <f t="shared" si="7"/>
        <v>28812.273060269999</v>
      </c>
      <c r="G96" s="47">
        <v>3100</v>
      </c>
      <c r="H96" s="47">
        <f t="shared" si="8"/>
        <v>3606.4260749999999</v>
      </c>
      <c r="I96" s="47">
        <f t="shared" si="9"/>
        <v>32418.699135269999</v>
      </c>
    </row>
    <row r="97" spans="1:9" x14ac:dyDescent="0.2">
      <c r="A97" s="38"/>
      <c r="B97" s="39" t="s">
        <v>82</v>
      </c>
      <c r="C97" s="47">
        <v>2500</v>
      </c>
      <c r="D97" s="54" t="s">
        <v>91</v>
      </c>
      <c r="E97" s="47">
        <v>30</v>
      </c>
      <c r="F97" s="47">
        <f t="shared" si="7"/>
        <v>75000</v>
      </c>
      <c r="G97" s="47">
        <v>5</v>
      </c>
      <c r="H97" s="47">
        <f t="shared" si="8"/>
        <v>12500</v>
      </c>
      <c r="I97" s="47">
        <f t="shared" si="9"/>
        <v>87500</v>
      </c>
    </row>
    <row r="98" spans="1:9" x14ac:dyDescent="0.2">
      <c r="A98" s="38"/>
      <c r="B98" s="39" t="s">
        <v>77</v>
      </c>
      <c r="C98" s="47">
        <v>1075</v>
      </c>
      <c r="D98" s="54" t="s">
        <v>104</v>
      </c>
      <c r="E98" s="47">
        <v>12.3</v>
      </c>
      <c r="F98" s="47">
        <f t="shared" si="7"/>
        <v>13222.5</v>
      </c>
      <c r="G98" s="47">
        <v>0</v>
      </c>
      <c r="H98" s="47">
        <f t="shared" si="8"/>
        <v>0</v>
      </c>
      <c r="I98" s="47">
        <f t="shared" si="9"/>
        <v>13222.5</v>
      </c>
    </row>
    <row r="99" spans="1:9" s="29" customFormat="1" x14ac:dyDescent="0.2">
      <c r="A99" s="40"/>
      <c r="B99" s="41" t="s">
        <v>141</v>
      </c>
      <c r="C99" s="52"/>
      <c r="D99" s="55"/>
      <c r="E99" s="52"/>
      <c r="F99" s="52">
        <f>SUM(F83:F98)</f>
        <v>2566648.2585240398</v>
      </c>
      <c r="G99" s="52"/>
      <c r="H99" s="52">
        <f>SUM(H83:H98)</f>
        <v>448691.20459100005</v>
      </c>
      <c r="I99" s="52">
        <f>SUM(I83:I98)</f>
        <v>3015339.4631150402</v>
      </c>
    </row>
    <row r="100" spans="1:9" x14ac:dyDescent="0.2">
      <c r="A100" s="38"/>
      <c r="B100" s="41"/>
      <c r="C100" s="47"/>
      <c r="D100" s="54"/>
      <c r="E100" s="47"/>
      <c r="F100" s="47"/>
      <c r="G100" s="47"/>
      <c r="H100" s="47"/>
      <c r="I100" s="47"/>
    </row>
    <row r="101" spans="1:9" x14ac:dyDescent="0.2">
      <c r="A101" s="38"/>
      <c r="B101" s="41" t="s">
        <v>129</v>
      </c>
      <c r="C101" s="47"/>
      <c r="D101" s="54"/>
      <c r="E101" s="47"/>
      <c r="F101" s="47"/>
      <c r="G101" s="47"/>
      <c r="H101" s="47"/>
      <c r="I101" s="47"/>
    </row>
    <row r="102" spans="1:9" x14ac:dyDescent="0.2">
      <c r="A102" s="38"/>
      <c r="B102" s="39" t="s">
        <v>85</v>
      </c>
      <c r="C102" s="47">
        <v>3032.2</v>
      </c>
      <c r="D102" s="54" t="s">
        <v>91</v>
      </c>
      <c r="E102" s="47">
        <v>109</v>
      </c>
      <c r="F102" s="47">
        <f t="shared" si="7"/>
        <v>330509.8</v>
      </c>
      <c r="G102" s="47">
        <v>64</v>
      </c>
      <c r="H102" s="47">
        <f t="shared" si="8"/>
        <v>194060.79999999999</v>
      </c>
      <c r="I102" s="47">
        <f t="shared" si="9"/>
        <v>524570.6</v>
      </c>
    </row>
    <row r="103" spans="1:9" x14ac:dyDescent="0.2">
      <c r="A103" s="38"/>
      <c r="B103" s="39" t="s">
        <v>84</v>
      </c>
      <c r="C103" s="47">
        <f>C102</f>
        <v>3032.2</v>
      </c>
      <c r="D103" s="54" t="s">
        <v>91</v>
      </c>
      <c r="E103" s="47">
        <v>0</v>
      </c>
      <c r="F103" s="47">
        <f t="shared" si="7"/>
        <v>0</v>
      </c>
      <c r="G103" s="47">
        <v>40</v>
      </c>
      <c r="H103" s="47">
        <f t="shared" si="8"/>
        <v>121288</v>
      </c>
      <c r="I103" s="47">
        <f t="shared" si="9"/>
        <v>121288</v>
      </c>
    </row>
    <row r="104" spans="1:9" x14ac:dyDescent="0.2">
      <c r="A104" s="38"/>
      <c r="B104" s="39" t="s">
        <v>140</v>
      </c>
      <c r="C104" s="47">
        <v>709.56</v>
      </c>
      <c r="D104" s="54" t="s">
        <v>91</v>
      </c>
      <c r="E104" s="47">
        <v>360</v>
      </c>
      <c r="F104" s="47">
        <f t="shared" si="7"/>
        <v>255441.59999999998</v>
      </c>
      <c r="G104" s="47">
        <v>50</v>
      </c>
      <c r="H104" s="47">
        <f t="shared" ref="H104" si="10">C104*G104</f>
        <v>35478</v>
      </c>
      <c r="I104" s="47">
        <f t="shared" ref="I104" si="11">F104+H104</f>
        <v>290919.59999999998</v>
      </c>
    </row>
    <row r="105" spans="1:9" x14ac:dyDescent="0.2">
      <c r="A105" s="38"/>
      <c r="B105" s="39" t="s">
        <v>146</v>
      </c>
      <c r="C105" s="57"/>
      <c r="D105" s="71"/>
      <c r="E105" s="57"/>
      <c r="F105" s="57"/>
      <c r="G105" s="57"/>
      <c r="H105" s="57"/>
      <c r="I105" s="57"/>
    </row>
    <row r="106" spans="1:9" x14ac:dyDescent="0.2">
      <c r="A106" s="58"/>
      <c r="B106" s="62" t="s">
        <v>152</v>
      </c>
      <c r="C106" s="60">
        <f>(2500-162-163.48)+51.3+305.9+942.8845</f>
        <v>3474.6045000000004</v>
      </c>
      <c r="D106" s="61" t="s">
        <v>91</v>
      </c>
      <c r="E106" s="60">
        <v>4.6729000000000003</v>
      </c>
      <c r="F106" s="60">
        <f t="shared" si="7"/>
        <v>16236.479368050002</v>
      </c>
      <c r="G106" s="60">
        <v>34</v>
      </c>
      <c r="H106" s="60">
        <f t="shared" ref="H106:H110" si="12">C106*G106</f>
        <v>118136.55300000001</v>
      </c>
      <c r="I106" s="60">
        <f t="shared" ref="I106:I110" si="13">F106+H106</f>
        <v>134373.03236805002</v>
      </c>
    </row>
    <row r="107" spans="1:9" x14ac:dyDescent="0.2">
      <c r="A107" s="38"/>
      <c r="B107" s="39" t="s">
        <v>144</v>
      </c>
      <c r="C107" s="57">
        <f>C106</f>
        <v>3474.6045000000004</v>
      </c>
      <c r="D107" s="71" t="s">
        <v>91</v>
      </c>
      <c r="E107" s="57">
        <v>300</v>
      </c>
      <c r="F107" s="57">
        <f t="shared" si="7"/>
        <v>1042381.3500000001</v>
      </c>
      <c r="G107" s="57">
        <v>100</v>
      </c>
      <c r="H107" s="57">
        <f t="shared" si="12"/>
        <v>347460.45</v>
      </c>
      <c r="I107" s="57">
        <f t="shared" si="13"/>
        <v>1389841.8</v>
      </c>
    </row>
    <row r="108" spans="1:9" x14ac:dyDescent="0.2">
      <c r="A108" s="38"/>
      <c r="B108" s="39" t="s">
        <v>41</v>
      </c>
      <c r="C108" s="57"/>
      <c r="D108" s="71"/>
      <c r="E108" s="57"/>
      <c r="F108" s="57"/>
      <c r="G108" s="57"/>
      <c r="H108" s="57"/>
      <c r="I108" s="57"/>
    </row>
    <row r="109" spans="1:9" x14ac:dyDescent="0.2">
      <c r="A109" s="58"/>
      <c r="B109" s="62" t="s">
        <v>152</v>
      </c>
      <c r="C109" s="60">
        <f>175</f>
        <v>175</v>
      </c>
      <c r="D109" s="61" t="s">
        <v>91</v>
      </c>
      <c r="E109" s="60">
        <v>4.6729000000000003</v>
      </c>
      <c r="F109" s="60">
        <f t="shared" si="7"/>
        <v>817.75750000000005</v>
      </c>
      <c r="G109" s="60">
        <v>34</v>
      </c>
      <c r="H109" s="60">
        <f t="shared" si="12"/>
        <v>5950</v>
      </c>
      <c r="I109" s="60">
        <f t="shared" si="13"/>
        <v>6767.7574999999997</v>
      </c>
    </row>
    <row r="110" spans="1:9" x14ac:dyDescent="0.2">
      <c r="A110" s="58"/>
      <c r="B110" s="62" t="s">
        <v>149</v>
      </c>
      <c r="C110" s="60">
        <f>C109</f>
        <v>175</v>
      </c>
      <c r="D110" s="61" t="s">
        <v>91</v>
      </c>
      <c r="E110" s="60">
        <v>350</v>
      </c>
      <c r="F110" s="60">
        <f t="shared" si="7"/>
        <v>61250</v>
      </c>
      <c r="G110" s="60"/>
      <c r="H110" s="60">
        <f t="shared" si="12"/>
        <v>0</v>
      </c>
      <c r="I110" s="60">
        <f t="shared" si="13"/>
        <v>61250</v>
      </c>
    </row>
    <row r="111" spans="1:9" x14ac:dyDescent="0.2">
      <c r="A111" s="38"/>
      <c r="B111" s="39" t="s">
        <v>145</v>
      </c>
      <c r="C111" s="71"/>
      <c r="D111" s="71"/>
      <c r="E111" s="57">
        <v>2850</v>
      </c>
      <c r="F111" s="57"/>
      <c r="G111" s="57"/>
      <c r="H111" s="57"/>
      <c r="I111" s="57"/>
    </row>
    <row r="112" spans="1:9" x14ac:dyDescent="0.2">
      <c r="A112" s="58"/>
      <c r="B112" s="62" t="s">
        <v>152</v>
      </c>
      <c r="C112" s="60">
        <f>162+163.48</f>
        <v>325.48</v>
      </c>
      <c r="D112" s="61" t="s">
        <v>91</v>
      </c>
      <c r="E112" s="60">
        <v>4.6729000000000003</v>
      </c>
      <c r="F112" s="60">
        <f t="shared" ref="F112:F118" si="14">C112*E112</f>
        <v>1520.9354920000001</v>
      </c>
      <c r="G112" s="60">
        <v>34</v>
      </c>
      <c r="H112" s="60">
        <f t="shared" ref="H112:H118" si="15">C112*G112</f>
        <v>11066.32</v>
      </c>
      <c r="I112" s="60">
        <f t="shared" ref="I112:I118" si="16">F112+H112</f>
        <v>12587.255492</v>
      </c>
    </row>
    <row r="113" spans="1:9" x14ac:dyDescent="0.2">
      <c r="A113" s="58"/>
      <c r="B113" s="62" t="s">
        <v>148</v>
      </c>
      <c r="C113" s="60">
        <f>$C$112</f>
        <v>325.48</v>
      </c>
      <c r="D113" s="61" t="s">
        <v>91</v>
      </c>
      <c r="E113" s="60"/>
      <c r="F113" s="60">
        <f t="shared" si="14"/>
        <v>0</v>
      </c>
      <c r="G113" s="60"/>
      <c r="H113" s="60">
        <f t="shared" si="15"/>
        <v>0</v>
      </c>
      <c r="I113" s="60">
        <f t="shared" si="16"/>
        <v>0</v>
      </c>
    </row>
    <row r="114" spans="1:9" x14ac:dyDescent="0.2">
      <c r="A114" s="58"/>
      <c r="B114" s="62" t="s">
        <v>150</v>
      </c>
      <c r="C114" s="60">
        <f t="shared" ref="C114:C117" si="17">$C$112</f>
        <v>325.48</v>
      </c>
      <c r="D114" s="61" t="s">
        <v>91</v>
      </c>
      <c r="E114" s="60"/>
      <c r="F114" s="60">
        <f t="shared" si="14"/>
        <v>0</v>
      </c>
      <c r="G114" s="60"/>
      <c r="H114" s="60">
        <f t="shared" si="15"/>
        <v>0</v>
      </c>
      <c r="I114" s="60">
        <f t="shared" si="16"/>
        <v>0</v>
      </c>
    </row>
    <row r="115" spans="1:9" x14ac:dyDescent="0.2">
      <c r="A115" s="58"/>
      <c r="B115" s="62" t="s">
        <v>151</v>
      </c>
      <c r="C115" s="60">
        <f t="shared" si="17"/>
        <v>325.48</v>
      </c>
      <c r="D115" s="61" t="s">
        <v>91</v>
      </c>
      <c r="E115" s="60"/>
      <c r="F115" s="60">
        <f t="shared" si="14"/>
        <v>0</v>
      </c>
      <c r="G115" s="60"/>
      <c r="H115" s="60">
        <f t="shared" si="15"/>
        <v>0</v>
      </c>
      <c r="I115" s="60">
        <f t="shared" si="16"/>
        <v>0</v>
      </c>
    </row>
    <row r="116" spans="1:9" x14ac:dyDescent="0.2">
      <c r="A116" s="58"/>
      <c r="B116" s="62" t="s">
        <v>153</v>
      </c>
      <c r="C116" s="60">
        <f t="shared" si="17"/>
        <v>325.48</v>
      </c>
      <c r="D116" s="61" t="s">
        <v>91</v>
      </c>
      <c r="E116" s="60"/>
      <c r="F116" s="60">
        <f t="shared" si="14"/>
        <v>0</v>
      </c>
      <c r="G116" s="60"/>
      <c r="H116" s="60">
        <f t="shared" si="15"/>
        <v>0</v>
      </c>
      <c r="I116" s="60">
        <f t="shared" si="16"/>
        <v>0</v>
      </c>
    </row>
    <row r="117" spans="1:9" x14ac:dyDescent="0.2">
      <c r="A117" s="58"/>
      <c r="B117" s="62" t="s">
        <v>147</v>
      </c>
      <c r="C117" s="60">
        <f t="shared" si="17"/>
        <v>325.48</v>
      </c>
      <c r="D117" s="61" t="s">
        <v>91</v>
      </c>
      <c r="E117" s="60">
        <v>350</v>
      </c>
      <c r="F117" s="60">
        <f t="shared" si="14"/>
        <v>113918</v>
      </c>
      <c r="G117" s="60"/>
      <c r="H117" s="60">
        <f t="shared" si="15"/>
        <v>0</v>
      </c>
      <c r="I117" s="60">
        <f t="shared" si="16"/>
        <v>113918</v>
      </c>
    </row>
    <row r="118" spans="1:9" x14ac:dyDescent="0.2">
      <c r="A118" s="38"/>
      <c r="B118" s="39" t="s">
        <v>154</v>
      </c>
      <c r="C118" s="57">
        <f>4.23+0.244+3.12+11.314+7.5429</f>
        <v>26.450900000000001</v>
      </c>
      <c r="D118" s="71" t="s">
        <v>91</v>
      </c>
      <c r="E118" s="57">
        <v>300</v>
      </c>
      <c r="F118" s="57">
        <f t="shared" si="14"/>
        <v>7935.27</v>
      </c>
      <c r="G118" s="57">
        <v>100</v>
      </c>
      <c r="H118" s="57">
        <f t="shared" si="15"/>
        <v>2645.09</v>
      </c>
      <c r="I118" s="57">
        <f t="shared" si="16"/>
        <v>10580.36</v>
      </c>
    </row>
    <row r="119" spans="1:9" s="29" customFormat="1" x14ac:dyDescent="0.2">
      <c r="A119" s="40"/>
      <c r="B119" s="41" t="s">
        <v>134</v>
      </c>
      <c r="C119" s="52"/>
      <c r="D119" s="55"/>
      <c r="E119" s="52"/>
      <c r="F119" s="52">
        <f>SUM(F102:F118)</f>
        <v>1830011.1923600503</v>
      </c>
      <c r="G119" s="52"/>
      <c r="H119" s="52">
        <f>SUM(H102:H118)</f>
        <v>836085.21299999999</v>
      </c>
      <c r="I119" s="52">
        <f>SUM(I102:I118)</f>
        <v>2666096.4053600496</v>
      </c>
    </row>
    <row r="120" spans="1:9" x14ac:dyDescent="0.2">
      <c r="A120" s="38"/>
      <c r="B120" s="39"/>
      <c r="C120" s="47"/>
      <c r="D120" s="54"/>
      <c r="E120" s="47"/>
      <c r="F120" s="47"/>
      <c r="G120" s="47"/>
      <c r="H120" s="47"/>
      <c r="I120" s="47"/>
    </row>
    <row r="121" spans="1:9" x14ac:dyDescent="0.2">
      <c r="A121" s="58"/>
      <c r="B121" s="59" t="s">
        <v>86</v>
      </c>
      <c r="C121" s="60"/>
      <c r="D121" s="61"/>
      <c r="E121" s="60"/>
      <c r="F121" s="60"/>
      <c r="G121" s="60"/>
      <c r="H121" s="60"/>
      <c r="I121" s="60"/>
    </row>
    <row r="122" spans="1:9" x14ac:dyDescent="0.2">
      <c r="A122" s="58"/>
      <c r="B122" s="62" t="s">
        <v>87</v>
      </c>
      <c r="C122" s="60">
        <v>25</v>
      </c>
      <c r="D122" s="61" t="s">
        <v>99</v>
      </c>
      <c r="E122" s="60">
        <v>555</v>
      </c>
      <c r="F122" s="60">
        <f t="shared" si="7"/>
        <v>13875</v>
      </c>
      <c r="G122" s="60">
        <v>555</v>
      </c>
      <c r="H122" s="60">
        <f t="shared" si="8"/>
        <v>13875</v>
      </c>
      <c r="I122" s="60">
        <f t="shared" si="9"/>
        <v>27750</v>
      </c>
    </row>
    <row r="123" spans="1:9" x14ac:dyDescent="0.2">
      <c r="A123" s="58"/>
      <c r="B123" s="62" t="s">
        <v>137</v>
      </c>
      <c r="C123" s="60">
        <v>25</v>
      </c>
      <c r="D123" s="61" t="s">
        <v>99</v>
      </c>
      <c r="E123" s="60">
        <v>3500</v>
      </c>
      <c r="F123" s="60">
        <f t="shared" si="7"/>
        <v>87500</v>
      </c>
      <c r="G123" s="60">
        <v>0</v>
      </c>
      <c r="H123" s="60">
        <f t="shared" ref="H123" si="18">C123*G123</f>
        <v>0</v>
      </c>
      <c r="I123" s="60">
        <f t="shared" ref="I123" si="19">F123+H123</f>
        <v>87500</v>
      </c>
    </row>
    <row r="124" spans="1:9" s="29" customFormat="1" x14ac:dyDescent="0.2">
      <c r="A124" s="63"/>
      <c r="B124" s="59" t="s">
        <v>133</v>
      </c>
      <c r="C124" s="64"/>
      <c r="D124" s="65"/>
      <c r="E124" s="64"/>
      <c r="F124" s="64">
        <f>SUM(F122:F123)</f>
        <v>101375</v>
      </c>
      <c r="G124" s="64"/>
      <c r="H124" s="64">
        <f>SUM(H122:H123)</f>
        <v>13875</v>
      </c>
      <c r="I124" s="64">
        <f>SUM(I122:I123)</f>
        <v>115250</v>
      </c>
    </row>
    <row r="125" spans="1:9" x14ac:dyDescent="0.2">
      <c r="A125" s="38"/>
      <c r="B125" s="39"/>
      <c r="C125" s="47"/>
      <c r="D125" s="54"/>
      <c r="E125" s="47"/>
      <c r="F125" s="47"/>
      <c r="G125" s="47"/>
      <c r="H125" s="47"/>
      <c r="I125" s="47"/>
    </row>
    <row r="126" spans="1:9" x14ac:dyDescent="0.2">
      <c r="A126" s="38"/>
      <c r="B126" s="41" t="s">
        <v>83</v>
      </c>
      <c r="C126" s="47"/>
      <c r="D126" s="54"/>
      <c r="E126" s="47"/>
      <c r="F126" s="47"/>
      <c r="G126" s="47"/>
      <c r="H126" s="47"/>
      <c r="I126" s="47"/>
    </row>
    <row r="127" spans="1:9" x14ac:dyDescent="0.2">
      <c r="A127" s="38"/>
      <c r="B127" s="39" t="s">
        <v>61</v>
      </c>
      <c r="C127" s="47"/>
      <c r="D127" s="54"/>
      <c r="E127" s="47"/>
      <c r="F127" s="47"/>
      <c r="G127" s="47"/>
      <c r="H127" s="47"/>
      <c r="I127" s="47"/>
    </row>
    <row r="128" spans="1:9" x14ac:dyDescent="0.2">
      <c r="A128" s="38"/>
      <c r="B128" s="38" t="s">
        <v>108</v>
      </c>
      <c r="C128" s="47">
        <f>(0.1*0.55*275.931)*1.25</f>
        <v>18.970256250000002</v>
      </c>
      <c r="D128" s="54" t="s">
        <v>88</v>
      </c>
      <c r="E128" s="47">
        <v>436.92</v>
      </c>
      <c r="F128" s="47">
        <f t="shared" ref="F128:F133" si="20">C128*E128</f>
        <v>8288.4843607500006</v>
      </c>
      <c r="G128" s="47">
        <v>104</v>
      </c>
      <c r="H128" s="47">
        <f t="shared" ref="H128:H133" si="21">C128*G128</f>
        <v>1972.9066500000001</v>
      </c>
      <c r="I128" s="47">
        <f t="shared" ref="I128:I133" si="22">F128+H128</f>
        <v>10261.391010750001</v>
      </c>
    </row>
    <row r="129" spans="1:9" x14ac:dyDescent="0.2">
      <c r="A129" s="38"/>
      <c r="B129" s="38" t="s">
        <v>109</v>
      </c>
      <c r="C129" s="47">
        <f>0.05*0.55*275.931</f>
        <v>7.5881025000000006</v>
      </c>
      <c r="D129" s="54" t="s">
        <v>88</v>
      </c>
      <c r="E129" s="47">
        <v>1635.51</v>
      </c>
      <c r="F129" s="47">
        <f t="shared" si="20"/>
        <v>12410.417519775001</v>
      </c>
      <c r="G129" s="47">
        <v>419</v>
      </c>
      <c r="H129" s="47">
        <f t="shared" si="21"/>
        <v>3179.4149475000004</v>
      </c>
      <c r="I129" s="47">
        <f t="shared" si="22"/>
        <v>15589.832467275002</v>
      </c>
    </row>
    <row r="130" spans="1:9" x14ac:dyDescent="0.2">
      <c r="A130" s="38"/>
      <c r="B130" s="39" t="s">
        <v>110</v>
      </c>
      <c r="C130" s="47">
        <f>0.1271*275.931</f>
        <v>35.070830099999995</v>
      </c>
      <c r="D130" s="54" t="s">
        <v>88</v>
      </c>
      <c r="E130" s="47">
        <v>2344.6799999999998</v>
      </c>
      <c r="F130" s="47">
        <f t="shared" si="20"/>
        <v>82229.873918867976</v>
      </c>
      <c r="G130" s="47">
        <v>419</v>
      </c>
      <c r="H130" s="47">
        <f t="shared" si="21"/>
        <v>14694.677811899997</v>
      </c>
      <c r="I130" s="47">
        <f t="shared" si="22"/>
        <v>96924.551730767969</v>
      </c>
    </row>
    <row r="131" spans="1:9" x14ac:dyDescent="0.2">
      <c r="A131" s="38"/>
      <c r="B131" s="39" t="s">
        <v>111</v>
      </c>
      <c r="C131" s="47">
        <f>(1439.655+2748.24)*0.222/1000*1.05</f>
        <v>0.97619832449999988</v>
      </c>
      <c r="D131" s="54" t="s">
        <v>89</v>
      </c>
      <c r="E131" s="47">
        <v>23572.43</v>
      </c>
      <c r="F131" s="47">
        <f t="shared" si="20"/>
        <v>23011.366670393534</v>
      </c>
      <c r="G131" s="47">
        <v>4400</v>
      </c>
      <c r="H131" s="47">
        <f t="shared" si="21"/>
        <v>4295.2726277999991</v>
      </c>
      <c r="I131" s="47">
        <f t="shared" si="22"/>
        <v>27306.639298193535</v>
      </c>
    </row>
    <row r="132" spans="1:9" x14ac:dyDescent="0.2">
      <c r="A132" s="38"/>
      <c r="B132" s="39" t="s">
        <v>112</v>
      </c>
      <c r="C132" s="47">
        <f>(C131)*30</f>
        <v>29.285949734999996</v>
      </c>
      <c r="D132" s="54" t="s">
        <v>90</v>
      </c>
      <c r="E132" s="47">
        <v>40.369999999999997</v>
      </c>
      <c r="F132" s="47">
        <f t="shared" si="20"/>
        <v>1182.2737908019496</v>
      </c>
      <c r="G132" s="47">
        <v>0</v>
      </c>
      <c r="H132" s="47">
        <f t="shared" si="21"/>
        <v>0</v>
      </c>
      <c r="I132" s="47">
        <f t="shared" si="22"/>
        <v>1182.2737908019496</v>
      </c>
    </row>
    <row r="133" spans="1:9" x14ac:dyDescent="0.2">
      <c r="A133" s="38"/>
      <c r="B133" s="39" t="s">
        <v>113</v>
      </c>
      <c r="C133" s="47">
        <f>(2*0.625*275.931)+(0.1271*24)</f>
        <v>347.96415000000002</v>
      </c>
      <c r="D133" s="54" t="s">
        <v>88</v>
      </c>
      <c r="E133" s="47">
        <v>0</v>
      </c>
      <c r="F133" s="47">
        <f t="shared" si="20"/>
        <v>0</v>
      </c>
      <c r="G133" s="47">
        <v>139</v>
      </c>
      <c r="H133" s="47">
        <f t="shared" si="21"/>
        <v>48367.01685</v>
      </c>
      <c r="I133" s="47">
        <f t="shared" si="22"/>
        <v>48367.01685</v>
      </c>
    </row>
    <row r="134" spans="1:9" x14ac:dyDescent="0.2">
      <c r="A134" s="38"/>
      <c r="B134" s="39" t="s">
        <v>114</v>
      </c>
      <c r="C134" s="47">
        <f>C133*0.8</f>
        <v>278.37132000000003</v>
      </c>
      <c r="D134" s="54" t="s">
        <v>92</v>
      </c>
      <c r="E134" s="47">
        <v>400</v>
      </c>
      <c r="F134" s="47">
        <f t="shared" ref="F134:F143" si="23">C134*E134</f>
        <v>111348.52800000001</v>
      </c>
      <c r="G134" s="47">
        <v>0</v>
      </c>
      <c r="H134" s="47">
        <f t="shared" ref="H134:H143" si="24">C134*G134</f>
        <v>0</v>
      </c>
      <c r="I134" s="47">
        <f t="shared" ref="I134:I143" si="25">F134+H134</f>
        <v>111348.52800000001</v>
      </c>
    </row>
    <row r="135" spans="1:9" x14ac:dyDescent="0.2">
      <c r="A135" s="38"/>
      <c r="B135" s="39" t="s">
        <v>115</v>
      </c>
      <c r="C135" s="47">
        <f>C134*0.3</f>
        <v>83.511396000000005</v>
      </c>
      <c r="D135" s="54" t="s">
        <v>92</v>
      </c>
      <c r="E135" s="47">
        <v>400</v>
      </c>
      <c r="F135" s="47">
        <f t="shared" si="23"/>
        <v>33404.558400000002</v>
      </c>
      <c r="G135" s="47">
        <v>0</v>
      </c>
      <c r="H135" s="47">
        <f t="shared" si="24"/>
        <v>0</v>
      </c>
      <c r="I135" s="47">
        <f t="shared" si="25"/>
        <v>33404.558400000002</v>
      </c>
    </row>
    <row r="136" spans="1:9" x14ac:dyDescent="0.2">
      <c r="A136" s="38"/>
      <c r="B136" s="39" t="s">
        <v>116</v>
      </c>
      <c r="C136" s="47">
        <f>C133*0.25</f>
        <v>86.991037500000004</v>
      </c>
      <c r="D136" s="54" t="s">
        <v>90</v>
      </c>
      <c r="E136" s="47">
        <v>56.07</v>
      </c>
      <c r="F136" s="47">
        <f t="shared" si="23"/>
        <v>4877.5874726250004</v>
      </c>
      <c r="G136" s="47">
        <v>0</v>
      </c>
      <c r="H136" s="47">
        <f t="shared" si="24"/>
        <v>0</v>
      </c>
      <c r="I136" s="47">
        <f t="shared" si="25"/>
        <v>4877.5874726250004</v>
      </c>
    </row>
    <row r="137" spans="1:9" x14ac:dyDescent="0.2">
      <c r="A137" s="38"/>
      <c r="B137" s="39" t="s">
        <v>117</v>
      </c>
      <c r="C137" s="47">
        <v>288</v>
      </c>
      <c r="D137" s="54" t="s">
        <v>105</v>
      </c>
      <c r="E137" s="47">
        <v>2300</v>
      </c>
      <c r="F137" s="47">
        <f t="shared" si="23"/>
        <v>662400</v>
      </c>
      <c r="G137" s="47">
        <v>0</v>
      </c>
      <c r="H137" s="47">
        <f t="shared" si="24"/>
        <v>0</v>
      </c>
      <c r="I137" s="47">
        <f t="shared" si="25"/>
        <v>662400</v>
      </c>
    </row>
    <row r="138" spans="1:9" x14ac:dyDescent="0.2">
      <c r="A138" s="38"/>
      <c r="B138" s="39" t="s">
        <v>118</v>
      </c>
      <c r="C138" s="47">
        <v>15</v>
      </c>
      <c r="D138" s="54" t="s">
        <v>99</v>
      </c>
      <c r="E138" s="47">
        <v>1552</v>
      </c>
      <c r="F138" s="47">
        <f t="shared" si="23"/>
        <v>23280</v>
      </c>
      <c r="G138" s="47">
        <v>400</v>
      </c>
      <c r="H138" s="47">
        <f t="shared" si="24"/>
        <v>6000</v>
      </c>
      <c r="I138" s="47">
        <f t="shared" si="25"/>
        <v>29280</v>
      </c>
    </row>
    <row r="139" spans="1:9" x14ac:dyDescent="0.2">
      <c r="A139" s="38"/>
      <c r="B139" s="39" t="s">
        <v>66</v>
      </c>
      <c r="C139" s="47">
        <v>15</v>
      </c>
      <c r="D139" s="54" t="s">
        <v>105</v>
      </c>
      <c r="E139" s="47">
        <v>517.5</v>
      </c>
      <c r="F139" s="47">
        <f t="shared" si="23"/>
        <v>7762.5</v>
      </c>
      <c r="G139" s="47">
        <v>0</v>
      </c>
      <c r="H139" s="47">
        <f t="shared" si="24"/>
        <v>0</v>
      </c>
      <c r="I139" s="47">
        <f t="shared" si="25"/>
        <v>7762.5</v>
      </c>
    </row>
    <row r="140" spans="1:9" x14ac:dyDescent="0.2">
      <c r="A140" s="38"/>
      <c r="B140" s="39" t="s">
        <v>119</v>
      </c>
      <c r="C140" s="47">
        <f>148+8</f>
        <v>156</v>
      </c>
      <c r="D140" s="54" t="s">
        <v>104</v>
      </c>
      <c r="E140" s="47">
        <f>621.5/4</f>
        <v>155.375</v>
      </c>
      <c r="F140" s="47">
        <f t="shared" si="23"/>
        <v>24238.5</v>
      </c>
      <c r="G140" s="47">
        <v>100</v>
      </c>
      <c r="H140" s="47">
        <f t="shared" si="24"/>
        <v>15600</v>
      </c>
      <c r="I140" s="47">
        <f t="shared" si="25"/>
        <v>39838.5</v>
      </c>
    </row>
    <row r="141" spans="1:9" x14ac:dyDescent="0.2">
      <c r="A141" s="38"/>
      <c r="B141" s="39" t="s">
        <v>120</v>
      </c>
      <c r="C141" s="47">
        <v>12</v>
      </c>
      <c r="D141" s="54" t="s">
        <v>104</v>
      </c>
      <c r="E141" s="47">
        <f>3155/4</f>
        <v>788.75</v>
      </c>
      <c r="F141" s="47">
        <f t="shared" si="23"/>
        <v>9465</v>
      </c>
      <c r="G141" s="47">
        <v>400</v>
      </c>
      <c r="H141" s="47">
        <f t="shared" si="24"/>
        <v>4800</v>
      </c>
      <c r="I141" s="47">
        <f t="shared" si="25"/>
        <v>14265</v>
      </c>
    </row>
    <row r="142" spans="1:9" x14ac:dyDescent="0.2">
      <c r="A142" s="38"/>
      <c r="B142" s="39" t="s">
        <v>123</v>
      </c>
      <c r="C142" s="47">
        <v>1</v>
      </c>
      <c r="D142" s="54" t="s">
        <v>127</v>
      </c>
      <c r="E142" s="47">
        <f>(F140+F141)*0.4</f>
        <v>13481.400000000001</v>
      </c>
      <c r="F142" s="47">
        <f t="shared" si="23"/>
        <v>13481.400000000001</v>
      </c>
      <c r="G142" s="47">
        <v>0</v>
      </c>
      <c r="H142" s="47">
        <f t="shared" si="24"/>
        <v>0</v>
      </c>
      <c r="I142" s="47">
        <f t="shared" si="25"/>
        <v>13481.400000000001</v>
      </c>
    </row>
    <row r="143" spans="1:9" x14ac:dyDescent="0.2">
      <c r="A143" s="38"/>
      <c r="B143" s="39" t="s">
        <v>124</v>
      </c>
      <c r="C143" s="47">
        <v>1</v>
      </c>
      <c r="D143" s="54" t="s">
        <v>127</v>
      </c>
      <c r="E143" s="47">
        <v>0</v>
      </c>
      <c r="F143" s="47">
        <f t="shared" si="23"/>
        <v>0</v>
      </c>
      <c r="G143" s="47">
        <f>F142*0.3</f>
        <v>4044.42</v>
      </c>
      <c r="H143" s="47">
        <f t="shared" si="24"/>
        <v>4044.42</v>
      </c>
      <c r="I143" s="47">
        <f t="shared" si="25"/>
        <v>4044.42</v>
      </c>
    </row>
    <row r="144" spans="1:9" x14ac:dyDescent="0.2">
      <c r="A144" s="38"/>
      <c r="B144" s="39" t="s">
        <v>121</v>
      </c>
      <c r="C144" s="47">
        <v>1</v>
      </c>
      <c r="D144" s="54" t="s">
        <v>127</v>
      </c>
      <c r="E144" s="47">
        <f>(F140+F141)*0.3</f>
        <v>10111.049999999999</v>
      </c>
      <c r="F144" s="47">
        <f t="shared" si="7"/>
        <v>10111.049999999999</v>
      </c>
      <c r="G144" s="47">
        <v>0</v>
      </c>
      <c r="H144" s="47">
        <f t="shared" si="8"/>
        <v>0</v>
      </c>
      <c r="I144" s="47">
        <f t="shared" si="9"/>
        <v>10111.049999999999</v>
      </c>
    </row>
    <row r="145" spans="1:9" x14ac:dyDescent="0.2">
      <c r="A145" s="38"/>
      <c r="B145" s="39" t="s">
        <v>125</v>
      </c>
      <c r="C145" s="47">
        <v>1</v>
      </c>
      <c r="D145" s="54" t="s">
        <v>127</v>
      </c>
      <c r="E145" s="47">
        <v>0</v>
      </c>
      <c r="F145" s="47">
        <f t="shared" si="7"/>
        <v>0</v>
      </c>
      <c r="G145" s="47">
        <f>F144*0.3</f>
        <v>3033.3149999999996</v>
      </c>
      <c r="H145" s="47">
        <f t="shared" si="8"/>
        <v>3033.3149999999996</v>
      </c>
      <c r="I145" s="47">
        <f t="shared" si="9"/>
        <v>3033.3149999999996</v>
      </c>
    </row>
    <row r="146" spans="1:9" x14ac:dyDescent="0.2">
      <c r="A146" s="38"/>
      <c r="B146" s="39" t="s">
        <v>122</v>
      </c>
      <c r="C146" s="47">
        <v>1</v>
      </c>
      <c r="D146" s="54" t="s">
        <v>127</v>
      </c>
      <c r="E146" s="47">
        <f>(F140+F141)*0.1</f>
        <v>3370.3500000000004</v>
      </c>
      <c r="F146" s="47">
        <f t="shared" si="7"/>
        <v>3370.3500000000004</v>
      </c>
      <c r="G146" s="47">
        <v>0</v>
      </c>
      <c r="H146" s="47">
        <f t="shared" si="8"/>
        <v>0</v>
      </c>
      <c r="I146" s="47">
        <f t="shared" si="9"/>
        <v>3370.3500000000004</v>
      </c>
    </row>
    <row r="147" spans="1:9" x14ac:dyDescent="0.2">
      <c r="A147" s="38"/>
      <c r="B147" s="39" t="s">
        <v>126</v>
      </c>
      <c r="C147" s="47">
        <v>1</v>
      </c>
      <c r="D147" s="54" t="s">
        <v>127</v>
      </c>
      <c r="E147" s="47">
        <v>0</v>
      </c>
      <c r="F147" s="47">
        <f t="shared" si="7"/>
        <v>0</v>
      </c>
      <c r="G147" s="47">
        <f>F146*0.3</f>
        <v>1011.105</v>
      </c>
      <c r="H147" s="47">
        <f t="shared" si="8"/>
        <v>1011.105</v>
      </c>
      <c r="I147" s="47">
        <f t="shared" si="9"/>
        <v>1011.105</v>
      </c>
    </row>
    <row r="148" spans="1:9" s="29" customFormat="1" x14ac:dyDescent="0.2">
      <c r="A148" s="40"/>
      <c r="B148" s="41" t="s">
        <v>128</v>
      </c>
      <c r="C148" s="52"/>
      <c r="D148" s="55"/>
      <c r="E148" s="52"/>
      <c r="F148" s="52">
        <f>SUM(F128:F147)</f>
        <v>1030861.8901332135</v>
      </c>
      <c r="G148" s="52"/>
      <c r="H148" s="52">
        <f>SUM(H128:H147)</f>
        <v>106998.1288872</v>
      </c>
      <c r="I148" s="52">
        <f>SUM(I128:I147)</f>
        <v>1137860.0190204133</v>
      </c>
    </row>
    <row r="149" spans="1:9" x14ac:dyDescent="0.2">
      <c r="A149" s="38"/>
      <c r="B149" s="39"/>
      <c r="C149" s="47"/>
      <c r="D149" s="54"/>
      <c r="E149" s="47"/>
      <c r="F149" s="47"/>
      <c r="G149" s="47"/>
      <c r="H149" s="47"/>
      <c r="I149" s="47"/>
    </row>
    <row r="150" spans="1:9" x14ac:dyDescent="0.2">
      <c r="A150" s="38"/>
      <c r="B150" s="41" t="s">
        <v>54</v>
      </c>
      <c r="C150" s="47"/>
      <c r="D150" s="54"/>
      <c r="E150" s="47"/>
      <c r="F150" s="47"/>
      <c r="G150" s="47"/>
      <c r="H150" s="47"/>
      <c r="I150" s="47"/>
    </row>
    <row r="151" spans="1:9" x14ac:dyDescent="0.2">
      <c r="A151" s="38"/>
      <c r="B151" s="39" t="s">
        <v>155</v>
      </c>
      <c r="C151" s="47">
        <f>(0.8*0.5)*93</f>
        <v>37.200000000000003</v>
      </c>
      <c r="D151" s="54" t="s">
        <v>91</v>
      </c>
      <c r="E151" s="47">
        <v>80</v>
      </c>
      <c r="F151" s="47">
        <f>C151*E151</f>
        <v>2976</v>
      </c>
      <c r="G151" s="47">
        <v>115</v>
      </c>
      <c r="H151" s="47">
        <f>C151*G151</f>
        <v>4278</v>
      </c>
      <c r="I151" s="47">
        <f>F151+H151</f>
        <v>7254</v>
      </c>
    </row>
    <row r="152" spans="1:9" s="29" customFormat="1" x14ac:dyDescent="0.2">
      <c r="A152" s="40"/>
      <c r="B152" s="41" t="s">
        <v>95</v>
      </c>
      <c r="C152" s="52"/>
      <c r="D152" s="55"/>
      <c r="E152" s="52"/>
      <c r="F152" s="52">
        <f>SUM(F151)</f>
        <v>2976</v>
      </c>
      <c r="G152" s="52"/>
      <c r="H152" s="52">
        <f>SUM(H151)</f>
        <v>4278</v>
      </c>
      <c r="I152" s="52">
        <f>SUM(I151)</f>
        <v>7254</v>
      </c>
    </row>
    <row r="153" spans="1:9" x14ac:dyDescent="0.2">
      <c r="A153" s="38"/>
      <c r="B153" s="39"/>
      <c r="C153" s="47"/>
      <c r="D153" s="54"/>
      <c r="E153" s="47"/>
      <c r="F153" s="47"/>
      <c r="G153" s="47"/>
      <c r="H153" s="47"/>
      <c r="I153" s="47"/>
    </row>
    <row r="154" spans="1:9" s="29" customFormat="1" x14ac:dyDescent="0.2">
      <c r="A154" s="67"/>
      <c r="B154" s="68"/>
      <c r="C154" s="69"/>
      <c r="D154" s="70"/>
      <c r="E154" s="69"/>
      <c r="F154" s="69">
        <f>SUM(F15+F27+F40+F49+F56+F70+F76+F80+F99+F119+F124+F148+F152)</f>
        <v>7013615.2412004182</v>
      </c>
      <c r="G154" s="69"/>
      <c r="H154" s="69">
        <f>SUM(H15+H27+H40+H49+H56+H70+H76+H80+H99+H119+H124+H148+H152)</f>
        <v>2440969.2757041482</v>
      </c>
      <c r="I154" s="69">
        <f>SUM(I15+I27+I40+I49+I56+I70+I76+I80+I99+I119+I124+I148+I152)</f>
        <v>9454584.5169045664</v>
      </c>
    </row>
    <row r="156" spans="1:9" x14ac:dyDescent="0.2">
      <c r="H156" s="30"/>
    </row>
  </sheetData>
  <mergeCells count="10">
    <mergeCell ref="A1:I1"/>
    <mergeCell ref="A2:I2"/>
    <mergeCell ref="A3:I3"/>
    <mergeCell ref="A8:A9"/>
    <mergeCell ref="B8:B9"/>
    <mergeCell ref="C8:C9"/>
    <mergeCell ref="D8:D9"/>
    <mergeCell ref="E8:F8"/>
    <mergeCell ref="G8:H8"/>
    <mergeCell ref="I8:I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50FD3-6C09-4F57-9512-DE89B09000ED}">
  <sheetPr>
    <tabColor theme="9"/>
  </sheetPr>
  <dimension ref="A1:M28"/>
  <sheetViews>
    <sheetView view="pageBreakPreview" zoomScaleNormal="100" zoomScaleSheetLayoutView="100" workbookViewId="0">
      <selection activeCell="E18" sqref="E18"/>
    </sheetView>
  </sheetViews>
  <sheetFormatPr defaultRowHeight="18" customHeight="1" x14ac:dyDescent="0.2"/>
  <cols>
    <col min="1" max="1" width="5.625" style="43" customWidth="1"/>
    <col min="2" max="2" width="42.125" style="28" customWidth="1"/>
    <col min="3" max="3" width="9.375" style="28" customWidth="1"/>
    <col min="4" max="4" width="6.875" style="43" customWidth="1"/>
    <col min="5" max="5" width="10" style="28" customWidth="1"/>
    <col min="6" max="6" width="13.125" style="28" customWidth="1"/>
    <col min="7" max="7" width="10" style="28" customWidth="1"/>
    <col min="8" max="9" width="13.125" style="28" customWidth="1"/>
    <col min="10" max="11" width="9" style="28"/>
    <col min="12" max="13" width="9" style="28" customWidth="1"/>
    <col min="14" max="16384" width="9" style="28"/>
  </cols>
  <sheetData>
    <row r="1" spans="1:13" ht="18" customHeight="1" x14ac:dyDescent="0.2">
      <c r="A1" s="280" t="s">
        <v>403</v>
      </c>
      <c r="B1" s="280"/>
      <c r="C1" s="280"/>
      <c r="D1" s="280"/>
      <c r="E1" s="280"/>
      <c r="F1" s="280"/>
      <c r="G1" s="280"/>
      <c r="H1" s="280"/>
      <c r="I1" s="280"/>
      <c r="J1" s="29"/>
      <c r="K1" s="29"/>
      <c r="L1" s="29"/>
      <c r="M1" s="29"/>
    </row>
    <row r="2" spans="1:13" ht="18" customHeight="1" x14ac:dyDescent="0.2">
      <c r="A2" s="280" t="s">
        <v>0</v>
      </c>
      <c r="B2" s="280"/>
      <c r="C2" s="280"/>
      <c r="D2" s="280"/>
      <c r="E2" s="280"/>
      <c r="F2" s="280"/>
      <c r="G2" s="280"/>
      <c r="H2" s="280"/>
      <c r="I2" s="280"/>
      <c r="J2" s="29"/>
      <c r="K2" s="29"/>
      <c r="L2" s="29"/>
      <c r="M2" s="29"/>
    </row>
    <row r="3" spans="1:13" ht="18" customHeight="1" x14ac:dyDescent="0.2">
      <c r="A3" s="280" t="s">
        <v>40</v>
      </c>
      <c r="B3" s="280"/>
      <c r="C3" s="280"/>
      <c r="D3" s="280"/>
      <c r="E3" s="280"/>
      <c r="F3" s="280"/>
      <c r="G3" s="280"/>
      <c r="H3" s="280"/>
      <c r="I3" s="280"/>
      <c r="J3" s="29"/>
      <c r="K3" s="29"/>
      <c r="L3" s="29"/>
      <c r="M3" s="29"/>
    </row>
    <row r="4" spans="1:13" s="36" customFormat="1" ht="18" customHeight="1" x14ac:dyDescent="0.2">
      <c r="A4" s="36" t="str">
        <f>ปร.5!A4</f>
        <v>โครงการ   ก่อสร้างสนามกีฬาชุมชน</v>
      </c>
      <c r="D4" s="43"/>
    </row>
    <row r="5" spans="1:13" s="36" customFormat="1" ht="18" customHeight="1" x14ac:dyDescent="0.2">
      <c r="A5" s="36" t="str">
        <f>ปร.5!A5</f>
        <v>สถานที่   โรงเรียนหรเทพ (รุ่งเรืองประชาสามัคคี) ตำบลหรเทพ อำเภอบ้านหมอ จังหวัดสระบุรี</v>
      </c>
      <c r="D5" s="43"/>
    </row>
    <row r="6" spans="1:13" s="36" customFormat="1" ht="18" customHeight="1" x14ac:dyDescent="0.2">
      <c r="A6" s="36" t="s">
        <v>429</v>
      </c>
      <c r="D6" s="43"/>
    </row>
    <row r="7" spans="1:13" ht="18" customHeight="1" x14ac:dyDescent="0.2">
      <c r="A7" s="281" t="s">
        <v>32</v>
      </c>
      <c r="B7" s="281" t="s">
        <v>30</v>
      </c>
      <c r="C7" s="281" t="s">
        <v>33</v>
      </c>
      <c r="D7" s="281" t="s">
        <v>31</v>
      </c>
      <c r="E7" s="281" t="s">
        <v>34</v>
      </c>
      <c r="F7" s="281"/>
      <c r="G7" s="281" t="s">
        <v>35</v>
      </c>
      <c r="H7" s="281"/>
      <c r="I7" s="282" t="s">
        <v>36</v>
      </c>
    </row>
    <row r="8" spans="1:13" ht="18" customHeight="1" x14ac:dyDescent="0.2">
      <c r="A8" s="281"/>
      <c r="B8" s="281"/>
      <c r="C8" s="281"/>
      <c r="D8" s="281"/>
      <c r="E8" s="33" t="s">
        <v>37</v>
      </c>
      <c r="F8" s="34" t="s">
        <v>38</v>
      </c>
      <c r="G8" s="33" t="s">
        <v>37</v>
      </c>
      <c r="H8" s="34" t="s">
        <v>39</v>
      </c>
      <c r="I8" s="282"/>
    </row>
    <row r="9" spans="1:13" ht="18" customHeight="1" x14ac:dyDescent="0.2">
      <c r="A9" s="124">
        <v>1</v>
      </c>
      <c r="B9" s="127" t="s">
        <v>228</v>
      </c>
      <c r="C9" s="124"/>
      <c r="D9" s="124"/>
      <c r="E9" s="124"/>
      <c r="F9" s="125"/>
      <c r="G9" s="124"/>
      <c r="H9" s="125"/>
      <c r="I9" s="126"/>
    </row>
    <row r="10" spans="1:13" ht="18" customHeight="1" x14ac:dyDescent="0.2">
      <c r="A10" s="45">
        <v>1.1000000000000001</v>
      </c>
      <c r="B10" s="38" t="str">
        <f>งานโครงสร้าง!B9</f>
        <v>งานวิศวกรรมโครงสร้าง</v>
      </c>
      <c r="C10" s="47">
        <v>1</v>
      </c>
      <c r="D10" s="45" t="s">
        <v>127</v>
      </c>
      <c r="E10" s="47"/>
      <c r="F10" s="47">
        <f>งานโครงสร้าง!F15</f>
        <v>2895460.5499999993</v>
      </c>
      <c r="G10" s="47"/>
      <c r="H10" s="47">
        <f>งานโครงสร้าง!H15</f>
        <v>784086.6</v>
      </c>
      <c r="I10" s="47">
        <f>งานโครงสร้าง!I15</f>
        <v>3679547.15</v>
      </c>
    </row>
    <row r="11" spans="1:13" ht="18" customHeight="1" x14ac:dyDescent="0.2">
      <c r="A11" s="45">
        <v>1.2</v>
      </c>
      <c r="B11" s="38" t="str">
        <f>งานสถาปัตยกรรม!B9</f>
        <v>งานสถาปัตยกรรม</v>
      </c>
      <c r="C11" s="47">
        <v>1</v>
      </c>
      <c r="D11" s="45" t="s">
        <v>127</v>
      </c>
      <c r="E11" s="47"/>
      <c r="F11" s="47">
        <f>งานสถาปัตยกรรม!F17</f>
        <v>3236926.77</v>
      </c>
      <c r="G11" s="47"/>
      <c r="H11" s="47">
        <f>งานสถาปัตยกรรม!H17</f>
        <v>1541886.6</v>
      </c>
      <c r="I11" s="47">
        <f>งานสถาปัตยกรรม!I17</f>
        <v>4778813.370000001</v>
      </c>
    </row>
    <row r="12" spans="1:13" ht="18" customHeight="1" x14ac:dyDescent="0.2">
      <c r="A12" s="45">
        <v>1.3</v>
      </c>
      <c r="B12" s="38" t="str">
        <f>งานระบบไฟฟ้าและแสงสว่าง!B9</f>
        <v>งานระบบไฟฟ้าและแสงสว่าง</v>
      </c>
      <c r="C12" s="47">
        <v>1</v>
      </c>
      <c r="D12" s="45" t="s">
        <v>127</v>
      </c>
      <c r="E12" s="47"/>
      <c r="F12" s="47">
        <f>งานระบบไฟฟ้าและแสงสว่าง!F15</f>
        <v>412205</v>
      </c>
      <c r="G12" s="47"/>
      <c r="H12" s="47">
        <f>งานระบบไฟฟ้าและแสงสว่าง!H15</f>
        <v>66500</v>
      </c>
      <c r="I12" s="47">
        <f>งานระบบไฟฟ้าและแสงสว่าง!I15</f>
        <v>478705</v>
      </c>
    </row>
    <row r="13" spans="1:13" ht="18" customHeight="1" thickBot="1" x14ac:dyDescent="0.25">
      <c r="A13" s="87"/>
      <c r="B13" s="90" t="s">
        <v>229</v>
      </c>
      <c r="C13" s="88"/>
      <c r="D13" s="89"/>
      <c r="E13" s="88"/>
      <c r="F13" s="88">
        <f>SUM(F10:F12)</f>
        <v>6544592.3199999994</v>
      </c>
      <c r="G13" s="88"/>
      <c r="H13" s="88">
        <f>SUM(H10:H12)</f>
        <v>2392473.2000000002</v>
      </c>
      <c r="I13" s="88">
        <f>SUM(I10:I12)</f>
        <v>8937065.5200000014</v>
      </c>
    </row>
    <row r="14" spans="1:13" ht="18" customHeight="1" thickTop="1" x14ac:dyDescent="0.2">
      <c r="A14" s="28"/>
      <c r="D14" s="28"/>
    </row>
    <row r="15" spans="1:13" ht="18" customHeight="1" x14ac:dyDescent="0.2">
      <c r="A15" s="28"/>
      <c r="D15" s="28"/>
    </row>
    <row r="16" spans="1:13" ht="18" customHeight="1" x14ac:dyDescent="0.2">
      <c r="A16" s="28"/>
      <c r="D16" s="28"/>
    </row>
    <row r="17" spans="1:8" ht="18" customHeight="1" x14ac:dyDescent="0.2">
      <c r="A17" s="28"/>
      <c r="D17" s="28"/>
    </row>
    <row r="18" spans="1:8" ht="18" customHeight="1" x14ac:dyDescent="0.2">
      <c r="A18" s="28"/>
      <c r="D18" s="28"/>
    </row>
    <row r="19" spans="1:8" ht="18" customHeight="1" x14ac:dyDescent="0.2">
      <c r="A19" s="28"/>
      <c r="D19" s="28"/>
    </row>
    <row r="20" spans="1:8" ht="18" customHeight="1" x14ac:dyDescent="0.2">
      <c r="A20" s="28"/>
      <c r="D20" s="28"/>
    </row>
    <row r="21" spans="1:8" ht="18" customHeight="1" x14ac:dyDescent="0.2">
      <c r="A21" s="28"/>
      <c r="D21" s="28"/>
    </row>
    <row r="22" spans="1:8" ht="18" customHeight="1" x14ac:dyDescent="0.2">
      <c r="A22" s="28"/>
      <c r="D22" s="28"/>
    </row>
    <row r="23" spans="1:8" s="29" customFormat="1" ht="18" customHeight="1" x14ac:dyDescent="0.2"/>
    <row r="24" spans="1:8" ht="18" customHeight="1" x14ac:dyDescent="0.2">
      <c r="A24" s="28"/>
      <c r="D24" s="28"/>
    </row>
    <row r="25" spans="1:8" ht="18" customHeight="1" x14ac:dyDescent="0.2">
      <c r="A25" s="28"/>
      <c r="D25" s="28"/>
    </row>
    <row r="26" spans="1:8" s="29" customFormat="1" ht="18" customHeight="1" x14ac:dyDescent="0.2"/>
    <row r="28" spans="1:8" ht="18" customHeight="1" x14ac:dyDescent="0.2">
      <c r="H28" s="30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D9BBB-3DBF-4075-A9CB-5A8B327991D8}">
  <sheetPr>
    <tabColor theme="9" tint="0.39997558519241921"/>
  </sheetPr>
  <dimension ref="A1:P85"/>
  <sheetViews>
    <sheetView view="pageBreakPreview" topLeftCell="A52" zoomScaleNormal="100" zoomScaleSheetLayoutView="100" workbookViewId="0">
      <selection activeCell="G33" sqref="G33"/>
    </sheetView>
  </sheetViews>
  <sheetFormatPr defaultRowHeight="18" customHeight="1" x14ac:dyDescent="0.2"/>
  <cols>
    <col min="1" max="1" width="5.625" style="43" customWidth="1"/>
    <col min="2" max="2" width="42.125" style="28" customWidth="1"/>
    <col min="3" max="3" width="9.375" style="28" customWidth="1"/>
    <col min="4" max="4" width="6.875" style="43" customWidth="1"/>
    <col min="5" max="5" width="10" style="28" customWidth="1"/>
    <col min="6" max="6" width="13.125" style="28" customWidth="1"/>
    <col min="7" max="7" width="10" style="28" customWidth="1"/>
    <col min="8" max="9" width="13.125" style="28" customWidth="1"/>
    <col min="10" max="10" width="9" style="28"/>
    <col min="11" max="13" width="9" style="28" customWidth="1"/>
    <col min="14" max="16384" width="9" style="28"/>
  </cols>
  <sheetData>
    <row r="1" spans="1:13" ht="18" customHeight="1" x14ac:dyDescent="0.2">
      <c r="A1" s="280" t="s">
        <v>403</v>
      </c>
      <c r="B1" s="280"/>
      <c r="C1" s="280"/>
      <c r="D1" s="280"/>
      <c r="E1" s="280"/>
      <c r="F1" s="280"/>
      <c r="G1" s="280"/>
      <c r="H1" s="280"/>
      <c r="I1" s="280"/>
      <c r="J1" s="29"/>
      <c r="K1" s="29"/>
      <c r="L1" s="29"/>
      <c r="M1" s="29"/>
    </row>
    <row r="2" spans="1:13" ht="18" customHeight="1" x14ac:dyDescent="0.2">
      <c r="A2" s="280" t="s">
        <v>0</v>
      </c>
      <c r="B2" s="280"/>
      <c r="C2" s="280"/>
      <c r="D2" s="280"/>
      <c r="E2" s="280"/>
      <c r="F2" s="280"/>
      <c r="G2" s="280"/>
      <c r="H2" s="280"/>
      <c r="I2" s="280"/>
      <c r="J2" s="29"/>
      <c r="K2" s="29"/>
      <c r="L2" s="29"/>
      <c r="M2" s="29"/>
    </row>
    <row r="3" spans="1:13" ht="18" customHeight="1" x14ac:dyDescent="0.2">
      <c r="A3" s="280" t="s">
        <v>40</v>
      </c>
      <c r="B3" s="280"/>
      <c r="C3" s="280"/>
      <c r="D3" s="280"/>
      <c r="E3" s="280"/>
      <c r="F3" s="280"/>
      <c r="G3" s="280"/>
      <c r="H3" s="280"/>
      <c r="I3" s="280"/>
      <c r="J3" s="29"/>
      <c r="K3" s="29"/>
      <c r="L3" s="29"/>
      <c r="M3" s="29"/>
    </row>
    <row r="4" spans="1:13" s="36" customFormat="1" ht="18" customHeight="1" x14ac:dyDescent="0.2">
      <c r="A4" s="36" t="str">
        <f>ปร.5!A4</f>
        <v>โครงการ   ก่อสร้างสนามกีฬาชุมชน</v>
      </c>
      <c r="D4" s="43"/>
    </row>
    <row r="5" spans="1:13" s="36" customFormat="1" ht="18" customHeight="1" x14ac:dyDescent="0.2">
      <c r="A5" s="36" t="str">
        <f>ปร.5!A5</f>
        <v>สถานที่   โรงเรียนหรเทพ (รุ่งเรืองประชาสามัคคี) ตำบลหรเทพ อำเภอบ้านหมอ จังหวัดสระบุรี</v>
      </c>
      <c r="D5" s="43"/>
    </row>
    <row r="6" spans="1:13" s="36" customFormat="1" ht="18" customHeight="1" x14ac:dyDescent="0.2">
      <c r="A6" s="36" t="s">
        <v>429</v>
      </c>
      <c r="D6" s="43"/>
    </row>
    <row r="7" spans="1:13" ht="18" customHeight="1" x14ac:dyDescent="0.2">
      <c r="A7" s="281" t="s">
        <v>32</v>
      </c>
      <c r="B7" s="281" t="s">
        <v>30</v>
      </c>
      <c r="C7" s="281" t="s">
        <v>33</v>
      </c>
      <c r="D7" s="281" t="s">
        <v>31</v>
      </c>
      <c r="E7" s="281" t="s">
        <v>34</v>
      </c>
      <c r="F7" s="281"/>
      <c r="G7" s="281" t="s">
        <v>35</v>
      </c>
      <c r="H7" s="281"/>
      <c r="I7" s="282" t="s">
        <v>36</v>
      </c>
    </row>
    <row r="8" spans="1:13" ht="18" customHeight="1" x14ac:dyDescent="0.2">
      <c r="A8" s="281"/>
      <c r="B8" s="281"/>
      <c r="C8" s="281"/>
      <c r="D8" s="281"/>
      <c r="E8" s="33" t="s">
        <v>37</v>
      </c>
      <c r="F8" s="34" t="s">
        <v>38</v>
      </c>
      <c r="G8" s="33" t="s">
        <v>37</v>
      </c>
      <c r="H8" s="34" t="s">
        <v>39</v>
      </c>
      <c r="I8" s="282"/>
    </row>
    <row r="9" spans="1:13" s="29" customFormat="1" ht="18" customHeight="1" x14ac:dyDescent="0.2">
      <c r="A9" s="100">
        <v>1.1000000000000001</v>
      </c>
      <c r="B9" s="115" t="s">
        <v>176</v>
      </c>
      <c r="C9" s="101"/>
      <c r="D9" s="102"/>
      <c r="E9" s="101"/>
      <c r="F9" s="101"/>
      <c r="G9" s="211"/>
      <c r="H9" s="101"/>
      <c r="I9" s="101"/>
    </row>
    <row r="10" spans="1:13" ht="18" customHeight="1" x14ac:dyDescent="0.2">
      <c r="A10" s="162" t="s">
        <v>165</v>
      </c>
      <c r="B10" s="163" t="str">
        <f>B17</f>
        <v>งานดิน</v>
      </c>
      <c r="C10" s="164">
        <v>1</v>
      </c>
      <c r="D10" s="168" t="s">
        <v>127</v>
      </c>
      <c r="E10" s="164"/>
      <c r="F10" s="164">
        <f>F22</f>
        <v>625971.96</v>
      </c>
      <c r="G10" s="212"/>
      <c r="H10" s="164">
        <f>H22</f>
        <v>402549.8</v>
      </c>
      <c r="I10" s="164">
        <f>I22</f>
        <v>1028521.76</v>
      </c>
    </row>
    <row r="11" spans="1:13" ht="18" customHeight="1" x14ac:dyDescent="0.2">
      <c r="A11" s="162" t="s">
        <v>166</v>
      </c>
      <c r="B11" s="163" t="str">
        <f>B23</f>
        <v>งานฐานรากรับรั้วเหล็ก</v>
      </c>
      <c r="C11" s="164">
        <v>1</v>
      </c>
      <c r="D11" s="168" t="s">
        <v>127</v>
      </c>
      <c r="E11" s="164"/>
      <c r="F11" s="164">
        <f>F33</f>
        <v>74285.34</v>
      </c>
      <c r="G11" s="212"/>
      <c r="H11" s="164">
        <f>H33</f>
        <v>16820</v>
      </c>
      <c r="I11" s="164">
        <f>I33</f>
        <v>91105.34</v>
      </c>
    </row>
    <row r="12" spans="1:13" ht="18" customHeight="1" x14ac:dyDescent="0.2">
      <c r="A12" s="162" t="s">
        <v>167</v>
      </c>
      <c r="B12" s="163" t="str">
        <f>B34</f>
        <v>งานเสาตอม่อรับรั้วเหล็ก</v>
      </c>
      <c r="C12" s="164">
        <v>1</v>
      </c>
      <c r="D12" s="168" t="s">
        <v>127</v>
      </c>
      <c r="E12" s="164"/>
      <c r="F12" s="164">
        <f>F45</f>
        <v>50969.91</v>
      </c>
      <c r="G12" s="212"/>
      <c r="H12" s="164">
        <f>H45</f>
        <v>14037.8</v>
      </c>
      <c r="I12" s="164">
        <f>I45</f>
        <v>65007.710000000006</v>
      </c>
    </row>
    <row r="13" spans="1:13" ht="18" customHeight="1" x14ac:dyDescent="0.2">
      <c r="A13" s="162" t="s">
        <v>168</v>
      </c>
      <c r="B13" s="163" t="str">
        <f>B46</f>
        <v>งานพื้น</v>
      </c>
      <c r="C13" s="164">
        <v>1</v>
      </c>
      <c r="D13" s="168" t="s">
        <v>127</v>
      </c>
      <c r="E13" s="164"/>
      <c r="F13" s="164">
        <f>F57</f>
        <v>2078333.3099999998</v>
      </c>
      <c r="G13" s="212"/>
      <c r="H13" s="164">
        <f>H57</f>
        <v>334847</v>
      </c>
      <c r="I13" s="164">
        <f>I57</f>
        <v>2413180.31</v>
      </c>
    </row>
    <row r="14" spans="1:13" ht="18" customHeight="1" x14ac:dyDescent="0.2">
      <c r="A14" s="165" t="s">
        <v>169</v>
      </c>
      <c r="B14" s="166" t="str">
        <f>B58</f>
        <v>งานบันได</v>
      </c>
      <c r="C14" s="167">
        <v>1</v>
      </c>
      <c r="D14" s="169" t="s">
        <v>127</v>
      </c>
      <c r="E14" s="167"/>
      <c r="F14" s="167">
        <f>F70</f>
        <v>65900.03</v>
      </c>
      <c r="G14" s="213"/>
      <c r="H14" s="167">
        <f>H70</f>
        <v>15832</v>
      </c>
      <c r="I14" s="167">
        <f>I70</f>
        <v>81732.03</v>
      </c>
    </row>
    <row r="15" spans="1:13" s="29" customFormat="1" ht="18" customHeight="1" thickBot="1" x14ac:dyDescent="0.25">
      <c r="A15" s="87"/>
      <c r="B15" s="87" t="s">
        <v>178</v>
      </c>
      <c r="C15" s="88"/>
      <c r="D15" s="89"/>
      <c r="E15" s="88"/>
      <c r="F15" s="88">
        <f>SUM(F10:F14)</f>
        <v>2895460.5499999993</v>
      </c>
      <c r="G15" s="214"/>
      <c r="H15" s="88">
        <f>SUM(H10:H14)</f>
        <v>784086.6</v>
      </c>
      <c r="I15" s="88">
        <f>SUM(I10:I14)</f>
        <v>3679547.15</v>
      </c>
    </row>
    <row r="16" spans="1:13" s="29" customFormat="1" ht="18" customHeight="1" thickTop="1" x14ac:dyDescent="0.2">
      <c r="A16" s="76">
        <v>1.1000000000000001</v>
      </c>
      <c r="B16" s="122" t="s">
        <v>176</v>
      </c>
      <c r="C16" s="78"/>
      <c r="D16" s="171"/>
      <c r="E16" s="78"/>
      <c r="F16" s="78"/>
      <c r="G16" s="215"/>
      <c r="H16" s="78"/>
      <c r="I16" s="78"/>
    </row>
    <row r="17" spans="1:9" ht="18" customHeight="1" x14ac:dyDescent="0.2">
      <c r="A17" s="51" t="s">
        <v>165</v>
      </c>
      <c r="B17" s="40" t="s">
        <v>100</v>
      </c>
      <c r="C17" s="38"/>
      <c r="D17" s="45"/>
      <c r="E17" s="47"/>
      <c r="F17" s="47"/>
      <c r="G17" s="57"/>
      <c r="H17" s="47"/>
      <c r="I17" s="47"/>
    </row>
    <row r="18" spans="1:9" ht="18" customHeight="1" x14ac:dyDescent="0.2">
      <c r="A18" s="45"/>
      <c r="B18" s="73" t="s">
        <v>139</v>
      </c>
      <c r="C18" s="99">
        <f>ROUNDUP(1812+1558,0)</f>
        <v>3370</v>
      </c>
      <c r="D18" s="54" t="s">
        <v>91</v>
      </c>
      <c r="E18" s="57">
        <v>0</v>
      </c>
      <c r="F18" s="47">
        <f>ROUNDDOWN(C18*E18,2)</f>
        <v>0</v>
      </c>
      <c r="G18" s="57">
        <v>11.14</v>
      </c>
      <c r="H18" s="47">
        <f>ROUNDDOWN(C18*G18,2)</f>
        <v>37541.800000000003</v>
      </c>
      <c r="I18" s="47">
        <f>F18+H18</f>
        <v>37541.800000000003</v>
      </c>
    </row>
    <row r="19" spans="1:9" ht="18" customHeight="1" x14ac:dyDescent="0.2">
      <c r="A19" s="45"/>
      <c r="B19" s="38" t="s">
        <v>101</v>
      </c>
      <c r="C19" s="99">
        <f>ROUNDUP((77*0.8*0.8*0.35)*1.3,0)</f>
        <v>23</v>
      </c>
      <c r="D19" s="54" t="s">
        <v>88</v>
      </c>
      <c r="E19" s="57">
        <v>0</v>
      </c>
      <c r="F19" s="47">
        <f t="shared" ref="F19:F21" si="0">ROUNDDOWN(C19*E19,2)</f>
        <v>0</v>
      </c>
      <c r="G19" s="57">
        <v>112</v>
      </c>
      <c r="H19" s="47">
        <f t="shared" ref="H19:H21" si="1">ROUNDDOWN(C19*G19,2)</f>
        <v>2576</v>
      </c>
      <c r="I19" s="47">
        <f>F19+H19</f>
        <v>2576</v>
      </c>
    </row>
    <row r="20" spans="1:9" ht="18" customHeight="1" x14ac:dyDescent="0.2">
      <c r="A20" s="72"/>
      <c r="B20" s="38" t="s">
        <v>422</v>
      </c>
      <c r="C20" s="99">
        <f>ROUNDUP(4930.6*0.5,0)</f>
        <v>2466</v>
      </c>
      <c r="D20" s="54" t="s">
        <v>88</v>
      </c>
      <c r="E20" s="57">
        <f>(50+72.84)*1.5</f>
        <v>184.26</v>
      </c>
      <c r="F20" s="47">
        <f>ROUNDDOWN(C20*E20,2)</f>
        <v>454385.16</v>
      </c>
      <c r="G20" s="57">
        <v>112</v>
      </c>
      <c r="H20" s="47">
        <f t="shared" si="1"/>
        <v>276192</v>
      </c>
      <c r="I20" s="47">
        <f>F20+H20</f>
        <v>730577.15999999992</v>
      </c>
    </row>
    <row r="21" spans="1:9" ht="18" customHeight="1" x14ac:dyDescent="0.2">
      <c r="A21" s="72"/>
      <c r="B21" s="38" t="s">
        <v>356</v>
      </c>
      <c r="C21" s="107">
        <f>ROUNDUP((241.039175+303.059185+(1661.7*0.05)-(1176.64*0.03))*1.3,0)</f>
        <v>770</v>
      </c>
      <c r="D21" s="75" t="s">
        <v>91</v>
      </c>
      <c r="E21" s="209">
        <f>150+72.84</f>
        <v>222.84</v>
      </c>
      <c r="F21" s="47">
        <f t="shared" si="0"/>
        <v>171586.8</v>
      </c>
      <c r="G21" s="209">
        <v>112</v>
      </c>
      <c r="H21" s="47">
        <f t="shared" si="1"/>
        <v>86240</v>
      </c>
      <c r="I21" s="74">
        <f>F21+H21</f>
        <v>257826.8</v>
      </c>
    </row>
    <row r="22" spans="1:9" s="29" customFormat="1" ht="18" customHeight="1" x14ac:dyDescent="0.2">
      <c r="A22" s="79"/>
      <c r="B22" s="79" t="s">
        <v>102</v>
      </c>
      <c r="C22" s="80"/>
      <c r="D22" s="81"/>
      <c r="E22" s="80"/>
      <c r="F22" s="80">
        <f>SUM(F18:F21)</f>
        <v>625971.96</v>
      </c>
      <c r="G22" s="210"/>
      <c r="H22" s="80">
        <f>SUM(H18:H21)</f>
        <v>402549.8</v>
      </c>
      <c r="I22" s="80">
        <f>SUM(I18:I21)</f>
        <v>1028521.76</v>
      </c>
    </row>
    <row r="23" spans="1:9" s="29" customFormat="1" ht="18" customHeight="1" x14ac:dyDescent="0.2">
      <c r="A23" s="76" t="s">
        <v>166</v>
      </c>
      <c r="B23" s="122" t="s">
        <v>94</v>
      </c>
      <c r="C23" s="77"/>
      <c r="D23" s="76"/>
      <c r="E23" s="78"/>
      <c r="F23" s="78"/>
      <c r="G23" s="215"/>
      <c r="H23" s="78"/>
      <c r="I23" s="78"/>
    </row>
    <row r="24" spans="1:9" ht="18" customHeight="1" x14ac:dyDescent="0.2">
      <c r="A24" s="45"/>
      <c r="B24" s="123" t="s">
        <v>52</v>
      </c>
      <c r="C24" s="48">
        <f>ROUNDUP(0.8*0.8*0.1*78*1.25,0)</f>
        <v>7</v>
      </c>
      <c r="D24" s="45" t="s">
        <v>88</v>
      </c>
      <c r="E24" s="57">
        <v>436.92</v>
      </c>
      <c r="F24" s="47">
        <f>ROUNDDOWN(C24*E24,2)</f>
        <v>3058.44</v>
      </c>
      <c r="G24" s="57">
        <v>104</v>
      </c>
      <c r="H24" s="47">
        <f>ROUNDDOWN(C24*G24,2)</f>
        <v>728</v>
      </c>
      <c r="I24" s="47">
        <f>F24+H24</f>
        <v>3786.44</v>
      </c>
    </row>
    <row r="25" spans="1:9" ht="18" customHeight="1" x14ac:dyDescent="0.2">
      <c r="A25" s="45"/>
      <c r="B25" s="123" t="s">
        <v>43</v>
      </c>
      <c r="C25" s="48">
        <f>ROUNDUP(0.8*0.8*0.05*78*1.05,0)</f>
        <v>3</v>
      </c>
      <c r="D25" s="45" t="s">
        <v>88</v>
      </c>
      <c r="E25" s="57">
        <v>1307.9000000000001</v>
      </c>
      <c r="F25" s="47">
        <f t="shared" ref="F25:F32" si="2">ROUNDDOWN(C25*E25,2)</f>
        <v>3923.7</v>
      </c>
      <c r="G25" s="57">
        <v>419</v>
      </c>
      <c r="H25" s="47">
        <f t="shared" ref="H25:H32" si="3">ROUNDDOWN(C25*G25,2)</f>
        <v>1257</v>
      </c>
      <c r="I25" s="47">
        <f t="shared" ref="I25:I32" si="4">F25+H25</f>
        <v>5180.7</v>
      </c>
    </row>
    <row r="26" spans="1:9" ht="18" customHeight="1" x14ac:dyDescent="0.2">
      <c r="A26" s="45"/>
      <c r="B26" s="39" t="s">
        <v>158</v>
      </c>
      <c r="C26" s="48">
        <f>ROUNDUP(0.8*0.8*0.2*78*1.05,0)</f>
        <v>11</v>
      </c>
      <c r="D26" s="45" t="s">
        <v>88</v>
      </c>
      <c r="E26" s="57">
        <v>2204.0500000000002</v>
      </c>
      <c r="F26" s="47">
        <f t="shared" si="2"/>
        <v>24244.55</v>
      </c>
      <c r="G26" s="57">
        <v>419</v>
      </c>
      <c r="H26" s="47">
        <f t="shared" si="3"/>
        <v>4609</v>
      </c>
      <c r="I26" s="47">
        <f t="shared" si="4"/>
        <v>28853.55</v>
      </c>
    </row>
    <row r="27" spans="1:9" ht="18" customHeight="1" x14ac:dyDescent="0.2">
      <c r="A27" s="45"/>
      <c r="B27" s="39" t="s">
        <v>46</v>
      </c>
      <c r="C27" s="207">
        <v>0.91</v>
      </c>
      <c r="D27" s="45" t="s">
        <v>89</v>
      </c>
      <c r="E27" s="57">
        <v>22341.13</v>
      </c>
      <c r="F27" s="47">
        <f t="shared" si="2"/>
        <v>20330.419999999998</v>
      </c>
      <c r="G27" s="57">
        <v>3600</v>
      </c>
      <c r="H27" s="47">
        <f t="shared" si="3"/>
        <v>3276</v>
      </c>
      <c r="I27" s="47">
        <f t="shared" si="4"/>
        <v>23606.42</v>
      </c>
    </row>
    <row r="28" spans="1:9" ht="18" customHeight="1" x14ac:dyDescent="0.2">
      <c r="A28" s="45"/>
      <c r="B28" s="39" t="s">
        <v>47</v>
      </c>
      <c r="C28" s="48">
        <f>ROUNDUP((C27)*30,0)</f>
        <v>28</v>
      </c>
      <c r="D28" s="45" t="s">
        <v>90</v>
      </c>
      <c r="E28" s="57">
        <v>40.659999999999997</v>
      </c>
      <c r="F28" s="47">
        <f t="shared" si="2"/>
        <v>1138.48</v>
      </c>
      <c r="G28" s="57">
        <v>0</v>
      </c>
      <c r="H28" s="47">
        <f t="shared" si="3"/>
        <v>0</v>
      </c>
      <c r="I28" s="47">
        <f t="shared" si="4"/>
        <v>1138.48</v>
      </c>
    </row>
    <row r="29" spans="1:9" ht="18" customHeight="1" x14ac:dyDescent="0.2">
      <c r="A29" s="45"/>
      <c r="B29" s="39" t="s">
        <v>48</v>
      </c>
      <c r="C29" s="207">
        <f>ROUNDUP((3.2*0.2)*78,0)</f>
        <v>50</v>
      </c>
      <c r="D29" s="45" t="s">
        <v>91</v>
      </c>
      <c r="E29" s="57">
        <v>0</v>
      </c>
      <c r="F29" s="47">
        <f t="shared" si="2"/>
        <v>0</v>
      </c>
      <c r="G29" s="57">
        <v>139</v>
      </c>
      <c r="H29" s="47">
        <f t="shared" si="3"/>
        <v>6950</v>
      </c>
      <c r="I29" s="47">
        <f t="shared" si="4"/>
        <v>6950</v>
      </c>
    </row>
    <row r="30" spans="1:9" ht="18" customHeight="1" x14ac:dyDescent="0.2">
      <c r="A30" s="45"/>
      <c r="B30" s="39" t="s">
        <v>49</v>
      </c>
      <c r="C30" s="48">
        <f>ROUNDUP(C29*0.8,0)</f>
        <v>40</v>
      </c>
      <c r="D30" s="45" t="s">
        <v>92</v>
      </c>
      <c r="E30" s="57">
        <v>400</v>
      </c>
      <c r="F30" s="47">
        <f t="shared" si="2"/>
        <v>16000</v>
      </c>
      <c r="G30" s="57">
        <v>0</v>
      </c>
      <c r="H30" s="47">
        <f t="shared" si="3"/>
        <v>0</v>
      </c>
      <c r="I30" s="47">
        <f t="shared" si="4"/>
        <v>16000</v>
      </c>
    </row>
    <row r="31" spans="1:9" ht="18" customHeight="1" x14ac:dyDescent="0.2">
      <c r="A31" s="45"/>
      <c r="B31" s="39" t="s">
        <v>50</v>
      </c>
      <c r="C31" s="48">
        <f>ROUNDUP(C30*0.3,0)</f>
        <v>12</v>
      </c>
      <c r="D31" s="45" t="s">
        <v>92</v>
      </c>
      <c r="E31" s="57">
        <v>400</v>
      </c>
      <c r="F31" s="47">
        <f t="shared" si="2"/>
        <v>4800</v>
      </c>
      <c r="G31" s="57">
        <v>0</v>
      </c>
      <c r="H31" s="47">
        <f t="shared" si="3"/>
        <v>0</v>
      </c>
      <c r="I31" s="47">
        <f t="shared" si="4"/>
        <v>4800</v>
      </c>
    </row>
    <row r="32" spans="1:9" ht="18" customHeight="1" x14ac:dyDescent="0.2">
      <c r="A32" s="72"/>
      <c r="B32" s="82" t="s">
        <v>51</v>
      </c>
      <c r="C32" s="83">
        <f>ROUNDUP(C29*0.25,0)</f>
        <v>13</v>
      </c>
      <c r="D32" s="72" t="s">
        <v>90</v>
      </c>
      <c r="E32" s="209">
        <v>60.75</v>
      </c>
      <c r="F32" s="47">
        <f t="shared" si="2"/>
        <v>789.75</v>
      </c>
      <c r="G32" s="209">
        <v>0</v>
      </c>
      <c r="H32" s="47">
        <f t="shared" si="3"/>
        <v>0</v>
      </c>
      <c r="I32" s="74">
        <f t="shared" si="4"/>
        <v>789.75</v>
      </c>
    </row>
    <row r="33" spans="1:9" s="29" customFormat="1" ht="18" customHeight="1" x14ac:dyDescent="0.2">
      <c r="A33" s="79"/>
      <c r="B33" s="79" t="s">
        <v>421</v>
      </c>
      <c r="C33" s="85"/>
      <c r="D33" s="79"/>
      <c r="E33" s="210"/>
      <c r="F33" s="80">
        <f>SUM(F24:F32)</f>
        <v>74285.34</v>
      </c>
      <c r="G33" s="210"/>
      <c r="H33" s="80">
        <f>SUM(H24:H32)</f>
        <v>16820</v>
      </c>
      <c r="I33" s="80">
        <f>SUM(I24:I32)</f>
        <v>91105.34</v>
      </c>
    </row>
    <row r="34" spans="1:9" s="29" customFormat="1" ht="18" customHeight="1" x14ac:dyDescent="0.2">
      <c r="A34" s="76" t="s">
        <v>167</v>
      </c>
      <c r="B34" s="84" t="s">
        <v>54</v>
      </c>
      <c r="C34" s="77"/>
      <c r="D34" s="76"/>
      <c r="E34" s="78"/>
      <c r="F34" s="78"/>
      <c r="G34" s="215"/>
      <c r="H34" s="78"/>
      <c r="I34" s="78"/>
    </row>
    <row r="35" spans="1:9" ht="18" customHeight="1" x14ac:dyDescent="0.2">
      <c r="A35" s="45"/>
      <c r="B35" s="39" t="s">
        <v>158</v>
      </c>
      <c r="C35" s="47">
        <f>ROUNDUP((0.2*0.2*0.45)*78*1.05,0)</f>
        <v>2</v>
      </c>
      <c r="D35" s="45" t="s">
        <v>88</v>
      </c>
      <c r="E35" s="57">
        <v>2204.0500000000002</v>
      </c>
      <c r="F35" s="47">
        <f t="shared" ref="F35:F44" si="5">ROUNDDOWN(C35*E35,2)</f>
        <v>4408.1000000000004</v>
      </c>
      <c r="G35" s="57">
        <v>419</v>
      </c>
      <c r="H35" s="47">
        <f>ROUNDDOWN(C35*G35,2)</f>
        <v>838</v>
      </c>
      <c r="I35" s="47">
        <f t="shared" ref="I35:I44" si="6">F35+H35</f>
        <v>5246.1</v>
      </c>
    </row>
    <row r="36" spans="1:9" ht="18" customHeight="1" x14ac:dyDescent="0.2">
      <c r="A36" s="45"/>
      <c r="B36" s="39" t="s">
        <v>53</v>
      </c>
      <c r="C36" s="47">
        <v>0.06</v>
      </c>
      <c r="D36" s="45" t="s">
        <v>89</v>
      </c>
      <c r="E36" s="57">
        <v>23261.68</v>
      </c>
      <c r="F36" s="47">
        <f t="shared" si="5"/>
        <v>1395.7</v>
      </c>
      <c r="G36" s="57">
        <v>4400</v>
      </c>
      <c r="H36" s="47">
        <f t="shared" ref="H36:H44" si="7">ROUNDDOWN(C36*G36,2)</f>
        <v>264</v>
      </c>
      <c r="I36" s="47">
        <f t="shared" si="6"/>
        <v>1659.7</v>
      </c>
    </row>
    <row r="37" spans="1:9" ht="18" customHeight="1" x14ac:dyDescent="0.2">
      <c r="A37" s="45"/>
      <c r="B37" s="39" t="s">
        <v>46</v>
      </c>
      <c r="C37" s="47">
        <v>0.28999999999999998</v>
      </c>
      <c r="D37" s="45" t="s">
        <v>89</v>
      </c>
      <c r="E37" s="57">
        <v>22341.13</v>
      </c>
      <c r="F37" s="47">
        <f t="shared" si="5"/>
        <v>6478.92</v>
      </c>
      <c r="G37" s="57">
        <v>3600</v>
      </c>
      <c r="H37" s="47">
        <f t="shared" si="7"/>
        <v>1044</v>
      </c>
      <c r="I37" s="47">
        <f t="shared" si="6"/>
        <v>7522.92</v>
      </c>
    </row>
    <row r="38" spans="1:9" ht="18" customHeight="1" x14ac:dyDescent="0.2">
      <c r="A38" s="45"/>
      <c r="B38" s="39" t="s">
        <v>47</v>
      </c>
      <c r="C38" s="47">
        <f>ROUNDUP((C36+C37)*30,0)</f>
        <v>11</v>
      </c>
      <c r="D38" s="45" t="s">
        <v>90</v>
      </c>
      <c r="E38" s="57">
        <v>40.659999999999997</v>
      </c>
      <c r="F38" s="47">
        <f t="shared" si="5"/>
        <v>447.26</v>
      </c>
      <c r="G38" s="57">
        <v>0</v>
      </c>
      <c r="H38" s="47">
        <f t="shared" si="7"/>
        <v>0</v>
      </c>
      <c r="I38" s="47">
        <f t="shared" si="6"/>
        <v>447.26</v>
      </c>
    </row>
    <row r="39" spans="1:9" ht="18" customHeight="1" x14ac:dyDescent="0.2">
      <c r="A39" s="45"/>
      <c r="B39" s="39" t="s">
        <v>48</v>
      </c>
      <c r="C39" s="47">
        <f>ROUNDUP((0.8*0.5)*78,0)</f>
        <v>32</v>
      </c>
      <c r="D39" s="45" t="s">
        <v>91</v>
      </c>
      <c r="E39" s="57">
        <v>0</v>
      </c>
      <c r="F39" s="47">
        <f t="shared" si="5"/>
        <v>0</v>
      </c>
      <c r="G39" s="57">
        <v>139</v>
      </c>
      <c r="H39" s="47">
        <f t="shared" si="7"/>
        <v>4448</v>
      </c>
      <c r="I39" s="47">
        <f t="shared" si="6"/>
        <v>4448</v>
      </c>
    </row>
    <row r="40" spans="1:9" ht="18" customHeight="1" x14ac:dyDescent="0.2">
      <c r="A40" s="45"/>
      <c r="B40" s="39" t="s">
        <v>49</v>
      </c>
      <c r="C40" s="47">
        <f>ROUNDUP(C39*0.8,0)</f>
        <v>26</v>
      </c>
      <c r="D40" s="45" t="s">
        <v>92</v>
      </c>
      <c r="E40" s="57">
        <v>400</v>
      </c>
      <c r="F40" s="47">
        <f t="shared" si="5"/>
        <v>10400</v>
      </c>
      <c r="G40" s="57">
        <v>0</v>
      </c>
      <c r="H40" s="47">
        <f t="shared" si="7"/>
        <v>0</v>
      </c>
      <c r="I40" s="47">
        <f t="shared" si="6"/>
        <v>10400</v>
      </c>
    </row>
    <row r="41" spans="1:9" ht="18" customHeight="1" x14ac:dyDescent="0.2">
      <c r="A41" s="45"/>
      <c r="B41" s="39" t="s">
        <v>50</v>
      </c>
      <c r="C41" s="47">
        <f>ROUNDUP(C40*0.3,0)</f>
        <v>8</v>
      </c>
      <c r="D41" s="45" t="s">
        <v>92</v>
      </c>
      <c r="E41" s="57">
        <v>400</v>
      </c>
      <c r="F41" s="47">
        <f t="shared" si="5"/>
        <v>3200</v>
      </c>
      <c r="G41" s="57">
        <v>0</v>
      </c>
      <c r="H41" s="47">
        <f t="shared" si="7"/>
        <v>0</v>
      </c>
      <c r="I41" s="47">
        <f t="shared" si="6"/>
        <v>3200</v>
      </c>
    </row>
    <row r="42" spans="1:9" ht="18" customHeight="1" x14ac:dyDescent="0.2">
      <c r="A42" s="45"/>
      <c r="B42" s="39" t="s">
        <v>51</v>
      </c>
      <c r="C42" s="47">
        <f>ROUNDUP(C39*0.25,0)</f>
        <v>8</v>
      </c>
      <c r="D42" s="45" t="s">
        <v>90</v>
      </c>
      <c r="E42" s="57">
        <v>60.75</v>
      </c>
      <c r="F42" s="47">
        <f t="shared" si="5"/>
        <v>486</v>
      </c>
      <c r="G42" s="57">
        <v>0</v>
      </c>
      <c r="H42" s="47">
        <f t="shared" si="7"/>
        <v>0</v>
      </c>
      <c r="I42" s="47">
        <f t="shared" si="6"/>
        <v>486</v>
      </c>
    </row>
    <row r="43" spans="1:9" ht="18" customHeight="1" x14ac:dyDescent="0.2">
      <c r="A43" s="45"/>
      <c r="B43" s="39" t="s">
        <v>98</v>
      </c>
      <c r="C43" s="47">
        <v>294.19</v>
      </c>
      <c r="D43" s="45" t="s">
        <v>90</v>
      </c>
      <c r="E43" s="57">
        <v>36.5</v>
      </c>
      <c r="F43" s="47">
        <f t="shared" si="5"/>
        <v>10737.93</v>
      </c>
      <c r="G43" s="57">
        <v>20</v>
      </c>
      <c r="H43" s="47">
        <f t="shared" si="7"/>
        <v>5883.8</v>
      </c>
      <c r="I43" s="47">
        <f t="shared" si="6"/>
        <v>16621.73</v>
      </c>
    </row>
    <row r="44" spans="1:9" ht="18" customHeight="1" x14ac:dyDescent="0.2">
      <c r="A44" s="72"/>
      <c r="B44" s="82" t="s">
        <v>97</v>
      </c>
      <c r="C44" s="74">
        <f>4*78</f>
        <v>312</v>
      </c>
      <c r="D44" s="72" t="s">
        <v>99</v>
      </c>
      <c r="E44" s="209">
        <v>43</v>
      </c>
      <c r="F44" s="47">
        <f t="shared" si="5"/>
        <v>13416</v>
      </c>
      <c r="G44" s="209">
        <v>5</v>
      </c>
      <c r="H44" s="47">
        <f t="shared" si="7"/>
        <v>1560</v>
      </c>
      <c r="I44" s="74">
        <f t="shared" si="6"/>
        <v>14976</v>
      </c>
    </row>
    <row r="45" spans="1:9" s="29" customFormat="1" ht="18" customHeight="1" x14ac:dyDescent="0.2">
      <c r="A45" s="79"/>
      <c r="B45" s="33" t="s">
        <v>95</v>
      </c>
      <c r="C45" s="86"/>
      <c r="D45" s="79"/>
      <c r="E45" s="80"/>
      <c r="F45" s="80">
        <f>SUM(F35:F44)</f>
        <v>50969.91</v>
      </c>
      <c r="G45" s="210"/>
      <c r="H45" s="80">
        <f>SUM(H35:H44)</f>
        <v>14037.8</v>
      </c>
      <c r="I45" s="80">
        <f>SUM(I35:I44)</f>
        <v>65007.710000000006</v>
      </c>
    </row>
    <row r="46" spans="1:9" s="29" customFormat="1" ht="18" customHeight="1" x14ac:dyDescent="0.2">
      <c r="A46" s="51" t="s">
        <v>168</v>
      </c>
      <c r="B46" s="41" t="s">
        <v>72</v>
      </c>
      <c r="C46" s="52"/>
      <c r="D46" s="55"/>
      <c r="E46" s="52"/>
      <c r="F46" s="52"/>
      <c r="G46" s="93"/>
      <c r="H46" s="52"/>
      <c r="I46" s="52"/>
    </row>
    <row r="47" spans="1:9" s="29" customFormat="1" ht="18" customHeight="1" x14ac:dyDescent="0.2">
      <c r="A47" s="51"/>
      <c r="B47" s="123" t="s">
        <v>52</v>
      </c>
      <c r="C47" s="99">
        <f>ROUNDUP((1661.7+1176.64)*0.1*1.25,0)</f>
        <v>355</v>
      </c>
      <c r="D47" s="54" t="s">
        <v>88</v>
      </c>
      <c r="E47" s="57">
        <v>436.92</v>
      </c>
      <c r="F47" s="47">
        <f t="shared" ref="F47:F56" si="8">ROUNDDOWN(C47*E47,2)</f>
        <v>155106.6</v>
      </c>
      <c r="G47" s="57">
        <v>104</v>
      </c>
      <c r="H47" s="47">
        <f t="shared" ref="H47:H56" si="9">ROUNDDOWN(C47*G47,2)</f>
        <v>36920</v>
      </c>
      <c r="I47" s="47">
        <f t="shared" ref="I47:I48" si="10">F47+H47</f>
        <v>192026.6</v>
      </c>
    </row>
    <row r="48" spans="1:9" s="29" customFormat="1" ht="18" customHeight="1" x14ac:dyDescent="0.2">
      <c r="A48" s="51"/>
      <c r="B48" s="123" t="s">
        <v>43</v>
      </c>
      <c r="C48" s="99">
        <f>ROUNDUP((1661.7+1176.64)*0.05*1.05,0)</f>
        <v>150</v>
      </c>
      <c r="D48" s="54" t="s">
        <v>88</v>
      </c>
      <c r="E48" s="57">
        <v>1307.9000000000001</v>
      </c>
      <c r="F48" s="47">
        <f t="shared" si="8"/>
        <v>196185</v>
      </c>
      <c r="G48" s="57">
        <v>419</v>
      </c>
      <c r="H48" s="47">
        <f t="shared" si="9"/>
        <v>62850</v>
      </c>
      <c r="I48" s="47">
        <f t="shared" si="10"/>
        <v>259035</v>
      </c>
    </row>
    <row r="49" spans="1:16" ht="18" customHeight="1" x14ac:dyDescent="0.2">
      <c r="A49" s="45"/>
      <c r="B49" s="39" t="s">
        <v>158</v>
      </c>
      <c r="C49" s="99">
        <f>ROUNDUP(((1661.7*0.15)+(1176.64*0.15))*1.05,0)</f>
        <v>448</v>
      </c>
      <c r="D49" s="54" t="s">
        <v>88</v>
      </c>
      <c r="E49" s="57">
        <v>2204.0500000000002</v>
      </c>
      <c r="F49" s="47">
        <f t="shared" si="8"/>
        <v>987414.4</v>
      </c>
      <c r="G49" s="57">
        <v>419</v>
      </c>
      <c r="H49" s="47">
        <f t="shared" si="9"/>
        <v>187712</v>
      </c>
      <c r="I49" s="47">
        <f t="shared" ref="I49:I51" si="11">F49+H49</f>
        <v>1175126.3999999999</v>
      </c>
      <c r="L49" s="29"/>
      <c r="M49" s="29"/>
      <c r="N49" s="98"/>
      <c r="O49" s="30"/>
    </row>
    <row r="50" spans="1:16" ht="18" customHeight="1" x14ac:dyDescent="0.2">
      <c r="A50" s="45"/>
      <c r="B50" s="39" t="s">
        <v>385</v>
      </c>
      <c r="C50" s="99">
        <f>ROUNDUP(1661.7+1176.64,0)</f>
        <v>2839</v>
      </c>
      <c r="D50" s="54" t="s">
        <v>91</v>
      </c>
      <c r="E50" s="57">
        <v>33</v>
      </c>
      <c r="F50" s="47">
        <f t="shared" si="8"/>
        <v>93687</v>
      </c>
      <c r="G50" s="57">
        <v>5</v>
      </c>
      <c r="H50" s="47">
        <f t="shared" si="9"/>
        <v>14195</v>
      </c>
      <c r="I50" s="47">
        <f t="shared" si="11"/>
        <v>107882</v>
      </c>
      <c r="L50" s="29"/>
      <c r="M50" s="29"/>
      <c r="N50" s="109"/>
      <c r="O50" s="98"/>
      <c r="P50" s="103"/>
    </row>
    <row r="51" spans="1:16" ht="18" customHeight="1" x14ac:dyDescent="0.2">
      <c r="A51" s="45"/>
      <c r="B51" s="39" t="s">
        <v>130</v>
      </c>
      <c r="C51" s="99">
        <f>240+183</f>
        <v>423</v>
      </c>
      <c r="D51" s="54" t="s">
        <v>106</v>
      </c>
      <c r="E51" s="57">
        <v>150.25</v>
      </c>
      <c r="F51" s="47">
        <f t="shared" si="8"/>
        <v>63555.75</v>
      </c>
      <c r="G51" s="57">
        <v>50</v>
      </c>
      <c r="H51" s="47">
        <f t="shared" si="9"/>
        <v>21150</v>
      </c>
      <c r="I51" s="47">
        <f t="shared" si="11"/>
        <v>84705.75</v>
      </c>
      <c r="L51" s="29"/>
      <c r="M51" s="29"/>
      <c r="N51" s="103"/>
      <c r="O51" s="98"/>
      <c r="P51" s="103"/>
    </row>
    <row r="52" spans="1:16" ht="18" customHeight="1" x14ac:dyDescent="0.2">
      <c r="A52" s="45"/>
      <c r="B52" s="39" t="s">
        <v>283</v>
      </c>
      <c r="C52" s="99">
        <f>2*(13+35+13+35)</f>
        <v>192</v>
      </c>
      <c r="D52" s="54" t="s">
        <v>106</v>
      </c>
      <c r="E52" s="57">
        <v>90.95</v>
      </c>
      <c r="F52" s="47">
        <f t="shared" si="8"/>
        <v>17462.400000000001</v>
      </c>
      <c r="G52" s="57">
        <v>50</v>
      </c>
      <c r="H52" s="47">
        <f t="shared" si="9"/>
        <v>9600</v>
      </c>
      <c r="I52" s="47">
        <f t="shared" ref="I52" si="12">F52+H52</f>
        <v>27062.400000000001</v>
      </c>
      <c r="L52" s="29"/>
      <c r="M52" s="29"/>
      <c r="N52" s="109"/>
      <c r="O52" s="98"/>
      <c r="P52" s="103"/>
    </row>
    <row r="53" spans="1:16" ht="18" customHeight="1" x14ac:dyDescent="0.2">
      <c r="A53" s="45"/>
      <c r="B53" s="39" t="s">
        <v>76</v>
      </c>
      <c r="C53" s="99">
        <f>ROUNDUP(DATA!D58,0)</f>
        <v>484</v>
      </c>
      <c r="D53" s="54" t="s">
        <v>104</v>
      </c>
      <c r="E53" s="57">
        <v>217.86</v>
      </c>
      <c r="F53" s="47">
        <f t="shared" si="8"/>
        <v>105444.24</v>
      </c>
      <c r="G53" s="57">
        <v>0</v>
      </c>
      <c r="H53" s="47">
        <f t="shared" si="9"/>
        <v>0</v>
      </c>
      <c r="I53" s="47">
        <f t="shared" ref="I53:I54" si="13">F53+H53</f>
        <v>105444.24</v>
      </c>
      <c r="K53" s="29"/>
      <c r="L53" s="29"/>
      <c r="M53" s="29"/>
      <c r="N53" s="103"/>
      <c r="O53" s="98"/>
      <c r="P53" s="103"/>
    </row>
    <row r="54" spans="1:16" ht="18" customHeight="1" x14ac:dyDescent="0.2">
      <c r="A54" s="45"/>
      <c r="B54" s="39" t="s">
        <v>282</v>
      </c>
      <c r="C54" s="105">
        <f>DATA!D113</f>
        <v>1634</v>
      </c>
      <c r="D54" s="71" t="s">
        <v>142</v>
      </c>
      <c r="E54" s="57">
        <v>24.6</v>
      </c>
      <c r="F54" s="47">
        <f t="shared" si="8"/>
        <v>40196.400000000001</v>
      </c>
      <c r="G54" s="57">
        <v>0</v>
      </c>
      <c r="H54" s="47">
        <f t="shared" si="9"/>
        <v>0</v>
      </c>
      <c r="I54" s="57">
        <f t="shared" si="13"/>
        <v>40196.400000000001</v>
      </c>
      <c r="L54" s="29"/>
      <c r="M54" s="29"/>
      <c r="N54" s="103"/>
      <c r="O54" s="176"/>
      <c r="P54" s="103"/>
    </row>
    <row r="55" spans="1:16" ht="18" customHeight="1" x14ac:dyDescent="0.2">
      <c r="A55" s="45"/>
      <c r="B55" s="39" t="s">
        <v>284</v>
      </c>
      <c r="C55" s="99">
        <f>C53</f>
        <v>484</v>
      </c>
      <c r="D55" s="54" t="s">
        <v>104</v>
      </c>
      <c r="E55" s="57">
        <v>622.16</v>
      </c>
      <c r="F55" s="47">
        <f t="shared" si="8"/>
        <v>301125.44</v>
      </c>
      <c r="G55" s="57">
        <v>5</v>
      </c>
      <c r="H55" s="47">
        <f t="shared" si="9"/>
        <v>2420</v>
      </c>
      <c r="I55" s="47">
        <f t="shared" ref="I55:I56" si="14">F55+H55</f>
        <v>303545.44</v>
      </c>
      <c r="L55" s="29"/>
      <c r="M55" s="29"/>
      <c r="N55" s="103"/>
      <c r="O55" s="98"/>
      <c r="P55" s="103"/>
    </row>
    <row r="56" spans="1:16" ht="18" customHeight="1" x14ac:dyDescent="0.2">
      <c r="A56" s="72"/>
      <c r="B56" s="82" t="s">
        <v>77</v>
      </c>
      <c r="C56" s="107">
        <f>ROUNDUP(DATA!D70,0)</f>
        <v>2968</v>
      </c>
      <c r="D56" s="75" t="s">
        <v>104</v>
      </c>
      <c r="E56" s="209">
        <v>39.81</v>
      </c>
      <c r="F56" s="47">
        <f t="shared" si="8"/>
        <v>118156.08</v>
      </c>
      <c r="G56" s="209">
        <v>0</v>
      </c>
      <c r="H56" s="47">
        <f t="shared" si="9"/>
        <v>0</v>
      </c>
      <c r="I56" s="74">
        <f t="shared" si="14"/>
        <v>118156.08</v>
      </c>
      <c r="L56" s="29"/>
      <c r="M56" s="29"/>
      <c r="N56" s="103"/>
      <c r="O56" s="98"/>
      <c r="P56" s="103"/>
    </row>
    <row r="57" spans="1:16" ht="18" customHeight="1" x14ac:dyDescent="0.2">
      <c r="A57" s="79"/>
      <c r="B57" s="33" t="s">
        <v>141</v>
      </c>
      <c r="C57" s="80"/>
      <c r="D57" s="81"/>
      <c r="E57" s="80"/>
      <c r="F57" s="80">
        <f>SUM(F47:F56)</f>
        <v>2078333.3099999998</v>
      </c>
      <c r="G57" s="210"/>
      <c r="H57" s="80">
        <f>SUM(H47:H56)</f>
        <v>334847</v>
      </c>
      <c r="I57" s="80">
        <f>SUM(I47:I56)</f>
        <v>2413180.31</v>
      </c>
      <c r="K57" s="98"/>
      <c r="L57" s="29"/>
      <c r="M57" s="29"/>
      <c r="N57" s="103"/>
      <c r="O57" s="98"/>
      <c r="P57" s="103"/>
    </row>
    <row r="58" spans="1:16" ht="18" customHeight="1" x14ac:dyDescent="0.2">
      <c r="A58" s="51" t="s">
        <v>169</v>
      </c>
      <c r="B58" s="41" t="s">
        <v>65</v>
      </c>
      <c r="C58" s="52"/>
      <c r="D58" s="55"/>
      <c r="E58" s="52"/>
      <c r="F58" s="52"/>
      <c r="G58" s="93"/>
      <c r="H58" s="52"/>
      <c r="I58" s="52"/>
      <c r="K58" s="98"/>
      <c r="L58" s="29"/>
      <c r="M58" s="29"/>
      <c r="N58" s="103"/>
      <c r="O58" s="98"/>
      <c r="P58" s="108"/>
    </row>
    <row r="59" spans="1:16" ht="18" customHeight="1" x14ac:dyDescent="0.2">
      <c r="A59" s="45"/>
      <c r="B59" s="123" t="s">
        <v>52</v>
      </c>
      <c r="C59" s="99">
        <f>ROUNDUP(2.889*1.25,0)</f>
        <v>4</v>
      </c>
      <c r="D59" s="54" t="s">
        <v>88</v>
      </c>
      <c r="E59" s="57">
        <v>436.92</v>
      </c>
      <c r="F59" s="47">
        <f t="shared" ref="F59:F69" si="15">ROUNDDOWN(C59*E59,2)</f>
        <v>1747.68</v>
      </c>
      <c r="G59" s="57">
        <v>104</v>
      </c>
      <c r="H59" s="47">
        <f t="shared" ref="H59:H69" si="16">ROUNDDOWN(C59*G59,2)</f>
        <v>416</v>
      </c>
      <c r="I59" s="47">
        <f t="shared" ref="I59:I69" si="17">F59+H59</f>
        <v>2163.6800000000003</v>
      </c>
      <c r="K59" s="29"/>
      <c r="L59" s="29"/>
      <c r="M59" s="29"/>
      <c r="N59" s="103"/>
      <c r="O59" s="98"/>
      <c r="P59" s="108"/>
    </row>
    <row r="60" spans="1:16" ht="18" customHeight="1" x14ac:dyDescent="0.2">
      <c r="A60" s="45"/>
      <c r="B60" s="123" t="s">
        <v>43</v>
      </c>
      <c r="C60" s="99">
        <f>ROUNDUP(1.4445*1.05,0)</f>
        <v>2</v>
      </c>
      <c r="D60" s="54" t="s">
        <v>88</v>
      </c>
      <c r="E60" s="57">
        <v>1307.9000000000001</v>
      </c>
      <c r="F60" s="47">
        <f t="shared" si="15"/>
        <v>2615.8000000000002</v>
      </c>
      <c r="G60" s="57">
        <v>419</v>
      </c>
      <c r="H60" s="47">
        <f t="shared" si="16"/>
        <v>838</v>
      </c>
      <c r="I60" s="47">
        <f t="shared" si="17"/>
        <v>3453.8</v>
      </c>
      <c r="K60" s="98"/>
      <c r="L60" s="29"/>
      <c r="M60" s="29"/>
      <c r="N60" s="103"/>
      <c r="O60" s="98"/>
      <c r="P60" s="108"/>
    </row>
    <row r="61" spans="1:16" ht="18" customHeight="1" x14ac:dyDescent="0.2">
      <c r="A61" s="45"/>
      <c r="B61" s="39" t="s">
        <v>158</v>
      </c>
      <c r="C61" s="99">
        <f>ROUNDUP(9.045*1.05,0)</f>
        <v>10</v>
      </c>
      <c r="D61" s="54" t="s">
        <v>88</v>
      </c>
      <c r="E61" s="57">
        <v>2204.0500000000002</v>
      </c>
      <c r="F61" s="47">
        <f t="shared" si="15"/>
        <v>22040.5</v>
      </c>
      <c r="G61" s="57">
        <v>419</v>
      </c>
      <c r="H61" s="47">
        <f t="shared" si="16"/>
        <v>4190</v>
      </c>
      <c r="I61" s="47">
        <f t="shared" si="17"/>
        <v>26230.5</v>
      </c>
      <c r="K61" s="98"/>
      <c r="L61" s="29"/>
      <c r="M61" s="29"/>
      <c r="N61" s="108"/>
      <c r="O61" s="98"/>
      <c r="P61" s="108"/>
    </row>
    <row r="62" spans="1:16" ht="18" customHeight="1" x14ac:dyDescent="0.2">
      <c r="A62" s="45"/>
      <c r="B62" s="39" t="s">
        <v>53</v>
      </c>
      <c r="C62" s="99">
        <v>0.18</v>
      </c>
      <c r="D62" s="54" t="s">
        <v>89</v>
      </c>
      <c r="E62" s="57">
        <v>23261.68</v>
      </c>
      <c r="F62" s="47">
        <f t="shared" si="15"/>
        <v>4187.1000000000004</v>
      </c>
      <c r="G62" s="57">
        <v>4400</v>
      </c>
      <c r="H62" s="47">
        <f t="shared" si="16"/>
        <v>792</v>
      </c>
      <c r="I62" s="47">
        <f t="shared" si="17"/>
        <v>4979.1000000000004</v>
      </c>
      <c r="K62" s="98"/>
      <c r="L62" s="29"/>
      <c r="M62" s="29"/>
      <c r="N62" s="108"/>
      <c r="O62" s="98"/>
      <c r="P62" s="108"/>
    </row>
    <row r="63" spans="1:16" ht="18" customHeight="1" x14ac:dyDescent="0.2">
      <c r="A63" s="45"/>
      <c r="B63" s="39" t="s">
        <v>45</v>
      </c>
      <c r="C63" s="99">
        <v>0.24</v>
      </c>
      <c r="D63" s="54" t="s">
        <v>89</v>
      </c>
      <c r="E63" s="57">
        <v>22476.17</v>
      </c>
      <c r="F63" s="47">
        <f t="shared" si="15"/>
        <v>5394.28</v>
      </c>
      <c r="G63" s="57">
        <v>4400</v>
      </c>
      <c r="H63" s="47">
        <f t="shared" si="16"/>
        <v>1056</v>
      </c>
      <c r="I63" s="47">
        <f t="shared" si="17"/>
        <v>6450.28</v>
      </c>
      <c r="K63" s="98"/>
      <c r="L63" s="29"/>
      <c r="M63" s="29"/>
      <c r="N63" s="108"/>
      <c r="O63" s="98"/>
      <c r="P63" s="108"/>
    </row>
    <row r="64" spans="1:16" ht="18" customHeight="1" x14ac:dyDescent="0.2">
      <c r="A64" s="45"/>
      <c r="B64" s="39" t="s">
        <v>46</v>
      </c>
      <c r="C64" s="99">
        <v>0.21</v>
      </c>
      <c r="D64" s="54" t="s">
        <v>89</v>
      </c>
      <c r="E64" s="57">
        <v>22341.13</v>
      </c>
      <c r="F64" s="47">
        <f t="shared" si="15"/>
        <v>4691.63</v>
      </c>
      <c r="G64" s="57">
        <v>3600</v>
      </c>
      <c r="H64" s="47">
        <f t="shared" si="16"/>
        <v>756</v>
      </c>
      <c r="I64" s="47">
        <f t="shared" si="17"/>
        <v>5447.63</v>
      </c>
      <c r="K64" s="98"/>
      <c r="L64" s="29"/>
      <c r="M64" s="29"/>
      <c r="N64" s="98"/>
      <c r="O64" s="98"/>
      <c r="P64" s="98"/>
    </row>
    <row r="65" spans="1:16" ht="18" customHeight="1" x14ac:dyDescent="0.2">
      <c r="A65" s="45"/>
      <c r="B65" s="39" t="s">
        <v>47</v>
      </c>
      <c r="C65" s="99">
        <f>ROUNDUP((C62+C63+C64)*30,0)</f>
        <v>19</v>
      </c>
      <c r="D65" s="54" t="s">
        <v>90</v>
      </c>
      <c r="E65" s="57">
        <v>40.659999999999997</v>
      </c>
      <c r="F65" s="47">
        <f t="shared" si="15"/>
        <v>772.54</v>
      </c>
      <c r="G65" s="57">
        <v>0</v>
      </c>
      <c r="H65" s="47">
        <f t="shared" si="16"/>
        <v>0</v>
      </c>
      <c r="I65" s="47">
        <f t="shared" si="17"/>
        <v>772.54</v>
      </c>
      <c r="K65" s="98"/>
      <c r="L65" s="98"/>
      <c r="M65" s="98"/>
      <c r="N65" s="98"/>
      <c r="O65" s="98"/>
      <c r="P65" s="98"/>
    </row>
    <row r="66" spans="1:16" ht="18" customHeight="1" x14ac:dyDescent="0.2">
      <c r="A66" s="45"/>
      <c r="B66" s="39" t="s">
        <v>48</v>
      </c>
      <c r="C66" s="99">
        <f>ROUNDUP(55.32,0)</f>
        <v>56</v>
      </c>
      <c r="D66" s="54" t="s">
        <v>91</v>
      </c>
      <c r="E66" s="57">
        <v>0</v>
      </c>
      <c r="F66" s="47">
        <f t="shared" si="15"/>
        <v>0</v>
      </c>
      <c r="G66" s="57">
        <v>139</v>
      </c>
      <c r="H66" s="47">
        <f t="shared" si="16"/>
        <v>7784</v>
      </c>
      <c r="I66" s="47">
        <f t="shared" si="17"/>
        <v>7784</v>
      </c>
      <c r="K66" s="98"/>
      <c r="L66" s="98"/>
      <c r="M66" s="98"/>
      <c r="N66" s="98"/>
      <c r="O66" s="98"/>
      <c r="P66" s="98"/>
    </row>
    <row r="67" spans="1:16" ht="18" customHeight="1" x14ac:dyDescent="0.2">
      <c r="A67" s="45"/>
      <c r="B67" s="39" t="s">
        <v>49</v>
      </c>
      <c r="C67" s="99">
        <f>ROUNDUP(C66*0.8,0)</f>
        <v>45</v>
      </c>
      <c r="D67" s="54" t="s">
        <v>92</v>
      </c>
      <c r="E67" s="57">
        <v>400</v>
      </c>
      <c r="F67" s="47">
        <f t="shared" si="15"/>
        <v>18000</v>
      </c>
      <c r="G67" s="57">
        <v>0</v>
      </c>
      <c r="H67" s="47">
        <f t="shared" si="16"/>
        <v>0</v>
      </c>
      <c r="I67" s="47">
        <f t="shared" si="17"/>
        <v>18000</v>
      </c>
      <c r="L67" s="98"/>
    </row>
    <row r="68" spans="1:16" ht="18" customHeight="1" x14ac:dyDescent="0.2">
      <c r="A68" s="45"/>
      <c r="B68" s="39" t="s">
        <v>50</v>
      </c>
      <c r="C68" s="99">
        <f>ROUNDUP(C67*0.3,0)</f>
        <v>14</v>
      </c>
      <c r="D68" s="54" t="s">
        <v>92</v>
      </c>
      <c r="E68" s="57">
        <v>400</v>
      </c>
      <c r="F68" s="47">
        <f t="shared" si="15"/>
        <v>5600</v>
      </c>
      <c r="G68" s="57">
        <v>0</v>
      </c>
      <c r="H68" s="47">
        <f t="shared" si="16"/>
        <v>0</v>
      </c>
      <c r="I68" s="47">
        <f t="shared" si="17"/>
        <v>5600</v>
      </c>
      <c r="L68" s="98"/>
    </row>
    <row r="69" spans="1:16" s="29" customFormat="1" ht="18" customHeight="1" x14ac:dyDescent="0.2">
      <c r="A69" s="72"/>
      <c r="B69" s="82" t="s">
        <v>51</v>
      </c>
      <c r="C69" s="107">
        <f>ROUNDUP(C66*0.25,0)</f>
        <v>14</v>
      </c>
      <c r="D69" s="75" t="s">
        <v>90</v>
      </c>
      <c r="E69" s="209">
        <v>60.75</v>
      </c>
      <c r="F69" s="47">
        <f t="shared" si="15"/>
        <v>850.5</v>
      </c>
      <c r="G69" s="209">
        <v>0</v>
      </c>
      <c r="H69" s="47">
        <f t="shared" si="16"/>
        <v>0</v>
      </c>
      <c r="I69" s="74">
        <f t="shared" si="17"/>
        <v>850.5</v>
      </c>
      <c r="L69" s="98"/>
    </row>
    <row r="70" spans="1:16" s="29" customFormat="1" ht="18" customHeight="1" x14ac:dyDescent="0.2">
      <c r="A70" s="79"/>
      <c r="B70" s="33" t="s">
        <v>132</v>
      </c>
      <c r="C70" s="80"/>
      <c r="D70" s="81"/>
      <c r="E70" s="80"/>
      <c r="F70" s="80">
        <f>SUM(F59:F69)</f>
        <v>65900.03</v>
      </c>
      <c r="G70" s="210"/>
      <c r="H70" s="80">
        <f>SUM(H59:H69)</f>
        <v>15832</v>
      </c>
      <c r="I70" s="80">
        <f>SUM(I59:I69)</f>
        <v>81732.03</v>
      </c>
      <c r="L70" s="98"/>
    </row>
    <row r="71" spans="1:16" ht="18" customHeight="1" x14ac:dyDescent="0.2">
      <c r="A71" s="28"/>
      <c r="D71" s="28"/>
      <c r="L71" s="98"/>
    </row>
    <row r="72" spans="1:16" ht="18" customHeight="1" x14ac:dyDescent="0.2">
      <c r="A72" s="28"/>
      <c r="D72" s="28"/>
      <c r="L72" s="98"/>
    </row>
    <row r="73" spans="1:16" ht="18" customHeight="1" x14ac:dyDescent="0.2">
      <c r="A73" s="28"/>
      <c r="D73" s="28"/>
      <c r="L73" s="98"/>
    </row>
    <row r="74" spans="1:16" ht="18" customHeight="1" x14ac:dyDescent="0.2">
      <c r="A74" s="28"/>
      <c r="D74" s="28"/>
      <c r="L74" s="98"/>
    </row>
    <row r="75" spans="1:16" ht="18" customHeight="1" x14ac:dyDescent="0.2">
      <c r="A75" s="28"/>
      <c r="D75" s="28"/>
      <c r="L75" s="98"/>
    </row>
    <row r="76" spans="1:16" ht="18" customHeight="1" x14ac:dyDescent="0.2">
      <c r="A76" s="28"/>
      <c r="D76" s="28"/>
      <c r="L76" s="98"/>
    </row>
    <row r="77" spans="1:16" ht="18" customHeight="1" x14ac:dyDescent="0.2">
      <c r="A77" s="28"/>
      <c r="D77" s="28"/>
      <c r="N77" s="30"/>
    </row>
    <row r="78" spans="1:16" ht="18" customHeight="1" x14ac:dyDescent="0.2">
      <c r="A78" s="28"/>
      <c r="D78" s="28"/>
    </row>
    <row r="79" spans="1:16" ht="18" customHeight="1" x14ac:dyDescent="0.2">
      <c r="A79" s="28"/>
      <c r="D79" s="28"/>
    </row>
    <row r="80" spans="1:16" s="29" customFormat="1" ht="18" customHeight="1" x14ac:dyDescent="0.2"/>
    <row r="81" spans="1:8" ht="18" customHeight="1" x14ac:dyDescent="0.2">
      <c r="A81" s="28"/>
      <c r="D81" s="28"/>
    </row>
    <row r="82" spans="1:8" ht="18" customHeight="1" x14ac:dyDescent="0.2">
      <c r="A82" s="28"/>
      <c r="D82" s="28"/>
    </row>
    <row r="83" spans="1:8" s="29" customFormat="1" ht="18" customHeight="1" x14ac:dyDescent="0.2"/>
    <row r="85" spans="1:8" ht="18" customHeight="1" x14ac:dyDescent="0.2">
      <c r="H85" s="30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rintOptions horizontalCentered="1"/>
  <pageMargins left="0.69685039370078738" right="0.69685039370078738" top="0.74803149606299213" bottom="0.74803149606299213" header="0.31496062992125984" footer="0.31496062992125984"/>
  <pageSetup paperSize="9" orientation="landscape" r:id="rId1"/>
  <rowBreaks count="4" manualBreakCount="4">
    <brk id="15" max="16383" man="1"/>
    <brk id="33" max="16383" man="1"/>
    <brk id="45" max="16383" man="1"/>
    <brk id="57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C85E-CF01-4D37-8CA0-BEB704AFB57F}">
  <sheetPr>
    <tabColor theme="9" tint="0.39997558519241921"/>
  </sheetPr>
  <dimension ref="A1:M64"/>
  <sheetViews>
    <sheetView view="pageBreakPreview" topLeftCell="A49" zoomScaleNormal="100" zoomScaleSheetLayoutView="100" workbookViewId="0">
      <selection activeCell="F60" sqref="F60"/>
    </sheetView>
  </sheetViews>
  <sheetFormatPr defaultRowHeight="18" customHeight="1" x14ac:dyDescent="0.2"/>
  <cols>
    <col min="1" max="1" width="5.625" style="43" customWidth="1"/>
    <col min="2" max="2" width="42.125" style="28" customWidth="1"/>
    <col min="3" max="3" width="9.375" style="28" customWidth="1"/>
    <col min="4" max="4" width="6.875" style="43" customWidth="1"/>
    <col min="5" max="5" width="10" style="28" customWidth="1"/>
    <col min="6" max="6" width="13.125" style="28" customWidth="1"/>
    <col min="7" max="7" width="10" style="28" customWidth="1"/>
    <col min="8" max="9" width="13.125" style="28" customWidth="1"/>
    <col min="10" max="11" width="9" style="28"/>
    <col min="12" max="13" width="9" style="28" customWidth="1"/>
    <col min="14" max="16384" width="9" style="28"/>
  </cols>
  <sheetData>
    <row r="1" spans="1:13" ht="18" customHeight="1" x14ac:dyDescent="0.2">
      <c r="A1" s="280" t="s">
        <v>403</v>
      </c>
      <c r="B1" s="280"/>
      <c r="C1" s="280"/>
      <c r="D1" s="280"/>
      <c r="E1" s="280"/>
      <c r="F1" s="280"/>
      <c r="G1" s="280"/>
      <c r="H1" s="280"/>
      <c r="I1" s="280"/>
      <c r="J1" s="29"/>
      <c r="K1" s="29"/>
      <c r="L1" s="29"/>
      <c r="M1" s="29"/>
    </row>
    <row r="2" spans="1:13" ht="18" customHeight="1" x14ac:dyDescent="0.2">
      <c r="A2" s="280" t="s">
        <v>0</v>
      </c>
      <c r="B2" s="280"/>
      <c r="C2" s="280"/>
      <c r="D2" s="280"/>
      <c r="E2" s="280"/>
      <c r="F2" s="280"/>
      <c r="G2" s="280"/>
      <c r="H2" s="280"/>
      <c r="I2" s="280"/>
      <c r="J2" s="29"/>
      <c r="K2" s="29"/>
      <c r="L2" s="29"/>
      <c r="M2" s="29"/>
    </row>
    <row r="3" spans="1:13" ht="18" customHeight="1" x14ac:dyDescent="0.2">
      <c r="A3" s="280" t="s">
        <v>40</v>
      </c>
      <c r="B3" s="280"/>
      <c r="C3" s="280"/>
      <c r="D3" s="280"/>
      <c r="E3" s="280"/>
      <c r="F3" s="280"/>
      <c r="G3" s="280"/>
      <c r="H3" s="280"/>
      <c r="I3" s="280"/>
      <c r="J3" s="29"/>
      <c r="K3" s="29"/>
      <c r="L3" s="29"/>
      <c r="M3" s="29"/>
    </row>
    <row r="4" spans="1:13" s="36" customFormat="1" ht="18" customHeight="1" x14ac:dyDescent="0.2">
      <c r="A4" s="36" t="str">
        <f>ปร.5!A4</f>
        <v>โครงการ   ก่อสร้างสนามกีฬาชุมชน</v>
      </c>
      <c r="D4" s="43"/>
    </row>
    <row r="5" spans="1:13" s="36" customFormat="1" ht="18" customHeight="1" x14ac:dyDescent="0.2">
      <c r="A5" s="36" t="str">
        <f>ปร.5!A5</f>
        <v>สถานที่   โรงเรียนหรเทพ (รุ่งเรืองประชาสามัคคี) ตำบลหรเทพ อำเภอบ้านหมอ จังหวัดสระบุรี</v>
      </c>
      <c r="D5" s="43"/>
    </row>
    <row r="6" spans="1:13" s="36" customFormat="1" ht="18" customHeight="1" x14ac:dyDescent="0.2">
      <c r="A6" s="36" t="s">
        <v>429</v>
      </c>
      <c r="D6" s="43"/>
    </row>
    <row r="7" spans="1:13" ht="18" customHeight="1" x14ac:dyDescent="0.2">
      <c r="A7" s="281" t="s">
        <v>32</v>
      </c>
      <c r="B7" s="281" t="s">
        <v>30</v>
      </c>
      <c r="C7" s="281" t="s">
        <v>33</v>
      </c>
      <c r="D7" s="281" t="s">
        <v>31</v>
      </c>
      <c r="E7" s="281" t="s">
        <v>34</v>
      </c>
      <c r="F7" s="281"/>
      <c r="G7" s="281" t="s">
        <v>35</v>
      </c>
      <c r="H7" s="281"/>
      <c r="I7" s="282" t="s">
        <v>36</v>
      </c>
    </row>
    <row r="8" spans="1:13" ht="18" customHeight="1" x14ac:dyDescent="0.2">
      <c r="A8" s="281"/>
      <c r="B8" s="281"/>
      <c r="C8" s="281"/>
      <c r="D8" s="281"/>
      <c r="E8" s="33" t="s">
        <v>37</v>
      </c>
      <c r="F8" s="34" t="s">
        <v>38</v>
      </c>
      <c r="G8" s="33" t="s">
        <v>37</v>
      </c>
      <c r="H8" s="34" t="s">
        <v>39</v>
      </c>
      <c r="I8" s="282"/>
    </row>
    <row r="9" spans="1:13" s="29" customFormat="1" ht="18" customHeight="1" x14ac:dyDescent="0.2">
      <c r="A9" s="100">
        <v>1.2</v>
      </c>
      <c r="B9" s="115" t="s">
        <v>177</v>
      </c>
      <c r="C9" s="101"/>
      <c r="D9" s="102"/>
      <c r="E9" s="101"/>
      <c r="F9" s="101"/>
      <c r="G9" s="101"/>
      <c r="H9" s="101"/>
      <c r="I9" s="101"/>
    </row>
    <row r="10" spans="1:13" ht="18" customHeight="1" x14ac:dyDescent="0.2">
      <c r="A10" s="162" t="s">
        <v>170</v>
      </c>
      <c r="B10" s="163" t="str">
        <f>B19</f>
        <v>งานเสาตอม่อรับรั้วเหล็ก</v>
      </c>
      <c r="C10" s="164">
        <v>1</v>
      </c>
      <c r="D10" s="168" t="s">
        <v>127</v>
      </c>
      <c r="E10" s="164"/>
      <c r="F10" s="164">
        <f>F21</f>
        <v>2341.46</v>
      </c>
      <c r="G10" s="164"/>
      <c r="H10" s="164">
        <f>H21</f>
        <v>3335</v>
      </c>
      <c r="I10" s="164">
        <f>I21</f>
        <v>5676.46</v>
      </c>
    </row>
    <row r="11" spans="1:13" ht="18" customHeight="1" x14ac:dyDescent="0.2">
      <c r="A11" s="162" t="s">
        <v>171</v>
      </c>
      <c r="B11" s="163" t="str">
        <f>B22</f>
        <v>งานรั้วเหล็ก</v>
      </c>
      <c r="C11" s="164">
        <v>1</v>
      </c>
      <c r="D11" s="168" t="s">
        <v>127</v>
      </c>
      <c r="E11" s="164"/>
      <c r="F11" s="164">
        <f>F29</f>
        <v>427285.17</v>
      </c>
      <c r="G11" s="164"/>
      <c r="H11" s="164">
        <f>H29</f>
        <v>164078.6</v>
      </c>
      <c r="I11" s="164">
        <f>I29</f>
        <v>591363.77</v>
      </c>
    </row>
    <row r="12" spans="1:13" ht="18" customHeight="1" x14ac:dyDescent="0.2">
      <c r="A12" s="162" t="s">
        <v>172</v>
      </c>
      <c r="B12" s="163" t="str">
        <f>B30</f>
        <v>งานพื้น</v>
      </c>
      <c r="C12" s="164">
        <v>1</v>
      </c>
      <c r="D12" s="168" t="s">
        <v>127</v>
      </c>
      <c r="E12" s="164"/>
      <c r="F12" s="164">
        <f>F46</f>
        <v>2737244.24</v>
      </c>
      <c r="G12" s="164"/>
      <c r="H12" s="164">
        <f>H46</f>
        <v>1354306</v>
      </c>
      <c r="I12" s="164">
        <f>I46</f>
        <v>4091550.24</v>
      </c>
    </row>
    <row r="13" spans="1:13" ht="18" customHeight="1" x14ac:dyDescent="0.2">
      <c r="A13" s="162" t="s">
        <v>173</v>
      </c>
      <c r="B13" s="163" t="str">
        <f>B47</f>
        <v>งานบันได</v>
      </c>
      <c r="C13" s="164">
        <v>1</v>
      </c>
      <c r="D13" s="168" t="s">
        <v>127</v>
      </c>
      <c r="E13" s="164"/>
      <c r="F13" s="164">
        <f>F51</f>
        <v>8173.3</v>
      </c>
      <c r="G13" s="164"/>
      <c r="H13" s="164">
        <f>H51</f>
        <v>8103</v>
      </c>
      <c r="I13" s="164">
        <f>I51</f>
        <v>16276.3</v>
      </c>
    </row>
    <row r="14" spans="1:13" ht="18" customHeight="1" x14ac:dyDescent="0.2">
      <c r="A14" s="45" t="s">
        <v>174</v>
      </c>
      <c r="B14" s="38" t="str">
        <f>B52</f>
        <v>งานสนามเปตอง</v>
      </c>
      <c r="C14" s="47">
        <v>1</v>
      </c>
      <c r="D14" s="54" t="s">
        <v>127</v>
      </c>
      <c r="E14" s="47"/>
      <c r="F14" s="47">
        <f>F56</f>
        <v>19011.12</v>
      </c>
      <c r="G14" s="47"/>
      <c r="H14" s="47">
        <f>H56</f>
        <v>4888</v>
      </c>
      <c r="I14" s="47">
        <f>I56</f>
        <v>23899.119999999999</v>
      </c>
    </row>
    <row r="15" spans="1:13" ht="18" customHeight="1" x14ac:dyDescent="0.2">
      <c r="A15" s="45" t="s">
        <v>286</v>
      </c>
      <c r="B15" s="38" t="s">
        <v>287</v>
      </c>
      <c r="C15" s="47">
        <v>1</v>
      </c>
      <c r="D15" s="54" t="s">
        <v>127</v>
      </c>
      <c r="E15" s="47"/>
      <c r="F15" s="47">
        <f>F61</f>
        <v>38031.479999999996</v>
      </c>
      <c r="G15" s="47"/>
      <c r="H15" s="47">
        <f>H61</f>
        <v>7176</v>
      </c>
      <c r="I15" s="47">
        <f>I61</f>
        <v>45207.479999999996</v>
      </c>
    </row>
    <row r="16" spans="1:13" ht="18" customHeight="1" x14ac:dyDescent="0.2">
      <c r="A16" s="95" t="s">
        <v>423</v>
      </c>
      <c r="B16" s="96" t="str">
        <f>B62</f>
        <v>งานเบ็ดเตล็ด</v>
      </c>
      <c r="C16" s="97">
        <v>1</v>
      </c>
      <c r="D16" s="170" t="s">
        <v>127</v>
      </c>
      <c r="E16" s="97"/>
      <c r="F16" s="97">
        <f>F64</f>
        <v>4840</v>
      </c>
      <c r="G16" s="97"/>
      <c r="H16" s="97">
        <f>H64</f>
        <v>0</v>
      </c>
      <c r="I16" s="97">
        <f>I64</f>
        <v>4840</v>
      </c>
    </row>
    <row r="17" spans="1:9" s="29" customFormat="1" ht="18" customHeight="1" thickBot="1" x14ac:dyDescent="0.25">
      <c r="A17" s="87"/>
      <c r="B17" s="87" t="s">
        <v>179</v>
      </c>
      <c r="C17" s="88"/>
      <c r="D17" s="89"/>
      <c r="E17" s="88"/>
      <c r="F17" s="88">
        <f>SUM(F10:F16)</f>
        <v>3236926.77</v>
      </c>
      <c r="G17" s="88"/>
      <c r="H17" s="88">
        <f t="shared" ref="H17" si="0">SUM(H10:H16)</f>
        <v>1541886.6</v>
      </c>
      <c r="I17" s="88">
        <f>SUM(I10:I16)</f>
        <v>4778813.370000001</v>
      </c>
    </row>
    <row r="18" spans="1:9" s="29" customFormat="1" ht="18" customHeight="1" thickTop="1" x14ac:dyDescent="0.2">
      <c r="A18" s="76">
        <v>1.2</v>
      </c>
      <c r="B18" s="77" t="s">
        <v>177</v>
      </c>
      <c r="C18" s="78"/>
      <c r="D18" s="171"/>
      <c r="E18" s="78"/>
      <c r="F18" s="78"/>
      <c r="G18" s="78"/>
      <c r="H18" s="78"/>
      <c r="I18" s="78"/>
    </row>
    <row r="19" spans="1:9" ht="18" customHeight="1" x14ac:dyDescent="0.2">
      <c r="A19" s="51" t="s">
        <v>170</v>
      </c>
      <c r="B19" s="117" t="s">
        <v>54</v>
      </c>
      <c r="C19" s="47"/>
      <c r="D19" s="54"/>
      <c r="E19" s="47"/>
      <c r="F19" s="47"/>
      <c r="G19" s="47"/>
      <c r="H19" s="47"/>
      <c r="I19" s="47"/>
    </row>
    <row r="20" spans="1:9" ht="18" customHeight="1" x14ac:dyDescent="0.2">
      <c r="A20" s="72"/>
      <c r="B20" s="118" t="s">
        <v>155</v>
      </c>
      <c r="C20" s="107">
        <f>ROUNDUP(0.8*0.45*78,0)</f>
        <v>29</v>
      </c>
      <c r="D20" s="75" t="s">
        <v>91</v>
      </c>
      <c r="E20" s="209">
        <v>80.739999999999995</v>
      </c>
      <c r="F20" s="74">
        <f>ROUNDDOWN(C20*E20,2)</f>
        <v>2341.46</v>
      </c>
      <c r="G20" s="209">
        <v>115</v>
      </c>
      <c r="H20" s="74">
        <f>ROUNDDOWN(C20*G20,2)</f>
        <v>3335</v>
      </c>
      <c r="I20" s="74">
        <f>F20+H20</f>
        <v>5676.46</v>
      </c>
    </row>
    <row r="21" spans="1:9" ht="18" customHeight="1" x14ac:dyDescent="0.2">
      <c r="A21" s="79"/>
      <c r="B21" s="33" t="s">
        <v>95</v>
      </c>
      <c r="C21" s="80"/>
      <c r="D21" s="81"/>
      <c r="E21" s="80"/>
      <c r="F21" s="80">
        <f>SUM(F20)</f>
        <v>2341.46</v>
      </c>
      <c r="G21" s="80"/>
      <c r="H21" s="80">
        <f>SUM(H20)</f>
        <v>3335</v>
      </c>
      <c r="I21" s="80">
        <f>SUM(I20)</f>
        <v>5676.46</v>
      </c>
    </row>
    <row r="22" spans="1:9" s="29" customFormat="1" ht="18" customHeight="1" x14ac:dyDescent="0.2">
      <c r="A22" s="51" t="s">
        <v>171</v>
      </c>
      <c r="B22" s="117" t="s">
        <v>55</v>
      </c>
      <c r="C22" s="40"/>
      <c r="D22" s="51"/>
      <c r="E22" s="52"/>
      <c r="F22" s="52"/>
      <c r="G22" s="52"/>
      <c r="H22" s="52"/>
      <c r="I22" s="52"/>
    </row>
    <row r="23" spans="1:9" ht="18" customHeight="1" x14ac:dyDescent="0.2">
      <c r="A23" s="45"/>
      <c r="B23" s="119" t="s">
        <v>58</v>
      </c>
      <c r="C23" s="99">
        <f>(6*77)*6.78</f>
        <v>3132.36</v>
      </c>
      <c r="D23" s="54" t="s">
        <v>90</v>
      </c>
      <c r="E23" s="57">
        <v>27.61</v>
      </c>
      <c r="F23" s="47">
        <f>ROUNDDOWN(C23*E23,2)</f>
        <v>86484.45</v>
      </c>
      <c r="G23" s="57">
        <v>0</v>
      </c>
      <c r="H23" s="74">
        <f>ROUNDDOWN(C23*G23,2)</f>
        <v>0</v>
      </c>
      <c r="I23" s="47">
        <f t="shared" ref="I23:I55" si="1">F23+H23</f>
        <v>86484.45</v>
      </c>
    </row>
    <row r="24" spans="1:9" ht="18" customHeight="1" x14ac:dyDescent="0.2">
      <c r="A24" s="45"/>
      <c r="B24" s="119" t="s">
        <v>57</v>
      </c>
      <c r="C24" s="99">
        <f>(6*120)*12.2</f>
        <v>8784</v>
      </c>
      <c r="D24" s="54" t="s">
        <v>90</v>
      </c>
      <c r="E24" s="57">
        <v>27.61</v>
      </c>
      <c r="F24" s="47">
        <f t="shared" ref="F24:F28" si="2">ROUNDDOWN(C24*E24,2)</f>
        <v>242526.24</v>
      </c>
      <c r="G24" s="57">
        <v>0</v>
      </c>
      <c r="H24" s="74">
        <f t="shared" ref="H24:H28" si="3">ROUNDDOWN(C24*G24,2)</f>
        <v>0</v>
      </c>
      <c r="I24" s="47">
        <f t="shared" si="1"/>
        <v>242526.24</v>
      </c>
    </row>
    <row r="25" spans="1:9" ht="18" customHeight="1" x14ac:dyDescent="0.2">
      <c r="A25" s="45"/>
      <c r="B25" s="119" t="s">
        <v>56</v>
      </c>
      <c r="C25" s="105">
        <f>ROUNDUP(3*227.15,0)</f>
        <v>682</v>
      </c>
      <c r="D25" s="71" t="s">
        <v>91</v>
      </c>
      <c r="E25" s="57">
        <v>30</v>
      </c>
      <c r="F25" s="47">
        <f t="shared" si="2"/>
        <v>20460</v>
      </c>
      <c r="G25" s="57">
        <v>25</v>
      </c>
      <c r="H25" s="74">
        <f t="shared" si="3"/>
        <v>17050</v>
      </c>
      <c r="I25" s="57">
        <f t="shared" si="1"/>
        <v>37510</v>
      </c>
    </row>
    <row r="26" spans="1:9" ht="18" customHeight="1" x14ac:dyDescent="0.2">
      <c r="A26" s="45"/>
      <c r="B26" s="119" t="s">
        <v>59</v>
      </c>
      <c r="C26" s="105">
        <f>ROUNDUP(1.8*227.15,0)</f>
        <v>409</v>
      </c>
      <c r="D26" s="71" t="s">
        <v>91</v>
      </c>
      <c r="E26" s="57">
        <v>102</v>
      </c>
      <c r="F26" s="47">
        <f t="shared" si="2"/>
        <v>41718</v>
      </c>
      <c r="G26" s="57">
        <v>25</v>
      </c>
      <c r="H26" s="74">
        <f t="shared" si="3"/>
        <v>10225</v>
      </c>
      <c r="I26" s="57">
        <f t="shared" si="1"/>
        <v>51943</v>
      </c>
    </row>
    <row r="27" spans="1:9" ht="18" customHeight="1" x14ac:dyDescent="0.2">
      <c r="A27" s="45"/>
      <c r="B27" s="119" t="s">
        <v>60</v>
      </c>
      <c r="C27" s="99">
        <f>C23+C24</f>
        <v>11916.36</v>
      </c>
      <c r="D27" s="54" t="s">
        <v>90</v>
      </c>
      <c r="E27" s="57">
        <v>0</v>
      </c>
      <c r="F27" s="47">
        <f t="shared" si="2"/>
        <v>0</v>
      </c>
      <c r="G27" s="57">
        <v>10</v>
      </c>
      <c r="H27" s="74">
        <f t="shared" si="3"/>
        <v>119163.6</v>
      </c>
      <c r="I27" s="47">
        <f t="shared" si="1"/>
        <v>119163.6</v>
      </c>
    </row>
    <row r="28" spans="1:9" ht="18" customHeight="1" x14ac:dyDescent="0.2">
      <c r="A28" s="72"/>
      <c r="B28" s="118" t="s">
        <v>75</v>
      </c>
      <c r="C28" s="260">
        <f>ROUNDUP(129.34+373.82,0)</f>
        <v>504</v>
      </c>
      <c r="D28" s="261" t="s">
        <v>91</v>
      </c>
      <c r="E28" s="209">
        <v>71.62</v>
      </c>
      <c r="F28" s="47">
        <f t="shared" si="2"/>
        <v>36096.480000000003</v>
      </c>
      <c r="G28" s="209">
        <v>35</v>
      </c>
      <c r="H28" s="74">
        <f t="shared" si="3"/>
        <v>17640</v>
      </c>
      <c r="I28" s="209">
        <f t="shared" si="1"/>
        <v>53736.480000000003</v>
      </c>
    </row>
    <row r="29" spans="1:9" s="29" customFormat="1" ht="18" customHeight="1" x14ac:dyDescent="0.2">
      <c r="A29" s="79"/>
      <c r="B29" s="33" t="s">
        <v>96</v>
      </c>
      <c r="C29" s="222"/>
      <c r="D29" s="81"/>
      <c r="E29" s="80"/>
      <c r="F29" s="80">
        <f>SUM(F23:F28)</f>
        <v>427285.17</v>
      </c>
      <c r="G29" s="80"/>
      <c r="H29" s="80">
        <f>SUM(H23:H28)</f>
        <v>164078.6</v>
      </c>
      <c r="I29" s="80">
        <f>SUM(I23:I28)</f>
        <v>591363.77</v>
      </c>
    </row>
    <row r="30" spans="1:9" s="29" customFormat="1" ht="18" customHeight="1" x14ac:dyDescent="0.2">
      <c r="A30" s="51" t="s">
        <v>172</v>
      </c>
      <c r="B30" s="117" t="s">
        <v>72</v>
      </c>
      <c r="C30" s="223"/>
      <c r="D30" s="94"/>
      <c r="E30" s="93"/>
      <c r="F30" s="93"/>
      <c r="G30" s="93"/>
      <c r="H30" s="93"/>
      <c r="I30" s="93"/>
    </row>
    <row r="31" spans="1:9" ht="18" customHeight="1" x14ac:dyDescent="0.2">
      <c r="A31" s="45"/>
      <c r="B31" s="119" t="s">
        <v>85</v>
      </c>
      <c r="C31" s="105">
        <v>2839</v>
      </c>
      <c r="D31" s="71" t="s">
        <v>91</v>
      </c>
      <c r="E31" s="57">
        <v>120.16</v>
      </c>
      <c r="F31" s="47">
        <f t="shared" ref="F31:F39" si="4">ROUNDDOWN(C31*E31,2)</f>
        <v>341134.24</v>
      </c>
      <c r="G31" s="57">
        <v>64</v>
      </c>
      <c r="H31" s="74">
        <f t="shared" ref="H31:H39" si="5">ROUNDDOWN(C31*G31,2)</f>
        <v>181696</v>
      </c>
      <c r="I31" s="57">
        <f>F31+H31</f>
        <v>522830.24</v>
      </c>
    </row>
    <row r="32" spans="1:9" ht="18" customHeight="1" x14ac:dyDescent="0.2">
      <c r="A32" s="45"/>
      <c r="B32" s="119" t="s">
        <v>84</v>
      </c>
      <c r="C32" s="105">
        <f>C31</f>
        <v>2839</v>
      </c>
      <c r="D32" s="71" t="s">
        <v>91</v>
      </c>
      <c r="E32" s="57">
        <v>20</v>
      </c>
      <c r="F32" s="47">
        <f t="shared" si="4"/>
        <v>56780</v>
      </c>
      <c r="G32" s="57">
        <v>40</v>
      </c>
      <c r="H32" s="74">
        <f t="shared" si="5"/>
        <v>113560</v>
      </c>
      <c r="I32" s="57">
        <f>F32+H32</f>
        <v>170340</v>
      </c>
    </row>
    <row r="33" spans="1:11" s="5" customFormat="1" ht="18" customHeight="1" x14ac:dyDescent="0.2">
      <c r="A33" s="104"/>
      <c r="B33" s="120" t="s">
        <v>235</v>
      </c>
      <c r="C33" s="105">
        <f>ROUNDUP(C31-C36-C39,0)</f>
        <v>2403</v>
      </c>
      <c r="D33" s="106" t="s">
        <v>91</v>
      </c>
      <c r="E33" s="105">
        <v>450</v>
      </c>
      <c r="F33" s="47">
        <f t="shared" si="4"/>
        <v>1081350</v>
      </c>
      <c r="G33" s="105">
        <v>350</v>
      </c>
      <c r="H33" s="74">
        <f t="shared" si="5"/>
        <v>841050</v>
      </c>
      <c r="I33" s="105">
        <f t="shared" ref="I33" si="6">F33+H33</f>
        <v>1922400</v>
      </c>
    </row>
    <row r="34" spans="1:11" ht="18" customHeight="1" x14ac:dyDescent="0.2">
      <c r="A34" s="45"/>
      <c r="B34" s="119" t="s">
        <v>152</v>
      </c>
      <c r="C34" s="224"/>
      <c r="D34" s="71"/>
      <c r="E34" s="57"/>
      <c r="F34" s="47"/>
      <c r="G34" s="57"/>
      <c r="H34" s="74"/>
      <c r="I34" s="57"/>
    </row>
    <row r="35" spans="1:11" ht="18" customHeight="1" x14ac:dyDescent="0.2">
      <c r="A35" s="45"/>
      <c r="B35" s="119" t="s">
        <v>144</v>
      </c>
      <c r="C35" s="105"/>
      <c r="D35" s="71"/>
      <c r="E35" s="57"/>
      <c r="F35" s="47"/>
      <c r="G35" s="57"/>
      <c r="H35" s="74"/>
      <c r="I35" s="57"/>
    </row>
    <row r="36" spans="1:11" ht="18" customHeight="1" x14ac:dyDescent="0.2">
      <c r="A36" s="104"/>
      <c r="B36" s="120" t="s">
        <v>386</v>
      </c>
      <c r="C36" s="105">
        <v>192</v>
      </c>
      <c r="D36" s="106" t="s">
        <v>91</v>
      </c>
      <c r="E36" s="105">
        <v>3000</v>
      </c>
      <c r="F36" s="47">
        <f t="shared" si="4"/>
        <v>576000</v>
      </c>
      <c r="G36" s="105">
        <v>500</v>
      </c>
      <c r="H36" s="74">
        <f t="shared" si="5"/>
        <v>96000</v>
      </c>
      <c r="I36" s="105">
        <f t="shared" ref="I36:I39" si="7">F36+H36</f>
        <v>672000</v>
      </c>
    </row>
    <row r="37" spans="1:11" ht="18" customHeight="1" x14ac:dyDescent="0.2">
      <c r="A37" s="45"/>
      <c r="B37" s="119" t="s">
        <v>152</v>
      </c>
      <c r="C37" s="105"/>
      <c r="D37" s="71"/>
      <c r="E37" s="57"/>
      <c r="F37" s="47"/>
      <c r="G37" s="57"/>
      <c r="H37" s="74"/>
      <c r="I37" s="57"/>
    </row>
    <row r="38" spans="1:11" ht="18" customHeight="1" x14ac:dyDescent="0.2">
      <c r="A38" s="45"/>
      <c r="B38" s="119" t="s">
        <v>149</v>
      </c>
      <c r="C38" s="105"/>
      <c r="D38" s="71"/>
      <c r="E38" s="57"/>
      <c r="F38" s="47"/>
      <c r="G38" s="57"/>
      <c r="H38" s="74"/>
      <c r="I38" s="57"/>
    </row>
    <row r="39" spans="1:11" ht="18" customHeight="1" x14ac:dyDescent="0.2">
      <c r="A39" s="104"/>
      <c r="B39" s="120" t="s">
        <v>387</v>
      </c>
      <c r="C39" s="106">
        <v>244</v>
      </c>
      <c r="D39" s="106" t="s">
        <v>91</v>
      </c>
      <c r="E39" s="105">
        <v>2795</v>
      </c>
      <c r="F39" s="47">
        <f t="shared" si="4"/>
        <v>681980</v>
      </c>
      <c r="G39" s="105">
        <v>500</v>
      </c>
      <c r="H39" s="74">
        <f t="shared" si="5"/>
        <v>122000</v>
      </c>
      <c r="I39" s="105">
        <f t="shared" si="7"/>
        <v>803980</v>
      </c>
    </row>
    <row r="40" spans="1:11" ht="18" customHeight="1" x14ac:dyDescent="0.2">
      <c r="A40" s="45"/>
      <c r="B40" s="119" t="s">
        <v>152</v>
      </c>
      <c r="C40" s="105"/>
      <c r="D40" s="71"/>
      <c r="E40" s="57"/>
      <c r="F40" s="57"/>
      <c r="G40" s="57"/>
      <c r="H40" s="57"/>
      <c r="I40" s="57"/>
    </row>
    <row r="41" spans="1:11" s="29" customFormat="1" ht="18" customHeight="1" x14ac:dyDescent="0.2">
      <c r="A41" s="45"/>
      <c r="B41" s="119" t="s">
        <v>388</v>
      </c>
      <c r="C41" s="224"/>
      <c r="D41" s="71"/>
      <c r="E41" s="57"/>
      <c r="F41" s="57"/>
      <c r="G41" s="57"/>
      <c r="H41" s="57"/>
      <c r="I41" s="57"/>
    </row>
    <row r="42" spans="1:11" s="29" customFormat="1" ht="18" customHeight="1" x14ac:dyDescent="0.2">
      <c r="A42" s="45"/>
      <c r="B42" s="119" t="s">
        <v>389</v>
      </c>
      <c r="C42" s="224"/>
      <c r="D42" s="71"/>
      <c r="E42" s="57"/>
      <c r="F42" s="57"/>
      <c r="G42" s="57"/>
      <c r="H42" s="57"/>
      <c r="I42" s="57"/>
    </row>
    <row r="43" spans="1:11" ht="18" customHeight="1" x14ac:dyDescent="0.2">
      <c r="A43" s="45"/>
      <c r="B43" s="119" t="s">
        <v>390</v>
      </c>
      <c r="C43" s="224"/>
      <c r="D43" s="71"/>
      <c r="E43" s="57"/>
      <c r="F43" s="57"/>
      <c r="G43" s="57"/>
      <c r="H43" s="57"/>
      <c r="I43" s="57"/>
    </row>
    <row r="44" spans="1:11" ht="18" customHeight="1" x14ac:dyDescent="0.2">
      <c r="A44" s="45"/>
      <c r="B44" s="119" t="s">
        <v>391</v>
      </c>
      <c r="C44" s="224"/>
      <c r="D44" s="71"/>
      <c r="E44" s="57"/>
      <c r="F44" s="57"/>
      <c r="G44" s="57"/>
      <c r="H44" s="57"/>
      <c r="I44" s="57"/>
      <c r="K44" s="30"/>
    </row>
    <row r="45" spans="1:11" ht="18" customHeight="1" x14ac:dyDescent="0.2">
      <c r="A45" s="45"/>
      <c r="B45" s="119" t="s">
        <v>149</v>
      </c>
      <c r="C45" s="224"/>
      <c r="D45" s="71"/>
      <c r="E45" s="57"/>
      <c r="F45" s="57"/>
      <c r="G45" s="57"/>
      <c r="H45" s="57"/>
      <c r="I45" s="57"/>
    </row>
    <row r="46" spans="1:11" s="29" customFormat="1" ht="18" customHeight="1" x14ac:dyDescent="0.2">
      <c r="A46" s="79"/>
      <c r="B46" s="33" t="s">
        <v>141</v>
      </c>
      <c r="C46" s="222"/>
      <c r="D46" s="81"/>
      <c r="E46" s="80"/>
      <c r="F46" s="80">
        <f>SUM(F31:F45)</f>
        <v>2737244.24</v>
      </c>
      <c r="G46" s="80"/>
      <c r="H46" s="80">
        <f>SUM(H31:H45)</f>
        <v>1354306</v>
      </c>
      <c r="I46" s="80">
        <f>SUM(I31:I45)</f>
        <v>4091550.24</v>
      </c>
    </row>
    <row r="47" spans="1:11" ht="18" customHeight="1" x14ac:dyDescent="0.2">
      <c r="A47" s="100" t="s">
        <v>173</v>
      </c>
      <c r="B47" s="121" t="s">
        <v>65</v>
      </c>
      <c r="C47" s="225"/>
      <c r="D47" s="102"/>
      <c r="E47" s="101"/>
      <c r="F47" s="101"/>
      <c r="G47" s="101"/>
      <c r="H47" s="101"/>
      <c r="I47" s="101"/>
    </row>
    <row r="48" spans="1:11" ht="18" customHeight="1" x14ac:dyDescent="0.2">
      <c r="A48" s="45"/>
      <c r="B48" s="119" t="s">
        <v>155</v>
      </c>
      <c r="C48" s="99">
        <f>ROUNDUP(1.35*4.5*6,0)</f>
        <v>37</v>
      </c>
      <c r="D48" s="54" t="s">
        <v>91</v>
      </c>
      <c r="E48" s="57">
        <v>80.739999999999995</v>
      </c>
      <c r="F48" s="47">
        <f t="shared" ref="F48:F50" si="8">ROUNDDOWN(C48*E48,2)</f>
        <v>2987.38</v>
      </c>
      <c r="G48" s="57">
        <v>115</v>
      </c>
      <c r="H48" s="74">
        <f t="shared" ref="H48:H50" si="9">ROUNDDOWN(C48*G48,2)</f>
        <v>4255</v>
      </c>
      <c r="I48" s="47">
        <f>F48+H48</f>
        <v>7242.38</v>
      </c>
    </row>
    <row r="49" spans="1:9" ht="18" customHeight="1" x14ac:dyDescent="0.2">
      <c r="A49" s="45"/>
      <c r="B49" s="119" t="s">
        <v>85</v>
      </c>
      <c r="C49" s="99">
        <f>C48</f>
        <v>37</v>
      </c>
      <c r="D49" s="54" t="s">
        <v>91</v>
      </c>
      <c r="E49" s="57">
        <v>120.16</v>
      </c>
      <c r="F49" s="47">
        <f>ROUNDDOWN(C49*E49,2)</f>
        <v>4445.92</v>
      </c>
      <c r="G49" s="57">
        <v>64</v>
      </c>
      <c r="H49" s="74">
        <f t="shared" si="9"/>
        <v>2368</v>
      </c>
      <c r="I49" s="47">
        <f>F49+H49</f>
        <v>6813.92</v>
      </c>
    </row>
    <row r="50" spans="1:9" ht="18" customHeight="1" x14ac:dyDescent="0.2">
      <c r="A50" s="72"/>
      <c r="B50" s="118" t="s">
        <v>84</v>
      </c>
      <c r="C50" s="107">
        <f>C48</f>
        <v>37</v>
      </c>
      <c r="D50" s="54" t="s">
        <v>91</v>
      </c>
      <c r="E50" s="209">
        <v>20</v>
      </c>
      <c r="F50" s="47">
        <f t="shared" si="8"/>
        <v>740</v>
      </c>
      <c r="G50" s="209">
        <v>40</v>
      </c>
      <c r="H50" s="74">
        <f t="shared" si="9"/>
        <v>1480</v>
      </c>
      <c r="I50" s="47">
        <f t="shared" ref="I50" si="10">F50+H50</f>
        <v>2220</v>
      </c>
    </row>
    <row r="51" spans="1:9" ht="18" customHeight="1" x14ac:dyDescent="0.2">
      <c r="A51" s="79"/>
      <c r="B51" s="33" t="s">
        <v>132</v>
      </c>
      <c r="C51" s="222"/>
      <c r="D51" s="81"/>
      <c r="E51" s="80"/>
      <c r="F51" s="80">
        <f>SUM(F48:F50)</f>
        <v>8173.3</v>
      </c>
      <c r="G51" s="80"/>
      <c r="H51" s="80">
        <f>SUM(H48:H50)</f>
        <v>8103</v>
      </c>
      <c r="I51" s="80">
        <f>SUM(I48:I50)</f>
        <v>16276.3</v>
      </c>
    </row>
    <row r="52" spans="1:9" ht="18" customHeight="1" x14ac:dyDescent="0.3">
      <c r="A52" s="51" t="s">
        <v>174</v>
      </c>
      <c r="B52" s="117" t="s">
        <v>62</v>
      </c>
      <c r="C52" s="238"/>
      <c r="D52" s="92"/>
      <c r="E52" s="52"/>
      <c r="F52" s="52"/>
      <c r="G52" s="52"/>
      <c r="H52" s="52"/>
      <c r="I52" s="52"/>
    </row>
    <row r="53" spans="1:9" ht="18" customHeight="1" x14ac:dyDescent="0.3">
      <c r="A53" s="45"/>
      <c r="B53" s="119" t="s">
        <v>63</v>
      </c>
      <c r="C53" s="99">
        <f>ROUNDUP(2*(6.2*17.4*0.05)*1.6,0)</f>
        <v>18</v>
      </c>
      <c r="D53" s="56" t="s">
        <v>88</v>
      </c>
      <c r="E53" s="57">
        <v>222.84</v>
      </c>
      <c r="F53" s="47">
        <f t="shared" ref="F53:F55" si="11">ROUNDDOWN(C53*E53,2)</f>
        <v>4011.12</v>
      </c>
      <c r="G53" s="57">
        <v>112</v>
      </c>
      <c r="H53" s="57">
        <f t="shared" ref="H53:H55" si="12">C53*G53</f>
        <v>2016</v>
      </c>
      <c r="I53" s="47">
        <f>F53+H53</f>
        <v>6027.12</v>
      </c>
    </row>
    <row r="54" spans="1:9" ht="18" customHeight="1" x14ac:dyDescent="0.3">
      <c r="A54" s="45"/>
      <c r="B54" s="119" t="s">
        <v>64</v>
      </c>
      <c r="C54" s="99">
        <f>ROUNDUP(2*(6.2*17.4),0)</f>
        <v>216</v>
      </c>
      <c r="D54" s="56" t="s">
        <v>91</v>
      </c>
      <c r="E54" s="57">
        <v>25</v>
      </c>
      <c r="F54" s="47">
        <f t="shared" si="11"/>
        <v>5400</v>
      </c>
      <c r="G54" s="57">
        <v>5</v>
      </c>
      <c r="H54" s="57">
        <f t="shared" si="12"/>
        <v>1080</v>
      </c>
      <c r="I54" s="47">
        <f t="shared" si="1"/>
        <v>6480</v>
      </c>
    </row>
    <row r="55" spans="1:9" ht="18" customHeight="1" x14ac:dyDescent="0.3">
      <c r="A55" s="45"/>
      <c r="B55" s="119" t="s">
        <v>103</v>
      </c>
      <c r="C55" s="99">
        <f>ROUNDUP(2*(6.2*17.4*0.07),0)</f>
        <v>16</v>
      </c>
      <c r="D55" s="56" t="s">
        <v>88</v>
      </c>
      <c r="E55" s="57">
        <v>600</v>
      </c>
      <c r="F55" s="47">
        <f t="shared" si="11"/>
        <v>9600</v>
      </c>
      <c r="G55" s="57">
        <v>112</v>
      </c>
      <c r="H55" s="57">
        <f t="shared" si="12"/>
        <v>1792</v>
      </c>
      <c r="I55" s="47">
        <f t="shared" si="1"/>
        <v>11392</v>
      </c>
    </row>
    <row r="56" spans="1:9" ht="18" customHeight="1" x14ac:dyDescent="0.2">
      <c r="A56" s="79"/>
      <c r="B56" s="33" t="s">
        <v>107</v>
      </c>
      <c r="C56" s="222"/>
      <c r="D56" s="81"/>
      <c r="E56" s="210"/>
      <c r="F56" s="210">
        <f>SUM(F53:F55)</f>
        <v>19011.12</v>
      </c>
      <c r="G56" s="210"/>
      <c r="H56" s="210">
        <f>SUM(H53:H55)</f>
        <v>4888</v>
      </c>
      <c r="I56" s="80">
        <f>SUM(I53:I55)</f>
        <v>23899.119999999999</v>
      </c>
    </row>
    <row r="57" spans="1:9" ht="18" customHeight="1" x14ac:dyDescent="0.3">
      <c r="A57" s="51" t="s">
        <v>286</v>
      </c>
      <c r="B57" s="117" t="s">
        <v>183</v>
      </c>
      <c r="C57" s="226"/>
      <c r="D57" s="92"/>
      <c r="E57" s="93"/>
      <c r="F57" s="93"/>
      <c r="G57" s="93"/>
      <c r="H57" s="93"/>
      <c r="I57" s="52"/>
    </row>
    <row r="58" spans="1:9" ht="18" customHeight="1" x14ac:dyDescent="0.2">
      <c r="A58" s="45"/>
      <c r="B58" s="42" t="s">
        <v>68</v>
      </c>
      <c r="C58" s="99">
        <f>ROUNDUP(291.6*0.05*1.25,0)</f>
        <v>19</v>
      </c>
      <c r="D58" s="54" t="s">
        <v>88</v>
      </c>
      <c r="E58" s="57">
        <v>436.92</v>
      </c>
      <c r="F58" s="47">
        <f t="shared" ref="F58:F60" si="13">ROUNDDOWN(C58*E58,2)</f>
        <v>8301.48</v>
      </c>
      <c r="G58" s="57">
        <v>112</v>
      </c>
      <c r="H58" s="57">
        <f t="shared" ref="H58:H60" si="14">C58*G58</f>
        <v>2128</v>
      </c>
      <c r="I58" s="47">
        <f t="shared" ref="I58:I60" si="15">F58+H58</f>
        <v>10429.48</v>
      </c>
    </row>
    <row r="59" spans="1:9" ht="18" customHeight="1" x14ac:dyDescent="0.2">
      <c r="A59" s="45"/>
      <c r="B59" s="42" t="s">
        <v>69</v>
      </c>
      <c r="C59" s="99">
        <f>ROUNDUP(291.6*0.05*1.3,0)</f>
        <v>19</v>
      </c>
      <c r="D59" s="54" t="s">
        <v>88</v>
      </c>
      <c r="E59" s="57">
        <v>950</v>
      </c>
      <c r="F59" s="47">
        <f t="shared" si="13"/>
        <v>18050</v>
      </c>
      <c r="G59" s="57">
        <v>112</v>
      </c>
      <c r="H59" s="57">
        <f>C59*G59</f>
        <v>2128</v>
      </c>
      <c r="I59" s="47">
        <f>F59+H59</f>
        <v>20178</v>
      </c>
    </row>
    <row r="60" spans="1:9" ht="18" customHeight="1" x14ac:dyDescent="0.2">
      <c r="A60" s="45"/>
      <c r="B60" s="91" t="s">
        <v>70</v>
      </c>
      <c r="C60" s="99">
        <f>ROUNDUP(291.6,0)</f>
        <v>292</v>
      </c>
      <c r="D60" s="75" t="s">
        <v>91</v>
      </c>
      <c r="E60" s="209">
        <v>40</v>
      </c>
      <c r="F60" s="47">
        <f t="shared" si="13"/>
        <v>11680</v>
      </c>
      <c r="G60" s="209">
        <v>10</v>
      </c>
      <c r="H60" s="57">
        <f t="shared" si="14"/>
        <v>2920</v>
      </c>
      <c r="I60" s="47">
        <f t="shared" si="15"/>
        <v>14600</v>
      </c>
    </row>
    <row r="61" spans="1:9" ht="18" customHeight="1" x14ac:dyDescent="0.2">
      <c r="A61" s="79"/>
      <c r="B61" s="33" t="s">
        <v>182</v>
      </c>
      <c r="C61" s="80"/>
      <c r="D61" s="81"/>
      <c r="E61" s="210"/>
      <c r="F61" s="210">
        <f>SUM(F58:F60)</f>
        <v>38031.479999999996</v>
      </c>
      <c r="G61" s="210"/>
      <c r="H61" s="210">
        <f>SUM(H58:H60)</f>
        <v>7176</v>
      </c>
      <c r="I61" s="80">
        <f>SUM(I58:I60)</f>
        <v>45207.479999999996</v>
      </c>
    </row>
    <row r="62" spans="1:9" ht="18" customHeight="1" x14ac:dyDescent="0.3">
      <c r="A62" s="51" t="s">
        <v>423</v>
      </c>
      <c r="B62" s="117" t="s">
        <v>424</v>
      </c>
      <c r="C62" s="226"/>
      <c r="D62" s="92"/>
      <c r="E62" s="93"/>
      <c r="F62" s="93"/>
      <c r="G62" s="93"/>
      <c r="H62" s="93"/>
      <c r="I62" s="52"/>
    </row>
    <row r="63" spans="1:9" ht="18" customHeight="1" x14ac:dyDescent="0.2">
      <c r="A63" s="45"/>
      <c r="B63" s="42" t="s">
        <v>425</v>
      </c>
      <c r="C63" s="99">
        <v>1</v>
      </c>
      <c r="D63" s="54" t="s">
        <v>187</v>
      </c>
      <c r="E63" s="57">
        <v>4840</v>
      </c>
      <c r="F63" s="47">
        <f t="shared" ref="F63" si="16">ROUNDDOWN(C63*E63,2)</f>
        <v>4840</v>
      </c>
      <c r="G63" s="57">
        <v>0</v>
      </c>
      <c r="H63" s="57">
        <f t="shared" ref="H63" si="17">C63*G63</f>
        <v>0</v>
      </c>
      <c r="I63" s="47">
        <f>F63+H63</f>
        <v>4840</v>
      </c>
    </row>
    <row r="64" spans="1:9" ht="18" customHeight="1" x14ac:dyDescent="0.2">
      <c r="A64" s="79"/>
      <c r="B64" s="33" t="s">
        <v>426</v>
      </c>
      <c r="C64" s="80"/>
      <c r="D64" s="81"/>
      <c r="E64" s="210"/>
      <c r="F64" s="210">
        <f>SUM(F63:F63)</f>
        <v>4840</v>
      </c>
      <c r="G64" s="210"/>
      <c r="H64" s="210">
        <f>SUM(H63:H63)</f>
        <v>0</v>
      </c>
      <c r="I64" s="80">
        <f>SUM(I63:I63)</f>
        <v>4840</v>
      </c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orientation="landscape" r:id="rId1"/>
  <rowBreaks count="3" manualBreakCount="3">
    <brk id="17" max="16383" man="1"/>
    <brk id="29" max="16383" man="1"/>
    <brk id="46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8191C-8303-4B13-966A-416B8078BC43}">
  <sheetPr>
    <tabColor theme="9" tint="0.39997558519241921"/>
  </sheetPr>
  <dimension ref="A1:M17"/>
  <sheetViews>
    <sheetView view="pageBreakPreview" zoomScaleNormal="100" zoomScaleSheetLayoutView="100" workbookViewId="0">
      <selection activeCell="C7" sqref="C7:C8"/>
    </sheetView>
  </sheetViews>
  <sheetFormatPr defaultRowHeight="18" customHeight="1" x14ac:dyDescent="0.2"/>
  <cols>
    <col min="1" max="1" width="5.625" style="43" customWidth="1"/>
    <col min="2" max="2" width="42.125" style="28" customWidth="1"/>
    <col min="3" max="3" width="9.375" style="28" customWidth="1"/>
    <col min="4" max="4" width="6.875" style="43" customWidth="1"/>
    <col min="5" max="5" width="10" style="28" customWidth="1"/>
    <col min="6" max="6" width="13.125" style="28" customWidth="1"/>
    <col min="7" max="7" width="10" style="28" customWidth="1"/>
    <col min="8" max="9" width="13.125" style="28" customWidth="1"/>
    <col min="10" max="11" width="9" style="28"/>
    <col min="12" max="13" width="9" style="28" customWidth="1"/>
    <col min="14" max="16384" width="9" style="28"/>
  </cols>
  <sheetData>
    <row r="1" spans="1:13" ht="18" customHeight="1" x14ac:dyDescent="0.2">
      <c r="A1" s="280" t="s">
        <v>403</v>
      </c>
      <c r="B1" s="280"/>
      <c r="C1" s="280"/>
      <c r="D1" s="280"/>
      <c r="E1" s="280"/>
      <c r="F1" s="280"/>
      <c r="G1" s="280"/>
      <c r="H1" s="280"/>
      <c r="I1" s="280"/>
      <c r="J1" s="29"/>
      <c r="K1" s="29"/>
      <c r="L1" s="29"/>
      <c r="M1" s="29"/>
    </row>
    <row r="2" spans="1:13" ht="18" customHeight="1" x14ac:dyDescent="0.2">
      <c r="A2" s="280" t="s">
        <v>0</v>
      </c>
      <c r="B2" s="280"/>
      <c r="C2" s="280"/>
      <c r="D2" s="280"/>
      <c r="E2" s="280"/>
      <c r="F2" s="280"/>
      <c r="G2" s="280"/>
      <c r="H2" s="280"/>
      <c r="I2" s="280"/>
      <c r="J2" s="29"/>
      <c r="K2" s="29"/>
      <c r="L2" s="29"/>
      <c r="M2" s="29"/>
    </row>
    <row r="3" spans="1:13" ht="18" customHeight="1" x14ac:dyDescent="0.2">
      <c r="A3" s="280" t="s">
        <v>40</v>
      </c>
      <c r="B3" s="280"/>
      <c r="C3" s="280"/>
      <c r="D3" s="280"/>
      <c r="E3" s="280"/>
      <c r="F3" s="280"/>
      <c r="G3" s="280"/>
      <c r="H3" s="280"/>
      <c r="I3" s="280"/>
      <c r="J3" s="29"/>
      <c r="L3" s="29"/>
      <c r="M3" s="29"/>
    </row>
    <row r="4" spans="1:13" s="36" customFormat="1" ht="18" customHeight="1" x14ac:dyDescent="0.2">
      <c r="A4" s="36" t="str">
        <f>ปร.5!A4</f>
        <v>โครงการ   ก่อสร้างสนามกีฬาชุมชน</v>
      </c>
      <c r="D4" s="43"/>
      <c r="K4" s="28"/>
    </row>
    <row r="5" spans="1:13" s="36" customFormat="1" ht="18" customHeight="1" x14ac:dyDescent="0.2">
      <c r="A5" s="36" t="str">
        <f>ปร.5!A5</f>
        <v>สถานที่   โรงเรียนหรเทพ (รุ่งเรืองประชาสามัคคี) ตำบลหรเทพ อำเภอบ้านหมอ จังหวัดสระบุรี</v>
      </c>
      <c r="D5" s="43"/>
      <c r="K5" s="28"/>
    </row>
    <row r="6" spans="1:13" s="36" customFormat="1" ht="18" customHeight="1" x14ac:dyDescent="0.2">
      <c r="A6" s="36" t="s">
        <v>429</v>
      </c>
      <c r="D6" s="43"/>
      <c r="K6" s="28"/>
    </row>
    <row r="7" spans="1:13" ht="18" customHeight="1" x14ac:dyDescent="0.2">
      <c r="A7" s="281" t="s">
        <v>32</v>
      </c>
      <c r="B7" s="281" t="s">
        <v>30</v>
      </c>
      <c r="C7" s="281" t="s">
        <v>33</v>
      </c>
      <c r="D7" s="281" t="s">
        <v>31</v>
      </c>
      <c r="E7" s="281" t="s">
        <v>34</v>
      </c>
      <c r="F7" s="281"/>
      <c r="G7" s="281" t="s">
        <v>35</v>
      </c>
      <c r="H7" s="281"/>
      <c r="I7" s="282" t="s">
        <v>36</v>
      </c>
    </row>
    <row r="8" spans="1:13" ht="18" customHeight="1" x14ac:dyDescent="0.2">
      <c r="A8" s="281"/>
      <c r="B8" s="281"/>
      <c r="C8" s="281"/>
      <c r="D8" s="281"/>
      <c r="E8" s="33" t="s">
        <v>37</v>
      </c>
      <c r="F8" s="34" t="s">
        <v>38</v>
      </c>
      <c r="G8" s="33" t="s">
        <v>37</v>
      </c>
      <c r="H8" s="34" t="s">
        <v>39</v>
      </c>
      <c r="I8" s="282"/>
    </row>
    <row r="9" spans="1:13" s="29" customFormat="1" ht="18" customHeight="1" x14ac:dyDescent="0.2">
      <c r="A9" s="100">
        <v>1.3</v>
      </c>
      <c r="B9" s="115" t="s">
        <v>180</v>
      </c>
      <c r="C9" s="115"/>
      <c r="D9" s="100"/>
      <c r="E9" s="101"/>
      <c r="F9" s="101"/>
      <c r="G9" s="101"/>
      <c r="H9" s="101"/>
      <c r="I9" s="101"/>
      <c r="K9" s="28"/>
      <c r="L9" s="28"/>
      <c r="M9" s="28"/>
    </row>
    <row r="10" spans="1:13" s="29" customFormat="1" ht="18" customHeight="1" x14ac:dyDescent="0.2">
      <c r="A10" s="51" t="s">
        <v>175</v>
      </c>
      <c r="B10" s="41" t="s">
        <v>86</v>
      </c>
      <c r="C10" s="93"/>
      <c r="D10" s="94"/>
      <c r="E10" s="93"/>
      <c r="F10" s="93"/>
      <c r="G10" s="93"/>
      <c r="H10" s="93"/>
      <c r="I10" s="93"/>
      <c r="K10" s="28"/>
      <c r="L10" s="28"/>
      <c r="M10" s="28"/>
    </row>
    <row r="11" spans="1:13" ht="18" customHeight="1" x14ac:dyDescent="0.2">
      <c r="A11" s="45"/>
      <c r="B11" s="39" t="s">
        <v>289</v>
      </c>
      <c r="C11" s="57">
        <f>19*3</f>
        <v>57</v>
      </c>
      <c r="D11" s="71" t="s">
        <v>99</v>
      </c>
      <c r="E11" s="57">
        <v>2690</v>
      </c>
      <c r="F11" s="57">
        <f>C11*E11</f>
        <v>153330</v>
      </c>
      <c r="G11" s="57">
        <v>0</v>
      </c>
      <c r="H11" s="57">
        <f>C11*G11</f>
        <v>0</v>
      </c>
      <c r="I11" s="57">
        <f>F11+H11</f>
        <v>153330</v>
      </c>
    </row>
    <row r="12" spans="1:13" ht="18" customHeight="1" x14ac:dyDescent="0.2">
      <c r="A12" s="45"/>
      <c r="B12" s="39" t="s">
        <v>285</v>
      </c>
      <c r="C12" s="57">
        <v>19</v>
      </c>
      <c r="D12" s="71" t="s">
        <v>161</v>
      </c>
      <c r="E12" s="57">
        <v>10500</v>
      </c>
      <c r="F12" s="57">
        <f>C12*E12</f>
        <v>199500</v>
      </c>
      <c r="G12" s="57">
        <v>0</v>
      </c>
      <c r="H12" s="57">
        <f t="shared" ref="H12" si="0">C12*G12</f>
        <v>0</v>
      </c>
      <c r="I12" s="57">
        <f t="shared" ref="I12" si="1">F12+H12</f>
        <v>199500</v>
      </c>
      <c r="K12" s="29"/>
    </row>
    <row r="13" spans="1:13" ht="18" customHeight="1" x14ac:dyDescent="0.2">
      <c r="A13" s="45"/>
      <c r="B13" s="39" t="s">
        <v>288</v>
      </c>
      <c r="C13" s="57">
        <v>19</v>
      </c>
      <c r="D13" s="71" t="s">
        <v>99</v>
      </c>
      <c r="E13" s="57">
        <v>3125</v>
      </c>
      <c r="F13" s="57">
        <f t="shared" ref="F13" si="2">C13*E13</f>
        <v>59375</v>
      </c>
      <c r="G13" s="57">
        <v>0</v>
      </c>
      <c r="H13" s="57">
        <f>C13*G13</f>
        <v>0</v>
      </c>
      <c r="I13" s="57">
        <f>F13+H13</f>
        <v>59375</v>
      </c>
    </row>
    <row r="14" spans="1:13" ht="18" customHeight="1" x14ac:dyDescent="0.2">
      <c r="A14" s="45"/>
      <c r="B14" s="39" t="s">
        <v>227</v>
      </c>
      <c r="C14" s="57">
        <v>19</v>
      </c>
      <c r="D14" s="71" t="s">
        <v>99</v>
      </c>
      <c r="E14" s="57">
        <v>0</v>
      </c>
      <c r="F14" s="57">
        <f>C14*E14</f>
        <v>0</v>
      </c>
      <c r="G14" s="57">
        <v>3500</v>
      </c>
      <c r="H14" s="57">
        <f t="shared" ref="H14" si="3">C14*G14</f>
        <v>66500</v>
      </c>
      <c r="I14" s="57">
        <f t="shared" ref="I14" si="4">F14+H14</f>
        <v>66500</v>
      </c>
    </row>
    <row r="15" spans="1:13" s="29" customFormat="1" ht="18" customHeight="1" thickBot="1" x14ac:dyDescent="0.25">
      <c r="A15" s="87"/>
      <c r="B15" s="90" t="s">
        <v>181</v>
      </c>
      <c r="C15" s="88"/>
      <c r="D15" s="89"/>
      <c r="E15" s="88"/>
      <c r="F15" s="88">
        <f>SUM(F11:F14)</f>
        <v>412205</v>
      </c>
      <c r="G15" s="88"/>
      <c r="H15" s="88">
        <f>SUM(H11:H14)</f>
        <v>66500</v>
      </c>
      <c r="I15" s="88">
        <f>SUM(I11:I14)</f>
        <v>478705</v>
      </c>
    </row>
    <row r="16" spans="1:13" ht="18" customHeight="1" thickTop="1" x14ac:dyDescent="0.2"/>
    <row r="17" spans="8:8" ht="18" customHeight="1" x14ac:dyDescent="0.2">
      <c r="H17" s="30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502D6-216F-44A2-BBDB-0805A9D5E861}">
  <sheetPr>
    <tabColor rgb="FF00B0F0"/>
  </sheetPr>
  <dimension ref="A1:M66"/>
  <sheetViews>
    <sheetView view="pageBreakPreview" topLeftCell="A37" zoomScaleNormal="100" zoomScaleSheetLayoutView="100" workbookViewId="0">
      <selection activeCell="B48" sqref="B48"/>
    </sheetView>
  </sheetViews>
  <sheetFormatPr defaultRowHeight="18" customHeight="1" x14ac:dyDescent="0.2"/>
  <cols>
    <col min="1" max="1" width="5.625" style="113" customWidth="1"/>
    <col min="2" max="2" width="42.125" style="28" customWidth="1"/>
    <col min="3" max="3" width="8.75" style="28" customWidth="1"/>
    <col min="4" max="4" width="6.875" style="43" customWidth="1"/>
    <col min="5" max="5" width="10.625" style="28" customWidth="1"/>
    <col min="6" max="6" width="13.125" style="28" customWidth="1"/>
    <col min="7" max="7" width="10" style="28" customWidth="1"/>
    <col min="8" max="9" width="13.125" style="28" customWidth="1"/>
    <col min="10" max="11" width="9" style="28"/>
    <col min="12" max="13" width="9" style="28" customWidth="1"/>
    <col min="14" max="16384" width="9" style="28"/>
  </cols>
  <sheetData>
    <row r="1" spans="1:13" ht="18" customHeight="1" x14ac:dyDescent="0.2">
      <c r="A1" s="280" t="s">
        <v>403</v>
      </c>
      <c r="B1" s="280"/>
      <c r="C1" s="280"/>
      <c r="D1" s="280"/>
      <c r="E1" s="280"/>
      <c r="F1" s="280"/>
      <c r="G1" s="280"/>
      <c r="H1" s="280"/>
      <c r="I1" s="280"/>
      <c r="J1" s="29"/>
      <c r="K1" s="29"/>
      <c r="L1" s="29"/>
      <c r="M1" s="29"/>
    </row>
    <row r="2" spans="1:13" ht="18" customHeight="1" x14ac:dyDescent="0.2">
      <c r="A2" s="280" t="s">
        <v>0</v>
      </c>
      <c r="B2" s="280"/>
      <c r="C2" s="280"/>
      <c r="D2" s="280"/>
      <c r="E2" s="280"/>
      <c r="F2" s="280"/>
      <c r="G2" s="280"/>
      <c r="H2" s="280"/>
      <c r="I2" s="280"/>
      <c r="J2" s="29"/>
      <c r="K2" s="29"/>
      <c r="L2" s="29"/>
      <c r="M2" s="29"/>
    </row>
    <row r="3" spans="1:13" ht="18" customHeight="1" x14ac:dyDescent="0.2">
      <c r="A3" s="280" t="s">
        <v>40</v>
      </c>
      <c r="B3" s="280"/>
      <c r="C3" s="280"/>
      <c r="D3" s="280"/>
      <c r="E3" s="280"/>
      <c r="F3" s="280"/>
      <c r="G3" s="280"/>
      <c r="H3" s="280"/>
      <c r="I3" s="280"/>
      <c r="J3" s="29"/>
      <c r="K3" s="29"/>
      <c r="L3" s="29"/>
      <c r="M3" s="29"/>
    </row>
    <row r="4" spans="1:13" s="36" customFormat="1" ht="18" customHeight="1" x14ac:dyDescent="0.2">
      <c r="A4" s="110" t="str">
        <f>ปร.5!A4</f>
        <v>โครงการ   ก่อสร้างสนามกีฬาชุมชน</v>
      </c>
      <c r="D4" s="43"/>
    </row>
    <row r="5" spans="1:13" s="36" customFormat="1" ht="18" customHeight="1" x14ac:dyDescent="0.2">
      <c r="A5" s="110" t="str">
        <f>ปร.5!A5</f>
        <v>สถานที่   โรงเรียนหรเทพ (รุ่งเรืองประชาสามัคคี) ตำบลหรเทพ อำเภอบ้านหมอ จังหวัดสระบุรี</v>
      </c>
      <c r="D5" s="43"/>
    </row>
    <row r="6" spans="1:13" s="36" customFormat="1" ht="18" customHeight="1" x14ac:dyDescent="0.2">
      <c r="A6" s="36" t="s">
        <v>429</v>
      </c>
      <c r="D6" s="43"/>
    </row>
    <row r="7" spans="1:13" ht="18" customHeight="1" x14ac:dyDescent="0.2">
      <c r="A7" s="283" t="s">
        <v>32</v>
      </c>
      <c r="B7" s="281" t="s">
        <v>30</v>
      </c>
      <c r="C7" s="281" t="s">
        <v>33</v>
      </c>
      <c r="D7" s="281" t="s">
        <v>31</v>
      </c>
      <c r="E7" s="281" t="s">
        <v>34</v>
      </c>
      <c r="F7" s="281"/>
      <c r="G7" s="281" t="s">
        <v>35</v>
      </c>
      <c r="H7" s="281"/>
      <c r="I7" s="282" t="s">
        <v>36</v>
      </c>
    </row>
    <row r="8" spans="1:13" ht="18" customHeight="1" x14ac:dyDescent="0.2">
      <c r="A8" s="283"/>
      <c r="B8" s="281"/>
      <c r="C8" s="281"/>
      <c r="D8" s="281"/>
      <c r="E8" s="33" t="s">
        <v>37</v>
      </c>
      <c r="F8" s="34" t="s">
        <v>38</v>
      </c>
      <c r="G8" s="33" t="s">
        <v>37</v>
      </c>
      <c r="H8" s="34" t="s">
        <v>39</v>
      </c>
      <c r="I8" s="282"/>
    </row>
    <row r="9" spans="1:13" s="29" customFormat="1" ht="18" customHeight="1" x14ac:dyDescent="0.2">
      <c r="A9" s="116">
        <v>2</v>
      </c>
      <c r="B9" s="115" t="s">
        <v>313</v>
      </c>
      <c r="C9" s="115"/>
      <c r="D9" s="100"/>
      <c r="E9" s="101"/>
      <c r="F9" s="101"/>
      <c r="G9" s="101"/>
      <c r="H9" s="101"/>
      <c r="I9" s="101"/>
    </row>
    <row r="10" spans="1:13" ht="18" customHeight="1" x14ac:dyDescent="0.2">
      <c r="A10" s="45">
        <v>2.1</v>
      </c>
      <c r="B10" s="39" t="s">
        <v>189</v>
      </c>
      <c r="C10" s="47">
        <v>1</v>
      </c>
      <c r="D10" s="54" t="s">
        <v>185</v>
      </c>
      <c r="E10" s="47">
        <v>95000</v>
      </c>
      <c r="F10" s="47">
        <f>C10*E10</f>
        <v>95000</v>
      </c>
      <c r="G10" s="47">
        <v>0</v>
      </c>
      <c r="H10" s="47">
        <f>C10*G10</f>
        <v>0</v>
      </c>
      <c r="I10" s="47">
        <f>F10+H10</f>
        <v>95000</v>
      </c>
    </row>
    <row r="11" spans="1:13" ht="18" customHeight="1" x14ac:dyDescent="0.2">
      <c r="A11" s="45">
        <v>2.2000000000000002</v>
      </c>
      <c r="B11" s="39" t="s">
        <v>191</v>
      </c>
      <c r="C11" s="47">
        <v>1</v>
      </c>
      <c r="D11" s="54" t="s">
        <v>185</v>
      </c>
      <c r="E11" s="47">
        <v>95000</v>
      </c>
      <c r="F11" s="47">
        <f t="shared" ref="F11:F53" si="0">C11*E11</f>
        <v>95000</v>
      </c>
      <c r="G11" s="47">
        <v>0</v>
      </c>
      <c r="H11" s="47">
        <f t="shared" ref="H11:H53" si="1">C11*G11</f>
        <v>0</v>
      </c>
      <c r="I11" s="47">
        <f t="shared" ref="I11:I53" si="2">F11+H11</f>
        <v>95000</v>
      </c>
    </row>
    <row r="12" spans="1:13" ht="18" customHeight="1" x14ac:dyDescent="0.2">
      <c r="A12" s="45">
        <v>2.2999999999999998</v>
      </c>
      <c r="B12" s="39" t="s">
        <v>192</v>
      </c>
      <c r="C12" s="47">
        <v>1</v>
      </c>
      <c r="D12" s="54" t="s">
        <v>185</v>
      </c>
      <c r="E12" s="47">
        <v>95000</v>
      </c>
      <c r="F12" s="47">
        <f t="shared" si="0"/>
        <v>95000</v>
      </c>
      <c r="G12" s="47">
        <v>0</v>
      </c>
      <c r="H12" s="47">
        <f t="shared" si="1"/>
        <v>0</v>
      </c>
      <c r="I12" s="47">
        <f t="shared" si="2"/>
        <v>95000</v>
      </c>
    </row>
    <row r="13" spans="1:13" ht="18" customHeight="1" x14ac:dyDescent="0.2">
      <c r="A13" s="45">
        <v>2.4</v>
      </c>
      <c r="B13" s="39" t="s">
        <v>193</v>
      </c>
      <c r="C13" s="47">
        <v>1</v>
      </c>
      <c r="D13" s="54" t="s">
        <v>185</v>
      </c>
      <c r="E13" s="47">
        <v>95000</v>
      </c>
      <c r="F13" s="47">
        <f t="shared" si="0"/>
        <v>95000</v>
      </c>
      <c r="G13" s="47">
        <v>0</v>
      </c>
      <c r="H13" s="47">
        <f t="shared" si="1"/>
        <v>0</v>
      </c>
      <c r="I13" s="47">
        <f t="shared" si="2"/>
        <v>95000</v>
      </c>
    </row>
    <row r="14" spans="1:13" ht="18" customHeight="1" x14ac:dyDescent="0.2">
      <c r="A14" s="45">
        <v>2.5</v>
      </c>
      <c r="B14" s="39" t="s">
        <v>194</v>
      </c>
      <c r="C14" s="47">
        <v>1</v>
      </c>
      <c r="D14" s="54" t="s">
        <v>185</v>
      </c>
      <c r="E14" s="47">
        <v>95000</v>
      </c>
      <c r="F14" s="47">
        <f t="shared" si="0"/>
        <v>95000</v>
      </c>
      <c r="G14" s="47">
        <v>0</v>
      </c>
      <c r="H14" s="47">
        <f t="shared" si="1"/>
        <v>0</v>
      </c>
      <c r="I14" s="47">
        <f t="shared" si="2"/>
        <v>95000</v>
      </c>
    </row>
    <row r="15" spans="1:13" ht="18" customHeight="1" x14ac:dyDescent="0.2">
      <c r="A15" s="45">
        <v>2.6</v>
      </c>
      <c r="B15" s="39" t="s">
        <v>195</v>
      </c>
      <c r="C15" s="47">
        <v>1</v>
      </c>
      <c r="D15" s="54" t="s">
        <v>185</v>
      </c>
      <c r="E15" s="47">
        <v>95000</v>
      </c>
      <c r="F15" s="47">
        <f t="shared" si="0"/>
        <v>95000</v>
      </c>
      <c r="G15" s="47">
        <v>0</v>
      </c>
      <c r="H15" s="47">
        <f t="shared" si="1"/>
        <v>0</v>
      </c>
      <c r="I15" s="47">
        <f t="shared" si="2"/>
        <v>95000</v>
      </c>
    </row>
    <row r="16" spans="1:13" ht="18" customHeight="1" x14ac:dyDescent="0.2">
      <c r="A16" s="45">
        <v>2.7</v>
      </c>
      <c r="B16" s="39" t="s">
        <v>196</v>
      </c>
      <c r="C16" s="47">
        <v>1</v>
      </c>
      <c r="D16" s="54" t="s">
        <v>185</v>
      </c>
      <c r="E16" s="47">
        <v>95000</v>
      </c>
      <c r="F16" s="47">
        <f t="shared" si="0"/>
        <v>95000</v>
      </c>
      <c r="G16" s="47">
        <v>0</v>
      </c>
      <c r="H16" s="47">
        <f t="shared" si="1"/>
        <v>0</v>
      </c>
      <c r="I16" s="47">
        <f t="shared" si="2"/>
        <v>95000</v>
      </c>
    </row>
    <row r="17" spans="1:9" ht="18" customHeight="1" x14ac:dyDescent="0.2">
      <c r="A17" s="45">
        <v>2.8</v>
      </c>
      <c r="B17" s="39" t="s">
        <v>197</v>
      </c>
      <c r="C17" s="47">
        <v>1</v>
      </c>
      <c r="D17" s="54" t="s">
        <v>185</v>
      </c>
      <c r="E17" s="47">
        <v>95000</v>
      </c>
      <c r="F17" s="47">
        <f t="shared" si="0"/>
        <v>95000</v>
      </c>
      <c r="G17" s="47">
        <v>0</v>
      </c>
      <c r="H17" s="47">
        <f t="shared" si="1"/>
        <v>0</v>
      </c>
      <c r="I17" s="47">
        <f t="shared" si="2"/>
        <v>95000</v>
      </c>
    </row>
    <row r="18" spans="1:9" ht="18" customHeight="1" x14ac:dyDescent="0.2">
      <c r="A18" s="45">
        <v>2.9</v>
      </c>
      <c r="B18" s="39" t="s">
        <v>190</v>
      </c>
      <c r="C18" s="47">
        <v>2</v>
      </c>
      <c r="D18" s="54" t="s">
        <v>185</v>
      </c>
      <c r="E18" s="47">
        <v>33000</v>
      </c>
      <c r="F18" s="47">
        <f t="shared" si="0"/>
        <v>66000</v>
      </c>
      <c r="G18" s="47">
        <v>0</v>
      </c>
      <c r="H18" s="47">
        <f t="shared" si="1"/>
        <v>0</v>
      </c>
      <c r="I18" s="47">
        <f t="shared" si="2"/>
        <v>66000</v>
      </c>
    </row>
    <row r="19" spans="1:9" ht="18" customHeight="1" x14ac:dyDescent="0.2">
      <c r="A19" s="114">
        <v>2.1</v>
      </c>
      <c r="B19" s="39" t="s">
        <v>202</v>
      </c>
      <c r="C19" s="47">
        <v>1</v>
      </c>
      <c r="D19" s="54" t="s">
        <v>185</v>
      </c>
      <c r="E19" s="47">
        <v>196000</v>
      </c>
      <c r="F19" s="47">
        <f t="shared" si="0"/>
        <v>196000</v>
      </c>
      <c r="G19" s="47">
        <v>0</v>
      </c>
      <c r="H19" s="47">
        <f t="shared" si="1"/>
        <v>0</v>
      </c>
      <c r="I19" s="47">
        <f t="shared" si="2"/>
        <v>196000</v>
      </c>
    </row>
    <row r="20" spans="1:9" ht="18" customHeight="1" x14ac:dyDescent="0.2">
      <c r="A20" s="45">
        <v>2.11</v>
      </c>
      <c r="B20" s="39" t="s">
        <v>203</v>
      </c>
      <c r="C20" s="47">
        <v>1</v>
      </c>
      <c r="D20" s="54" t="s">
        <v>185</v>
      </c>
      <c r="E20" s="47">
        <v>92000</v>
      </c>
      <c r="F20" s="47">
        <f t="shared" si="0"/>
        <v>92000</v>
      </c>
      <c r="G20" s="47">
        <v>0</v>
      </c>
      <c r="H20" s="47">
        <f t="shared" si="1"/>
        <v>0</v>
      </c>
      <c r="I20" s="47">
        <f t="shared" si="2"/>
        <v>92000</v>
      </c>
    </row>
    <row r="21" spans="1:9" ht="18" customHeight="1" x14ac:dyDescent="0.2">
      <c r="A21" s="45">
        <v>2.12</v>
      </c>
      <c r="B21" s="39" t="s">
        <v>199</v>
      </c>
      <c r="C21" s="47">
        <v>1</v>
      </c>
      <c r="D21" s="54" t="s">
        <v>185</v>
      </c>
      <c r="E21" s="47">
        <v>66000</v>
      </c>
      <c r="F21" s="47">
        <f t="shared" si="0"/>
        <v>66000</v>
      </c>
      <c r="G21" s="47">
        <v>0</v>
      </c>
      <c r="H21" s="47">
        <f t="shared" si="1"/>
        <v>0</v>
      </c>
      <c r="I21" s="47">
        <f t="shared" si="2"/>
        <v>66000</v>
      </c>
    </row>
    <row r="22" spans="1:9" ht="18" customHeight="1" x14ac:dyDescent="0.2">
      <c r="A22" s="45">
        <v>2.13</v>
      </c>
      <c r="B22" s="39" t="s">
        <v>200</v>
      </c>
      <c r="C22" s="47">
        <v>1</v>
      </c>
      <c r="D22" s="54" t="s">
        <v>185</v>
      </c>
      <c r="E22" s="47">
        <v>71000</v>
      </c>
      <c r="F22" s="47">
        <f t="shared" si="0"/>
        <v>71000</v>
      </c>
      <c r="G22" s="47">
        <v>0</v>
      </c>
      <c r="H22" s="47">
        <f t="shared" si="1"/>
        <v>0</v>
      </c>
      <c r="I22" s="47">
        <f t="shared" si="2"/>
        <v>71000</v>
      </c>
    </row>
    <row r="23" spans="1:9" ht="18" customHeight="1" x14ac:dyDescent="0.2">
      <c r="A23" s="45">
        <v>2.14</v>
      </c>
      <c r="B23" s="39" t="s">
        <v>201</v>
      </c>
      <c r="C23" s="47">
        <v>1</v>
      </c>
      <c r="D23" s="54" t="s">
        <v>185</v>
      </c>
      <c r="E23" s="47">
        <v>71000</v>
      </c>
      <c r="F23" s="47">
        <f t="shared" si="0"/>
        <v>71000</v>
      </c>
      <c r="G23" s="47">
        <v>0</v>
      </c>
      <c r="H23" s="47">
        <f t="shared" si="1"/>
        <v>0</v>
      </c>
      <c r="I23" s="47">
        <f t="shared" si="2"/>
        <v>71000</v>
      </c>
    </row>
    <row r="24" spans="1:9" ht="18" customHeight="1" x14ac:dyDescent="0.2">
      <c r="A24" s="45">
        <v>2.15</v>
      </c>
      <c r="B24" s="39" t="s">
        <v>198</v>
      </c>
      <c r="C24" s="47">
        <v>1</v>
      </c>
      <c r="D24" s="54" t="s">
        <v>185</v>
      </c>
      <c r="E24" s="47">
        <v>71000</v>
      </c>
      <c r="F24" s="47">
        <f t="shared" si="0"/>
        <v>71000</v>
      </c>
      <c r="G24" s="47">
        <v>0</v>
      </c>
      <c r="H24" s="47">
        <f t="shared" si="1"/>
        <v>0</v>
      </c>
      <c r="I24" s="47">
        <f t="shared" si="2"/>
        <v>71000</v>
      </c>
    </row>
    <row r="25" spans="1:9" ht="18" customHeight="1" x14ac:dyDescent="0.2">
      <c r="A25" s="114">
        <v>2.16</v>
      </c>
      <c r="B25" s="39" t="s">
        <v>204</v>
      </c>
      <c r="C25" s="47">
        <v>1</v>
      </c>
      <c r="D25" s="54" t="s">
        <v>185</v>
      </c>
      <c r="E25" s="47">
        <v>71000</v>
      </c>
      <c r="F25" s="47">
        <f t="shared" si="0"/>
        <v>71000</v>
      </c>
      <c r="G25" s="47">
        <v>0</v>
      </c>
      <c r="H25" s="47">
        <f t="shared" si="1"/>
        <v>0</v>
      </c>
      <c r="I25" s="47">
        <f t="shared" si="2"/>
        <v>71000</v>
      </c>
    </row>
    <row r="26" spans="1:9" ht="18" customHeight="1" x14ac:dyDescent="0.2">
      <c r="A26" s="114">
        <v>2.17</v>
      </c>
      <c r="B26" s="39" t="s">
        <v>205</v>
      </c>
      <c r="C26" s="47">
        <v>1</v>
      </c>
      <c r="D26" s="54" t="s">
        <v>185</v>
      </c>
      <c r="E26" s="47">
        <v>196000</v>
      </c>
      <c r="F26" s="47">
        <f t="shared" si="0"/>
        <v>196000</v>
      </c>
      <c r="G26" s="47">
        <v>0</v>
      </c>
      <c r="H26" s="47">
        <f t="shared" si="1"/>
        <v>0</v>
      </c>
      <c r="I26" s="47">
        <f t="shared" si="2"/>
        <v>196000</v>
      </c>
    </row>
    <row r="27" spans="1:9" ht="18" customHeight="1" x14ac:dyDescent="0.2">
      <c r="A27" s="114">
        <v>2.1800000000000002</v>
      </c>
      <c r="B27" s="39" t="s">
        <v>206</v>
      </c>
      <c r="C27" s="47">
        <v>3</v>
      </c>
      <c r="D27" s="54" t="s">
        <v>185</v>
      </c>
      <c r="E27" s="47">
        <v>179000</v>
      </c>
      <c r="F27" s="47">
        <f t="shared" si="0"/>
        <v>537000</v>
      </c>
      <c r="G27" s="47">
        <v>0</v>
      </c>
      <c r="H27" s="47">
        <f t="shared" si="1"/>
        <v>0</v>
      </c>
      <c r="I27" s="47">
        <f t="shared" si="2"/>
        <v>537000</v>
      </c>
    </row>
    <row r="28" spans="1:9" ht="18" customHeight="1" x14ac:dyDescent="0.2">
      <c r="A28" s="114">
        <v>2.19</v>
      </c>
      <c r="B28" s="39" t="s">
        <v>207</v>
      </c>
      <c r="C28" s="47">
        <v>1</v>
      </c>
      <c r="D28" s="54" t="s">
        <v>185</v>
      </c>
      <c r="E28" s="47">
        <v>65000</v>
      </c>
      <c r="F28" s="47">
        <f t="shared" si="0"/>
        <v>65000</v>
      </c>
      <c r="G28" s="47">
        <v>0</v>
      </c>
      <c r="H28" s="47">
        <f t="shared" si="1"/>
        <v>0</v>
      </c>
      <c r="I28" s="47">
        <f t="shared" si="2"/>
        <v>65000</v>
      </c>
    </row>
    <row r="29" spans="1:9" ht="18" customHeight="1" x14ac:dyDescent="0.2">
      <c r="A29" s="114">
        <v>2.2000000000000002</v>
      </c>
      <c r="B29" s="39" t="s">
        <v>312</v>
      </c>
      <c r="C29" s="47">
        <v>1</v>
      </c>
      <c r="D29" s="54" t="s">
        <v>185</v>
      </c>
      <c r="E29" s="47">
        <v>65000</v>
      </c>
      <c r="F29" s="47">
        <f t="shared" si="0"/>
        <v>65000</v>
      </c>
      <c r="G29" s="47">
        <v>0</v>
      </c>
      <c r="H29" s="47">
        <f t="shared" si="1"/>
        <v>0</v>
      </c>
      <c r="I29" s="47">
        <f t="shared" si="2"/>
        <v>65000</v>
      </c>
    </row>
    <row r="30" spans="1:9" ht="18" customHeight="1" x14ac:dyDescent="0.2">
      <c r="A30" s="114">
        <v>2.21</v>
      </c>
      <c r="B30" s="39" t="s">
        <v>208</v>
      </c>
      <c r="C30" s="47">
        <v>1</v>
      </c>
      <c r="D30" s="54" t="s">
        <v>185</v>
      </c>
      <c r="E30" s="47">
        <v>96000</v>
      </c>
      <c r="F30" s="47">
        <f t="shared" si="0"/>
        <v>96000</v>
      </c>
      <c r="G30" s="47">
        <v>0</v>
      </c>
      <c r="H30" s="47">
        <f t="shared" si="1"/>
        <v>0</v>
      </c>
      <c r="I30" s="47">
        <f t="shared" si="2"/>
        <v>96000</v>
      </c>
    </row>
    <row r="31" spans="1:9" ht="18" customHeight="1" x14ac:dyDescent="0.2">
      <c r="A31" s="114">
        <v>2.2200000000000002</v>
      </c>
      <c r="B31" s="39" t="s">
        <v>209</v>
      </c>
      <c r="C31" s="47">
        <v>10</v>
      </c>
      <c r="D31" s="54" t="s">
        <v>186</v>
      </c>
      <c r="E31" s="47">
        <v>800</v>
      </c>
      <c r="F31" s="47">
        <f t="shared" si="0"/>
        <v>8000</v>
      </c>
      <c r="G31" s="47">
        <v>0</v>
      </c>
      <c r="H31" s="47">
        <f t="shared" si="1"/>
        <v>0</v>
      </c>
      <c r="I31" s="47">
        <f t="shared" si="2"/>
        <v>8000</v>
      </c>
    </row>
    <row r="32" spans="1:9" ht="18" customHeight="1" x14ac:dyDescent="0.2">
      <c r="A32" s="114">
        <v>2.23</v>
      </c>
      <c r="B32" s="39" t="s">
        <v>210</v>
      </c>
      <c r="C32" s="47">
        <v>1</v>
      </c>
      <c r="D32" s="54" t="s">
        <v>99</v>
      </c>
      <c r="E32" s="47">
        <v>45000</v>
      </c>
      <c r="F32" s="47">
        <f t="shared" si="0"/>
        <v>45000</v>
      </c>
      <c r="G32" s="47">
        <v>0</v>
      </c>
      <c r="H32" s="47">
        <f t="shared" si="1"/>
        <v>0</v>
      </c>
      <c r="I32" s="47">
        <f t="shared" si="2"/>
        <v>45000</v>
      </c>
    </row>
    <row r="33" spans="1:9" ht="18" customHeight="1" x14ac:dyDescent="0.2">
      <c r="A33" s="114">
        <v>2.2400000000000002</v>
      </c>
      <c r="B33" s="39" t="s">
        <v>236</v>
      </c>
      <c r="C33" s="47">
        <v>2</v>
      </c>
      <c r="D33" s="54" t="s">
        <v>99</v>
      </c>
      <c r="E33" s="47">
        <v>1700</v>
      </c>
      <c r="F33" s="47">
        <f t="shared" si="0"/>
        <v>3400</v>
      </c>
      <c r="G33" s="47">
        <v>0</v>
      </c>
      <c r="H33" s="47">
        <f t="shared" si="1"/>
        <v>0</v>
      </c>
      <c r="I33" s="47">
        <f t="shared" si="2"/>
        <v>3400</v>
      </c>
    </row>
    <row r="34" spans="1:9" ht="18" customHeight="1" x14ac:dyDescent="0.2">
      <c r="A34" s="114">
        <v>2.25</v>
      </c>
      <c r="B34" s="39" t="s">
        <v>211</v>
      </c>
      <c r="C34" s="47">
        <v>1</v>
      </c>
      <c r="D34" s="54" t="s">
        <v>187</v>
      </c>
      <c r="E34" s="47">
        <v>9500</v>
      </c>
      <c r="F34" s="47">
        <f t="shared" si="0"/>
        <v>9500</v>
      </c>
      <c r="G34" s="47">
        <v>0</v>
      </c>
      <c r="H34" s="47">
        <f t="shared" si="1"/>
        <v>0</v>
      </c>
      <c r="I34" s="47">
        <f t="shared" si="2"/>
        <v>9500</v>
      </c>
    </row>
    <row r="35" spans="1:9" ht="18" customHeight="1" x14ac:dyDescent="0.2">
      <c r="A35" s="114">
        <v>2.2599999999999998</v>
      </c>
      <c r="B35" s="39" t="s">
        <v>212</v>
      </c>
      <c r="C35" s="47">
        <v>30</v>
      </c>
      <c r="D35" s="54" t="s">
        <v>186</v>
      </c>
      <c r="E35" s="47">
        <v>800</v>
      </c>
      <c r="F35" s="47">
        <f t="shared" si="0"/>
        <v>24000</v>
      </c>
      <c r="G35" s="47">
        <v>0</v>
      </c>
      <c r="H35" s="47">
        <f t="shared" si="1"/>
        <v>0</v>
      </c>
      <c r="I35" s="47">
        <f t="shared" si="2"/>
        <v>24000</v>
      </c>
    </row>
    <row r="36" spans="1:9" ht="18" customHeight="1" x14ac:dyDescent="0.2">
      <c r="A36" s="114">
        <v>2.27</v>
      </c>
      <c r="B36" s="39" t="s">
        <v>213</v>
      </c>
      <c r="C36" s="47">
        <v>1</v>
      </c>
      <c r="D36" s="54" t="s">
        <v>99</v>
      </c>
      <c r="E36" s="47">
        <v>92000</v>
      </c>
      <c r="F36" s="47">
        <f t="shared" si="0"/>
        <v>92000</v>
      </c>
      <c r="G36" s="47">
        <v>0</v>
      </c>
      <c r="H36" s="47">
        <f t="shared" si="1"/>
        <v>0</v>
      </c>
      <c r="I36" s="47">
        <f t="shared" si="2"/>
        <v>92000</v>
      </c>
    </row>
    <row r="37" spans="1:9" ht="18" customHeight="1" x14ac:dyDescent="0.2">
      <c r="A37" s="114">
        <v>2.2799999999999998</v>
      </c>
      <c r="B37" s="39" t="s">
        <v>214</v>
      </c>
      <c r="C37" s="47">
        <v>3</v>
      </c>
      <c r="D37" s="54" t="s">
        <v>188</v>
      </c>
      <c r="E37" s="47">
        <v>900</v>
      </c>
      <c r="F37" s="47">
        <f t="shared" si="0"/>
        <v>2700</v>
      </c>
      <c r="G37" s="47">
        <v>0</v>
      </c>
      <c r="H37" s="47">
        <f t="shared" si="1"/>
        <v>0</v>
      </c>
      <c r="I37" s="47">
        <f t="shared" si="2"/>
        <v>2700</v>
      </c>
    </row>
    <row r="38" spans="1:9" ht="18" customHeight="1" x14ac:dyDescent="0.2">
      <c r="A38" s="114">
        <v>2.29</v>
      </c>
      <c r="B38" s="39" t="s">
        <v>215</v>
      </c>
      <c r="C38" s="47">
        <v>20</v>
      </c>
      <c r="D38" s="54" t="s">
        <v>99</v>
      </c>
      <c r="E38" s="47">
        <v>6900</v>
      </c>
      <c r="F38" s="47">
        <f t="shared" si="0"/>
        <v>138000</v>
      </c>
      <c r="G38" s="47">
        <v>0</v>
      </c>
      <c r="H38" s="47">
        <f t="shared" si="1"/>
        <v>0</v>
      </c>
      <c r="I38" s="47">
        <f t="shared" si="2"/>
        <v>138000</v>
      </c>
    </row>
    <row r="39" spans="1:9" ht="18" customHeight="1" x14ac:dyDescent="0.2">
      <c r="A39" s="114">
        <v>2.2999999999999998</v>
      </c>
      <c r="B39" s="39" t="s">
        <v>430</v>
      </c>
      <c r="C39" s="47">
        <v>20</v>
      </c>
      <c r="D39" s="54" t="s">
        <v>99</v>
      </c>
      <c r="E39" s="47">
        <v>4990</v>
      </c>
      <c r="F39" s="47">
        <f t="shared" si="0"/>
        <v>99800</v>
      </c>
      <c r="G39" s="47">
        <v>0</v>
      </c>
      <c r="H39" s="47">
        <f t="shared" si="1"/>
        <v>0</v>
      </c>
      <c r="I39" s="47">
        <f t="shared" si="2"/>
        <v>99800</v>
      </c>
    </row>
    <row r="40" spans="1:9" ht="18" customHeight="1" x14ac:dyDescent="0.2">
      <c r="A40" s="114">
        <v>2.31</v>
      </c>
      <c r="B40" s="39" t="s">
        <v>431</v>
      </c>
      <c r="C40" s="47">
        <v>20</v>
      </c>
      <c r="D40" s="54" t="s">
        <v>99</v>
      </c>
      <c r="E40" s="47">
        <v>4990</v>
      </c>
      <c r="F40" s="47">
        <f t="shared" si="0"/>
        <v>99800</v>
      </c>
      <c r="G40" s="47">
        <v>0</v>
      </c>
      <c r="H40" s="47">
        <f t="shared" si="1"/>
        <v>0</v>
      </c>
      <c r="I40" s="47">
        <f t="shared" si="2"/>
        <v>99800</v>
      </c>
    </row>
    <row r="41" spans="1:9" ht="18" customHeight="1" x14ac:dyDescent="0.2">
      <c r="A41" s="114">
        <v>2.3199999999999998</v>
      </c>
      <c r="B41" s="39" t="s">
        <v>432</v>
      </c>
      <c r="C41" s="47">
        <v>20</v>
      </c>
      <c r="D41" s="54" t="s">
        <v>99</v>
      </c>
      <c r="E41" s="47">
        <v>4990</v>
      </c>
      <c r="F41" s="47">
        <f t="shared" si="0"/>
        <v>99800</v>
      </c>
      <c r="G41" s="47">
        <v>0</v>
      </c>
      <c r="H41" s="47">
        <f t="shared" si="1"/>
        <v>0</v>
      </c>
      <c r="I41" s="47">
        <f t="shared" si="2"/>
        <v>99800</v>
      </c>
    </row>
    <row r="42" spans="1:9" ht="18" customHeight="1" x14ac:dyDescent="0.2">
      <c r="A42" s="114">
        <v>2.33</v>
      </c>
      <c r="B42" s="39" t="s">
        <v>216</v>
      </c>
      <c r="C42" s="47">
        <v>10</v>
      </c>
      <c r="D42" s="54" t="s">
        <v>99</v>
      </c>
      <c r="E42" s="47">
        <v>58</v>
      </c>
      <c r="F42" s="47">
        <f t="shared" si="0"/>
        <v>580</v>
      </c>
      <c r="G42" s="47">
        <v>0</v>
      </c>
      <c r="H42" s="47">
        <f t="shared" si="1"/>
        <v>0</v>
      </c>
      <c r="I42" s="47">
        <f t="shared" si="2"/>
        <v>580</v>
      </c>
    </row>
    <row r="43" spans="1:9" ht="18" customHeight="1" x14ac:dyDescent="0.2">
      <c r="A43" s="114">
        <v>2.34</v>
      </c>
      <c r="B43" s="39" t="s">
        <v>217</v>
      </c>
      <c r="C43" s="47">
        <v>10</v>
      </c>
      <c r="D43" s="54" t="s">
        <v>142</v>
      </c>
      <c r="E43" s="47">
        <v>300</v>
      </c>
      <c r="F43" s="47">
        <f t="shared" si="0"/>
        <v>3000</v>
      </c>
      <c r="G43" s="47">
        <v>0</v>
      </c>
      <c r="H43" s="47">
        <f t="shared" si="1"/>
        <v>0</v>
      </c>
      <c r="I43" s="47">
        <f t="shared" si="2"/>
        <v>3000</v>
      </c>
    </row>
    <row r="44" spans="1:9" ht="18" customHeight="1" x14ac:dyDescent="0.2">
      <c r="A44" s="114">
        <v>2.35</v>
      </c>
      <c r="B44" s="39" t="s">
        <v>433</v>
      </c>
      <c r="C44" s="47">
        <v>2</v>
      </c>
      <c r="D44" s="54" t="s">
        <v>187</v>
      </c>
      <c r="E44" s="47">
        <v>9500</v>
      </c>
      <c r="F44" s="47">
        <f t="shared" si="0"/>
        <v>19000</v>
      </c>
      <c r="G44" s="47">
        <v>0</v>
      </c>
      <c r="H44" s="47">
        <f t="shared" si="1"/>
        <v>0</v>
      </c>
      <c r="I44" s="47">
        <f t="shared" si="2"/>
        <v>19000</v>
      </c>
    </row>
    <row r="45" spans="1:9" ht="18" customHeight="1" x14ac:dyDescent="0.2">
      <c r="A45" s="114">
        <v>2.36</v>
      </c>
      <c r="B45" s="39" t="s">
        <v>218</v>
      </c>
      <c r="C45" s="47">
        <v>10</v>
      </c>
      <c r="D45" s="54" t="s">
        <v>186</v>
      </c>
      <c r="E45" s="47">
        <v>358</v>
      </c>
      <c r="F45" s="47">
        <f t="shared" si="0"/>
        <v>3580</v>
      </c>
      <c r="G45" s="47">
        <v>0</v>
      </c>
      <c r="H45" s="47">
        <f t="shared" si="1"/>
        <v>0</v>
      </c>
      <c r="I45" s="47">
        <f t="shared" si="2"/>
        <v>3580</v>
      </c>
    </row>
    <row r="46" spans="1:9" ht="18" customHeight="1" x14ac:dyDescent="0.2">
      <c r="A46" s="114">
        <v>2.37</v>
      </c>
      <c r="B46" s="39" t="s">
        <v>219</v>
      </c>
      <c r="C46" s="47">
        <v>10</v>
      </c>
      <c r="D46" s="54" t="s">
        <v>186</v>
      </c>
      <c r="E46" s="47">
        <v>368</v>
      </c>
      <c r="F46" s="47">
        <f t="shared" si="0"/>
        <v>3680</v>
      </c>
      <c r="G46" s="47">
        <v>0</v>
      </c>
      <c r="H46" s="47">
        <f t="shared" si="1"/>
        <v>0</v>
      </c>
      <c r="I46" s="47">
        <f t="shared" si="2"/>
        <v>3680</v>
      </c>
    </row>
    <row r="47" spans="1:9" ht="18" customHeight="1" x14ac:dyDescent="0.2">
      <c r="A47" s="114">
        <v>2.38</v>
      </c>
      <c r="B47" s="39" t="s">
        <v>220</v>
      </c>
      <c r="C47" s="47">
        <v>10</v>
      </c>
      <c r="D47" s="54" t="s">
        <v>186</v>
      </c>
      <c r="E47" s="47">
        <v>468</v>
      </c>
      <c r="F47" s="47">
        <f t="shared" si="0"/>
        <v>4680</v>
      </c>
      <c r="G47" s="47">
        <v>0</v>
      </c>
      <c r="H47" s="47">
        <f t="shared" si="1"/>
        <v>0</v>
      </c>
      <c r="I47" s="47">
        <f t="shared" si="2"/>
        <v>4680</v>
      </c>
    </row>
    <row r="48" spans="1:9" ht="18" customHeight="1" x14ac:dyDescent="0.2">
      <c r="A48" s="114">
        <v>2.39</v>
      </c>
      <c r="B48" s="39" t="s">
        <v>221</v>
      </c>
      <c r="C48" s="47">
        <v>10</v>
      </c>
      <c r="D48" s="54" t="s">
        <v>186</v>
      </c>
      <c r="E48" s="47">
        <v>448</v>
      </c>
      <c r="F48" s="47">
        <f t="shared" si="0"/>
        <v>4480</v>
      </c>
      <c r="G48" s="47">
        <v>0</v>
      </c>
      <c r="H48" s="47">
        <f t="shared" si="1"/>
        <v>0</v>
      </c>
      <c r="I48" s="47">
        <f t="shared" si="2"/>
        <v>4480</v>
      </c>
    </row>
    <row r="49" spans="1:9" ht="18" customHeight="1" x14ac:dyDescent="0.2">
      <c r="A49" s="114">
        <v>2.4</v>
      </c>
      <c r="B49" s="39" t="s">
        <v>222</v>
      </c>
      <c r="C49" s="47">
        <v>1</v>
      </c>
      <c r="D49" s="54" t="s">
        <v>188</v>
      </c>
      <c r="E49" s="47">
        <v>748</v>
      </c>
      <c r="F49" s="47">
        <f t="shared" si="0"/>
        <v>748</v>
      </c>
      <c r="G49" s="47">
        <v>0</v>
      </c>
      <c r="H49" s="47">
        <f t="shared" si="1"/>
        <v>0</v>
      </c>
      <c r="I49" s="47">
        <f t="shared" si="2"/>
        <v>748</v>
      </c>
    </row>
    <row r="50" spans="1:9" ht="18" customHeight="1" x14ac:dyDescent="0.2">
      <c r="A50" s="114">
        <v>2.41</v>
      </c>
      <c r="B50" s="39" t="s">
        <v>223</v>
      </c>
      <c r="C50" s="47">
        <v>2</v>
      </c>
      <c r="D50" s="54" t="s">
        <v>99</v>
      </c>
      <c r="E50" s="47">
        <v>92000</v>
      </c>
      <c r="F50" s="47">
        <f t="shared" si="0"/>
        <v>184000</v>
      </c>
      <c r="G50" s="47">
        <v>0</v>
      </c>
      <c r="H50" s="47">
        <f t="shared" si="1"/>
        <v>0</v>
      </c>
      <c r="I50" s="47">
        <f t="shared" si="2"/>
        <v>184000</v>
      </c>
    </row>
    <row r="51" spans="1:9" ht="18" customHeight="1" x14ac:dyDescent="0.2">
      <c r="A51" s="114">
        <v>2.4199999999999902</v>
      </c>
      <c r="B51" s="39" t="s">
        <v>224</v>
      </c>
      <c r="C51" s="47">
        <v>20</v>
      </c>
      <c r="D51" s="54" t="s">
        <v>186</v>
      </c>
      <c r="E51" s="47">
        <v>800</v>
      </c>
      <c r="F51" s="47">
        <f t="shared" si="0"/>
        <v>16000</v>
      </c>
      <c r="G51" s="47">
        <v>0</v>
      </c>
      <c r="H51" s="47">
        <f t="shared" si="1"/>
        <v>0</v>
      </c>
      <c r="I51" s="47">
        <f t="shared" si="2"/>
        <v>16000</v>
      </c>
    </row>
    <row r="52" spans="1:9" ht="18" customHeight="1" x14ac:dyDescent="0.2">
      <c r="A52" s="114">
        <v>2.4299999999999899</v>
      </c>
      <c r="B52" s="42" t="s">
        <v>225</v>
      </c>
      <c r="C52" s="47">
        <v>20</v>
      </c>
      <c r="D52" s="54" t="s">
        <v>186</v>
      </c>
      <c r="E52" s="47">
        <v>450</v>
      </c>
      <c r="F52" s="47">
        <f t="shared" si="0"/>
        <v>9000</v>
      </c>
      <c r="G52" s="47">
        <v>0</v>
      </c>
      <c r="H52" s="47">
        <f t="shared" si="1"/>
        <v>0</v>
      </c>
      <c r="I52" s="47">
        <f t="shared" si="2"/>
        <v>9000</v>
      </c>
    </row>
    <row r="53" spans="1:9" ht="18" customHeight="1" x14ac:dyDescent="0.2">
      <c r="A53" s="114">
        <v>2.44</v>
      </c>
      <c r="B53" s="42" t="s">
        <v>434</v>
      </c>
      <c r="C53" s="47">
        <v>1</v>
      </c>
      <c r="D53" s="54" t="s">
        <v>99</v>
      </c>
      <c r="E53" s="47">
        <v>1810000</v>
      </c>
      <c r="F53" s="47">
        <f t="shared" si="0"/>
        <v>1810000</v>
      </c>
      <c r="G53" s="47">
        <v>0</v>
      </c>
      <c r="H53" s="47">
        <f t="shared" si="1"/>
        <v>0</v>
      </c>
      <c r="I53" s="47">
        <f t="shared" si="2"/>
        <v>1810000</v>
      </c>
    </row>
    <row r="54" spans="1:9" s="29" customFormat="1" ht="18" customHeight="1" thickBot="1" x14ac:dyDescent="0.25">
      <c r="A54" s="111"/>
      <c r="B54" s="90" t="s">
        <v>226</v>
      </c>
      <c r="C54" s="88"/>
      <c r="D54" s="89"/>
      <c r="E54" s="88"/>
      <c r="F54" s="88">
        <f>SUM(F10:F53)</f>
        <v>5103748</v>
      </c>
      <c r="G54" s="88"/>
      <c r="H54" s="88">
        <f>SUM(H10:H53)</f>
        <v>0</v>
      </c>
      <c r="I54" s="88">
        <f>SUM(I10:I53)</f>
        <v>5103748</v>
      </c>
    </row>
    <row r="55" spans="1:9" ht="18" customHeight="1" thickTop="1" x14ac:dyDescent="0.2">
      <c r="A55" s="112"/>
      <c r="B55" s="28" t="s">
        <v>314</v>
      </c>
      <c r="D55" s="28"/>
    </row>
    <row r="56" spans="1:9" ht="18" customHeight="1" x14ac:dyDescent="0.2">
      <c r="A56" s="112"/>
      <c r="D56" s="28"/>
    </row>
    <row r="57" spans="1:9" ht="18" customHeight="1" x14ac:dyDescent="0.2">
      <c r="A57" s="112"/>
      <c r="D57" s="28"/>
    </row>
    <row r="58" spans="1:9" ht="18" customHeight="1" x14ac:dyDescent="0.2">
      <c r="A58" s="112"/>
      <c r="D58" s="28"/>
    </row>
    <row r="59" spans="1:9" ht="18" customHeight="1" x14ac:dyDescent="0.2">
      <c r="A59" s="112"/>
      <c r="D59" s="28"/>
    </row>
    <row r="60" spans="1:9" ht="18" customHeight="1" x14ac:dyDescent="0.2">
      <c r="A60" s="112"/>
      <c r="D60" s="28"/>
    </row>
    <row r="61" spans="1:9" ht="18" customHeight="1" x14ac:dyDescent="0.2">
      <c r="A61" s="112"/>
      <c r="D61" s="28"/>
    </row>
    <row r="62" spans="1:9" ht="18" customHeight="1" x14ac:dyDescent="0.2">
      <c r="A62" s="112"/>
      <c r="D62" s="28"/>
    </row>
    <row r="63" spans="1:9" ht="18" customHeight="1" x14ac:dyDescent="0.2">
      <c r="A63" s="112"/>
      <c r="D63" s="28"/>
    </row>
    <row r="64" spans="1:9" ht="18" customHeight="1" x14ac:dyDescent="0.2">
      <c r="A64" s="112"/>
      <c r="D64" s="28"/>
    </row>
    <row r="65" spans="1:4" ht="18" customHeight="1" x14ac:dyDescent="0.2">
      <c r="A65" s="112"/>
      <c r="D65" s="28"/>
    </row>
    <row r="66" spans="1:4" ht="18" customHeight="1" x14ac:dyDescent="0.2">
      <c r="A66" s="112"/>
      <c r="D66" s="28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honeticPr fontId="9" type="noConversion"/>
  <pageMargins left="0.69685039370078738" right="0.69685039370078738" top="0.74803149606299213" bottom="0.74803149606299213" header="0.31496062992125984" footer="0.31496062992125984"/>
  <pageSetup paperSize="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286D4-390D-48CF-BBD1-F35CE0E24730}">
  <sheetPr>
    <tabColor rgb="FFFF66FF"/>
  </sheetPr>
  <dimension ref="A1:M27"/>
  <sheetViews>
    <sheetView view="pageBreakPreview" zoomScaleNormal="100" zoomScaleSheetLayoutView="100" workbookViewId="0">
      <selection activeCell="E7" sqref="E7:F7"/>
    </sheetView>
  </sheetViews>
  <sheetFormatPr defaultRowHeight="18" customHeight="1" x14ac:dyDescent="0.2"/>
  <cols>
    <col min="1" max="1" width="5.625" style="43" customWidth="1"/>
    <col min="2" max="2" width="42.125" style="28" customWidth="1"/>
    <col min="3" max="3" width="9.375" style="28" customWidth="1"/>
    <col min="4" max="4" width="6.875" style="43" customWidth="1"/>
    <col min="5" max="5" width="10" style="28" customWidth="1"/>
    <col min="6" max="6" width="13.125" style="28" customWidth="1"/>
    <col min="7" max="7" width="10" style="28" customWidth="1"/>
    <col min="8" max="9" width="13.125" style="28" customWidth="1"/>
    <col min="10" max="11" width="9" style="28"/>
    <col min="12" max="13" width="9" style="28" customWidth="1"/>
    <col min="14" max="16384" width="9" style="28"/>
  </cols>
  <sheetData>
    <row r="1" spans="1:13" ht="18" customHeight="1" x14ac:dyDescent="0.2">
      <c r="A1" s="280" t="s">
        <v>403</v>
      </c>
      <c r="B1" s="280"/>
      <c r="C1" s="280"/>
      <c r="D1" s="280"/>
      <c r="E1" s="280"/>
      <c r="F1" s="280"/>
      <c r="G1" s="280"/>
      <c r="H1" s="280"/>
      <c r="I1" s="280"/>
      <c r="J1" s="29"/>
      <c r="K1" s="29"/>
      <c r="L1" s="29"/>
      <c r="M1" s="29"/>
    </row>
    <row r="2" spans="1:13" ht="18" customHeight="1" x14ac:dyDescent="0.2">
      <c r="A2" s="280" t="s">
        <v>0</v>
      </c>
      <c r="B2" s="280"/>
      <c r="C2" s="280"/>
      <c r="D2" s="280"/>
      <c r="E2" s="280"/>
      <c r="F2" s="280"/>
      <c r="G2" s="280"/>
      <c r="H2" s="280"/>
      <c r="I2" s="280"/>
      <c r="J2" s="29"/>
      <c r="K2" s="29"/>
      <c r="L2" s="29"/>
      <c r="M2" s="29"/>
    </row>
    <row r="3" spans="1:13" ht="18" customHeight="1" x14ac:dyDescent="0.2">
      <c r="A3" s="280" t="s">
        <v>40</v>
      </c>
      <c r="B3" s="280"/>
      <c r="C3" s="280"/>
      <c r="D3" s="280"/>
      <c r="E3" s="280"/>
      <c r="F3" s="280"/>
      <c r="G3" s="280"/>
      <c r="H3" s="280"/>
      <c r="I3" s="280"/>
      <c r="J3" s="29"/>
      <c r="K3" s="29"/>
      <c r="L3" s="29"/>
      <c r="M3" s="29"/>
    </row>
    <row r="4" spans="1:13" s="36" customFormat="1" ht="18" customHeight="1" x14ac:dyDescent="0.2">
      <c r="A4" s="36" t="str">
        <f>ปร.5!A4</f>
        <v>โครงการ   ก่อสร้างสนามกีฬาชุมชน</v>
      </c>
      <c r="D4" s="43"/>
    </row>
    <row r="5" spans="1:13" s="36" customFormat="1" ht="18" customHeight="1" x14ac:dyDescent="0.2">
      <c r="A5" s="36" t="str">
        <f>ปร.5!A5</f>
        <v>สถานที่   โรงเรียนหรเทพ (รุ่งเรืองประชาสามัคคี) ตำบลหรเทพ อำเภอบ้านหมอ จังหวัดสระบุรี</v>
      </c>
      <c r="D5" s="43"/>
    </row>
    <row r="6" spans="1:13" s="36" customFormat="1" ht="18" customHeight="1" x14ac:dyDescent="0.2">
      <c r="A6" s="36" t="s">
        <v>429</v>
      </c>
      <c r="D6" s="43"/>
    </row>
    <row r="7" spans="1:13" ht="18" customHeight="1" x14ac:dyDescent="0.2">
      <c r="A7" s="281" t="s">
        <v>32</v>
      </c>
      <c r="B7" s="281" t="s">
        <v>30</v>
      </c>
      <c r="C7" s="281" t="s">
        <v>33</v>
      </c>
      <c r="D7" s="281" t="s">
        <v>31</v>
      </c>
      <c r="E7" s="281" t="s">
        <v>34</v>
      </c>
      <c r="F7" s="281"/>
      <c r="G7" s="281" t="s">
        <v>35</v>
      </c>
      <c r="H7" s="281"/>
      <c r="I7" s="282" t="s">
        <v>36</v>
      </c>
    </row>
    <row r="8" spans="1:13" ht="18" customHeight="1" x14ac:dyDescent="0.2">
      <c r="A8" s="281"/>
      <c r="B8" s="281"/>
      <c r="C8" s="281"/>
      <c r="D8" s="281"/>
      <c r="E8" s="33" t="s">
        <v>37</v>
      </c>
      <c r="F8" s="34" t="s">
        <v>38</v>
      </c>
      <c r="G8" s="33" t="s">
        <v>37</v>
      </c>
      <c r="H8" s="34" t="s">
        <v>39</v>
      </c>
      <c r="I8" s="282"/>
    </row>
    <row r="9" spans="1:13" s="29" customFormat="1" ht="18" customHeight="1" x14ac:dyDescent="0.2">
      <c r="A9" s="100">
        <v>3</v>
      </c>
      <c r="B9" s="115" t="s">
        <v>162</v>
      </c>
      <c r="C9" s="115"/>
      <c r="D9" s="100"/>
      <c r="E9" s="101"/>
      <c r="F9" s="101"/>
      <c r="G9" s="101"/>
      <c r="H9" s="101"/>
      <c r="I9" s="101"/>
    </row>
    <row r="10" spans="1:13" ht="18" customHeight="1" x14ac:dyDescent="0.2">
      <c r="A10" s="45">
        <v>3.1</v>
      </c>
      <c r="B10" s="39" t="s">
        <v>163</v>
      </c>
      <c r="C10" s="47">
        <v>2</v>
      </c>
      <c r="D10" s="54" t="s">
        <v>159</v>
      </c>
      <c r="E10" s="47">
        <v>8000</v>
      </c>
      <c r="F10" s="47">
        <f t="shared" ref="F10:F14" si="0">C10*E10</f>
        <v>16000</v>
      </c>
      <c r="G10" s="47">
        <v>0</v>
      </c>
      <c r="H10" s="47">
        <f t="shared" ref="H10:H13" si="1">C10*G10</f>
        <v>0</v>
      </c>
      <c r="I10" s="47">
        <f t="shared" ref="I10:I13" si="2">F10+H10</f>
        <v>16000</v>
      </c>
    </row>
    <row r="11" spans="1:13" ht="18" customHeight="1" x14ac:dyDescent="0.2">
      <c r="A11" s="45">
        <v>3.2</v>
      </c>
      <c r="B11" s="42" t="s">
        <v>164</v>
      </c>
      <c r="C11" s="47">
        <v>8</v>
      </c>
      <c r="D11" s="54" t="s">
        <v>159</v>
      </c>
      <c r="E11" s="47">
        <v>8000</v>
      </c>
      <c r="F11" s="47">
        <f t="shared" si="0"/>
        <v>64000</v>
      </c>
      <c r="G11" s="47">
        <v>0</v>
      </c>
      <c r="H11" s="47">
        <f t="shared" si="1"/>
        <v>0</v>
      </c>
      <c r="I11" s="47">
        <f t="shared" si="2"/>
        <v>64000</v>
      </c>
    </row>
    <row r="12" spans="1:13" ht="18" customHeight="1" x14ac:dyDescent="0.2">
      <c r="A12" s="45">
        <v>3.3</v>
      </c>
      <c r="B12" s="91" t="s">
        <v>160</v>
      </c>
      <c r="C12" s="47">
        <v>329</v>
      </c>
      <c r="D12" s="54" t="s">
        <v>104</v>
      </c>
      <c r="E12" s="57">
        <v>1175</v>
      </c>
      <c r="F12" s="47">
        <f t="shared" si="0"/>
        <v>386575</v>
      </c>
      <c r="G12" s="47">
        <v>0</v>
      </c>
      <c r="H12" s="47">
        <f t="shared" si="1"/>
        <v>0</v>
      </c>
      <c r="I12" s="47">
        <f t="shared" si="2"/>
        <v>386575</v>
      </c>
    </row>
    <row r="13" spans="1:13" ht="18" customHeight="1" x14ac:dyDescent="0.2">
      <c r="A13" s="45">
        <v>3.4</v>
      </c>
      <c r="B13" s="42" t="s">
        <v>406</v>
      </c>
      <c r="C13" s="47">
        <v>170</v>
      </c>
      <c r="D13" s="265" t="s">
        <v>159</v>
      </c>
      <c r="E13" s="99">
        <v>500</v>
      </c>
      <c r="F13" s="47">
        <f t="shared" si="0"/>
        <v>85000</v>
      </c>
      <c r="G13" s="47">
        <v>0</v>
      </c>
      <c r="H13" s="47">
        <f t="shared" si="1"/>
        <v>0</v>
      </c>
      <c r="I13" s="47">
        <f t="shared" si="2"/>
        <v>85000</v>
      </c>
    </row>
    <row r="14" spans="1:13" ht="18" customHeight="1" x14ac:dyDescent="0.2">
      <c r="A14" s="95">
        <v>3.5</v>
      </c>
      <c r="B14" s="266" t="s">
        <v>407</v>
      </c>
      <c r="C14" s="97">
        <v>30</v>
      </c>
      <c r="D14" s="267" t="s">
        <v>408</v>
      </c>
      <c r="E14" s="268">
        <v>1500</v>
      </c>
      <c r="F14" s="97">
        <f t="shared" si="0"/>
        <v>45000</v>
      </c>
      <c r="G14" s="97">
        <v>0</v>
      </c>
      <c r="H14" s="97">
        <f t="shared" ref="H14" si="3">C14*G14</f>
        <v>0</v>
      </c>
      <c r="I14" s="97">
        <f t="shared" ref="I14" si="4">F14+H14</f>
        <v>45000</v>
      </c>
    </row>
    <row r="15" spans="1:13" s="29" customFormat="1" ht="18" customHeight="1" thickBot="1" x14ac:dyDescent="0.25">
      <c r="A15" s="87"/>
      <c r="B15" s="90" t="s">
        <v>184</v>
      </c>
      <c r="C15" s="88"/>
      <c r="D15" s="89"/>
      <c r="E15" s="88"/>
      <c r="F15" s="88">
        <f>SUM(F10:F14)</f>
        <v>596575</v>
      </c>
      <c r="G15" s="88"/>
      <c r="H15" s="88">
        <f>SUM(H10:H13)</f>
        <v>0</v>
      </c>
      <c r="I15" s="88">
        <f>SUM(I10:I14)</f>
        <v>596575</v>
      </c>
    </row>
    <row r="16" spans="1:13" ht="18" customHeight="1" thickTop="1" x14ac:dyDescent="0.2">
      <c r="A16" s="28"/>
      <c r="D16" s="28"/>
    </row>
    <row r="17" spans="1:6" ht="18" customHeight="1" x14ac:dyDescent="0.2">
      <c r="A17" s="28"/>
      <c r="D17" s="28"/>
    </row>
    <row r="18" spans="1:6" ht="18" customHeight="1" x14ac:dyDescent="0.2">
      <c r="A18" s="28"/>
      <c r="C18" s="98"/>
      <c r="D18" s="98"/>
      <c r="E18" s="98"/>
      <c r="F18" s="108"/>
    </row>
    <row r="19" spans="1:6" ht="18" customHeight="1" x14ac:dyDescent="0.2">
      <c r="A19" s="28"/>
      <c r="D19" s="28"/>
    </row>
    <row r="20" spans="1:6" ht="18" customHeight="1" x14ac:dyDescent="0.2">
      <c r="A20" s="28"/>
      <c r="D20" s="28"/>
    </row>
    <row r="21" spans="1:6" ht="18" customHeight="1" x14ac:dyDescent="0.2">
      <c r="A21" s="28"/>
      <c r="D21" s="28"/>
    </row>
    <row r="22" spans="1:6" ht="18" customHeight="1" x14ac:dyDescent="0.2">
      <c r="A22" s="28"/>
      <c r="D22" s="28"/>
    </row>
    <row r="23" spans="1:6" ht="18" customHeight="1" x14ac:dyDescent="0.2">
      <c r="A23" s="28"/>
      <c r="D23" s="28"/>
    </row>
    <row r="24" spans="1:6" ht="18" customHeight="1" x14ac:dyDescent="0.2">
      <c r="A24" s="28"/>
      <c r="D24" s="28"/>
    </row>
    <row r="25" spans="1:6" ht="18" customHeight="1" x14ac:dyDescent="0.2">
      <c r="A25" s="28"/>
      <c r="D25" s="28"/>
    </row>
    <row r="26" spans="1:6" ht="18" customHeight="1" x14ac:dyDescent="0.2">
      <c r="A26" s="28"/>
      <c r="D26" s="28"/>
    </row>
    <row r="27" spans="1:6" ht="18" customHeight="1" x14ac:dyDescent="0.2">
      <c r="A27" s="28"/>
      <c r="D27" s="28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9E03-CC9C-4B9F-B3AF-9B3E4AEF5405}">
  <sheetPr>
    <tabColor theme="5"/>
  </sheetPr>
  <dimension ref="A1:I38"/>
  <sheetViews>
    <sheetView view="pageBreakPreview" zoomScaleNormal="100" zoomScaleSheetLayoutView="100" workbookViewId="0">
      <selection activeCell="F19" sqref="F19"/>
    </sheetView>
  </sheetViews>
  <sheetFormatPr defaultRowHeight="18.75" customHeight="1" x14ac:dyDescent="0.2"/>
  <cols>
    <col min="1" max="1" width="6.875" style="28" customWidth="1"/>
    <col min="2" max="3" width="8.75" style="28" customWidth="1"/>
    <col min="4" max="4" width="13.125" style="28" customWidth="1"/>
    <col min="5" max="5" width="12.125" style="28" customWidth="1"/>
    <col min="6" max="6" width="13.125" style="28" customWidth="1"/>
    <col min="7" max="8" width="7.5" style="28" customWidth="1"/>
    <col min="9" max="9" width="4.375" style="28" customWidth="1"/>
    <col min="10" max="16384" width="9" style="28"/>
  </cols>
  <sheetData>
    <row r="1" spans="1:9" ht="18.75" customHeight="1" x14ac:dyDescent="0.2">
      <c r="A1" s="273" t="s">
        <v>290</v>
      </c>
      <c r="B1" s="273"/>
      <c r="C1" s="273"/>
      <c r="D1" s="273"/>
      <c r="E1" s="273"/>
      <c r="F1" s="273"/>
      <c r="G1" s="273"/>
      <c r="H1" s="273"/>
      <c r="I1" s="273"/>
    </row>
    <row r="2" spans="1:9" ht="18.75" customHeight="1" x14ac:dyDescent="0.2">
      <c r="A2" s="273" t="s">
        <v>0</v>
      </c>
      <c r="B2" s="273"/>
      <c r="C2" s="273"/>
      <c r="D2" s="273"/>
      <c r="E2" s="273"/>
      <c r="F2" s="273"/>
      <c r="G2" s="273"/>
      <c r="H2" s="273"/>
      <c r="I2" s="273"/>
    </row>
    <row r="3" spans="1:9" ht="17.25" customHeight="1" x14ac:dyDescent="0.2">
      <c r="A3" s="2"/>
      <c r="B3" s="3"/>
      <c r="C3" s="3"/>
      <c r="D3" s="3"/>
      <c r="E3" s="3"/>
      <c r="F3" s="3"/>
      <c r="G3" s="3"/>
      <c r="H3" s="3"/>
      <c r="I3" s="3"/>
    </row>
    <row r="4" spans="1:9" ht="18.75" customHeight="1" x14ac:dyDescent="0.2">
      <c r="A4" s="4" t="s">
        <v>291</v>
      </c>
      <c r="B4" s="5"/>
      <c r="C4" s="5"/>
      <c r="D4" s="5"/>
      <c r="E4" s="5"/>
      <c r="F4" s="5"/>
      <c r="G4" s="5"/>
      <c r="H4" s="5"/>
      <c r="I4" s="5"/>
    </row>
    <row r="5" spans="1:9" ht="18.75" customHeight="1" x14ac:dyDescent="0.2">
      <c r="A5" s="5" t="s">
        <v>367</v>
      </c>
      <c r="B5" s="5"/>
      <c r="C5" s="6"/>
      <c r="D5" s="6"/>
      <c r="E5" s="6"/>
      <c r="F5" s="1"/>
      <c r="G5" s="1"/>
      <c r="H5" s="5"/>
      <c r="I5" s="5"/>
    </row>
    <row r="6" spans="1:9" ht="18.75" customHeight="1" x14ac:dyDescent="0.2">
      <c r="A6" s="5" t="s">
        <v>292</v>
      </c>
      <c r="B6" s="5"/>
      <c r="C6" s="5"/>
      <c r="D6" s="5"/>
      <c r="E6" s="5"/>
      <c r="G6" s="7" t="s">
        <v>1</v>
      </c>
      <c r="H6" s="6" t="s">
        <v>319</v>
      </c>
      <c r="I6" s="6">
        <v>2567</v>
      </c>
    </row>
    <row r="7" spans="1:9" ht="18.75" customHeight="1" x14ac:dyDescent="0.2">
      <c r="A7" s="5"/>
      <c r="B7" s="5"/>
      <c r="C7" s="5"/>
      <c r="D7" s="5"/>
      <c r="E7" s="5"/>
      <c r="G7" s="7" t="s">
        <v>2</v>
      </c>
      <c r="H7" s="6" t="s">
        <v>319</v>
      </c>
      <c r="I7" s="6">
        <v>2567</v>
      </c>
    </row>
    <row r="8" spans="1:9" ht="41.25" customHeight="1" x14ac:dyDescent="0.2">
      <c r="A8" s="8" t="s">
        <v>3</v>
      </c>
      <c r="B8" s="274" t="s">
        <v>30</v>
      </c>
      <c r="C8" s="275"/>
      <c r="D8" s="191" t="s">
        <v>316</v>
      </c>
      <c r="E8" s="180" t="s">
        <v>4</v>
      </c>
      <c r="F8" s="9" t="s">
        <v>315</v>
      </c>
      <c r="G8" s="274" t="s">
        <v>5</v>
      </c>
      <c r="H8" s="276"/>
      <c r="I8" s="275"/>
    </row>
    <row r="9" spans="1:9" ht="18.75" customHeight="1" x14ac:dyDescent="0.2">
      <c r="A9" s="10">
        <v>1</v>
      </c>
      <c r="B9" s="181" t="s">
        <v>320</v>
      </c>
      <c r="C9" s="182"/>
      <c r="D9" s="185">
        <f>'ปร.4 งานก่อสร้าง'!I13</f>
        <v>8937065.5200000014</v>
      </c>
      <c r="E9" s="193">
        <v>1.2357</v>
      </c>
      <c r="F9" s="185">
        <f>D9*E9</f>
        <v>11043531.863064002</v>
      </c>
      <c r="G9" s="277" t="s">
        <v>4</v>
      </c>
      <c r="H9" s="278"/>
      <c r="I9" s="279"/>
    </row>
    <row r="10" spans="1:9" ht="18.75" customHeight="1" x14ac:dyDescent="0.2">
      <c r="A10" s="12">
        <v>2</v>
      </c>
      <c r="B10" s="13" t="s">
        <v>157</v>
      </c>
      <c r="C10" s="183"/>
      <c r="D10" s="186">
        <f>ครุภัณฑ์!I54</f>
        <v>5103748</v>
      </c>
      <c r="E10" s="189">
        <v>1</v>
      </c>
      <c r="F10" s="187">
        <f>D10*E10</f>
        <v>5103748</v>
      </c>
      <c r="G10" s="11" t="s">
        <v>6</v>
      </c>
      <c r="I10" s="14">
        <v>7.0000000000000007E-2</v>
      </c>
    </row>
    <row r="11" spans="1:9" ht="18.75" customHeight="1" x14ac:dyDescent="0.2">
      <c r="A11" s="12">
        <v>3</v>
      </c>
      <c r="B11" s="13" t="s">
        <v>162</v>
      </c>
      <c r="C11" s="184"/>
      <c r="D11" s="186">
        <f>ค่าใช้จ่ายพิเศษ!I15</f>
        <v>596575</v>
      </c>
      <c r="E11" s="194">
        <v>1</v>
      </c>
      <c r="F11" s="186">
        <f>D11*E11</f>
        <v>596575</v>
      </c>
      <c r="G11" s="15" t="s">
        <v>7</v>
      </c>
      <c r="I11" s="14">
        <v>7.0000000000000007E-2</v>
      </c>
    </row>
    <row r="12" spans="1:9" ht="18.75" customHeight="1" x14ac:dyDescent="0.2">
      <c r="A12" s="11"/>
      <c r="B12" s="11"/>
      <c r="C12" s="24"/>
      <c r="D12" s="187"/>
      <c r="E12" s="195"/>
      <c r="F12" s="187"/>
      <c r="G12" s="11" t="s">
        <v>8</v>
      </c>
      <c r="I12" s="14">
        <v>0</v>
      </c>
    </row>
    <row r="13" spans="1:9" ht="18.75" customHeight="1" x14ac:dyDescent="0.2">
      <c r="A13" s="11"/>
      <c r="B13" s="11"/>
      <c r="C13" s="24"/>
      <c r="D13" s="187"/>
      <c r="E13" s="195"/>
      <c r="F13" s="187"/>
      <c r="G13" s="11" t="s">
        <v>9</v>
      </c>
      <c r="I13" s="14">
        <v>0</v>
      </c>
    </row>
    <row r="14" spans="1:9" ht="18.75" customHeight="1" x14ac:dyDescent="0.2">
      <c r="A14" s="16"/>
      <c r="B14" s="16"/>
      <c r="C14" s="22"/>
      <c r="D14" s="192"/>
      <c r="E14" s="190"/>
      <c r="F14" s="188"/>
      <c r="G14" s="15" t="s">
        <v>338</v>
      </c>
      <c r="I14" s="18"/>
    </row>
    <row r="15" spans="1:9" ht="18.75" customHeight="1" x14ac:dyDescent="0.2">
      <c r="A15" s="19" t="s">
        <v>10</v>
      </c>
      <c r="B15" s="1"/>
      <c r="C15" s="5"/>
      <c r="D15" s="20" t="s">
        <v>11</v>
      </c>
      <c r="E15" s="20"/>
      <c r="F15" s="21">
        <f>SUM(F9:F14)</f>
        <v>16743854.863064002</v>
      </c>
      <c r="G15" s="21"/>
      <c r="H15" s="17" t="s">
        <v>12</v>
      </c>
      <c r="I15" s="22"/>
    </row>
    <row r="16" spans="1:9" ht="18.75" customHeight="1" thickBot="1" x14ac:dyDescent="0.25">
      <c r="A16" s="11"/>
      <c r="B16" s="5"/>
      <c r="C16" s="5"/>
      <c r="D16" s="20" t="s">
        <v>13</v>
      </c>
      <c r="E16" s="20"/>
      <c r="F16" s="23">
        <f>IF(F15&lt;10000000,ROUNDDOWN(F15,-3),ROUNDDOWN(F15,-4))</f>
        <v>16740000</v>
      </c>
      <c r="G16" s="179"/>
      <c r="H16" s="5" t="s">
        <v>12</v>
      </c>
      <c r="I16" s="24"/>
    </row>
    <row r="17" spans="1:9" ht="18.75" customHeight="1" thickTop="1" x14ac:dyDescent="0.2">
      <c r="A17" s="16"/>
      <c r="B17" s="17"/>
      <c r="C17" s="17" t="s">
        <v>14</v>
      </c>
      <c r="D17" s="25" t="str">
        <f>BAHTTEXT(F16)</f>
        <v>สิบหกล้านเจ็ดแสนสี่หมื่นบาทถ้วน</v>
      </c>
      <c r="E17" s="17"/>
      <c r="F17" s="17"/>
      <c r="G17" s="17"/>
      <c r="H17" s="17"/>
      <c r="I17" s="22"/>
    </row>
    <row r="18" spans="1:9" ht="18.75" customHeight="1" x14ac:dyDescent="0.2">
      <c r="A18" s="196" t="s">
        <v>317</v>
      </c>
      <c r="B18" s="5"/>
      <c r="C18" s="26">
        <f>F16/(1812+1558)</f>
        <v>4967.359050445104</v>
      </c>
      <c r="D18" s="5" t="s">
        <v>318</v>
      </c>
      <c r="E18" s="5"/>
      <c r="F18" s="5"/>
      <c r="G18" s="5"/>
      <c r="H18" s="5"/>
      <c r="I18" s="5"/>
    </row>
    <row r="19" spans="1:9" ht="18.75" customHeight="1" x14ac:dyDescent="0.2">
      <c r="A19" s="20"/>
      <c r="B19" s="5"/>
      <c r="C19" s="27"/>
      <c r="D19" s="20"/>
      <c r="E19" s="5"/>
      <c r="F19" s="5"/>
      <c r="G19" s="5"/>
      <c r="H19" s="5"/>
      <c r="I19" s="5"/>
    </row>
    <row r="20" spans="1:9" ht="18.75" customHeight="1" x14ac:dyDescent="0.2">
      <c r="A20" s="5"/>
      <c r="B20" s="7"/>
      <c r="C20" s="5" t="s">
        <v>15</v>
      </c>
      <c r="D20" s="5"/>
      <c r="E20" s="5"/>
      <c r="F20" s="173" t="s">
        <v>233</v>
      </c>
      <c r="I20" s="5"/>
    </row>
    <row r="21" spans="1:9" ht="18.75" customHeight="1" x14ac:dyDescent="0.2">
      <c r="A21" s="5"/>
      <c r="B21" s="5"/>
      <c r="C21" s="5"/>
      <c r="D21" s="272" t="s">
        <v>234</v>
      </c>
      <c r="E21" s="272"/>
      <c r="F21" s="174" t="s">
        <v>16</v>
      </c>
      <c r="I21" s="5"/>
    </row>
    <row r="22" spans="1:9" ht="18.75" customHeight="1" x14ac:dyDescent="0.2">
      <c r="A22" s="5"/>
      <c r="B22" s="5"/>
      <c r="C22" s="5"/>
      <c r="D22" s="272" t="s">
        <v>232</v>
      </c>
      <c r="E22" s="272"/>
      <c r="F22" s="197"/>
      <c r="I22" s="5"/>
    </row>
    <row r="23" spans="1:9" ht="18.75" customHeight="1" x14ac:dyDescent="0.2">
      <c r="A23" s="5"/>
      <c r="B23" s="5"/>
      <c r="C23" s="5"/>
      <c r="D23" s="6"/>
      <c r="E23" s="6"/>
      <c r="F23" s="173"/>
      <c r="I23" s="5"/>
    </row>
    <row r="24" spans="1:9" ht="18.75" customHeight="1" x14ac:dyDescent="0.2">
      <c r="A24" s="5"/>
      <c r="B24" s="7"/>
      <c r="C24" s="5" t="s">
        <v>17</v>
      </c>
      <c r="D24" s="6"/>
      <c r="E24" s="6"/>
      <c r="F24" s="173" t="s">
        <v>18</v>
      </c>
      <c r="I24" s="5"/>
    </row>
    <row r="25" spans="1:9" ht="18.75" customHeight="1" x14ac:dyDescent="0.2">
      <c r="A25" s="5"/>
      <c r="B25" s="7"/>
      <c r="C25" s="6"/>
      <c r="D25" s="272" t="s">
        <v>231</v>
      </c>
      <c r="E25" s="272"/>
      <c r="F25" s="173"/>
      <c r="I25" s="5"/>
    </row>
    <row r="26" spans="1:9" ht="18.75" customHeight="1" x14ac:dyDescent="0.2">
      <c r="A26" s="5"/>
      <c r="B26" s="7"/>
      <c r="C26" s="6"/>
      <c r="D26" s="272" t="s">
        <v>230</v>
      </c>
      <c r="E26" s="272"/>
      <c r="F26" s="173"/>
      <c r="I26" s="5"/>
    </row>
    <row r="27" spans="1:9" ht="18.75" customHeight="1" x14ac:dyDescent="0.2">
      <c r="A27" s="5"/>
      <c r="B27" s="7"/>
      <c r="C27" s="6"/>
      <c r="D27" s="6"/>
      <c r="E27" s="6"/>
      <c r="F27" s="173"/>
      <c r="I27" s="5"/>
    </row>
    <row r="28" spans="1:9" ht="18.75" customHeight="1" x14ac:dyDescent="0.2">
      <c r="A28" s="5"/>
      <c r="B28" s="7"/>
      <c r="C28" s="31" t="s">
        <v>19</v>
      </c>
      <c r="D28" s="6"/>
      <c r="E28" s="6"/>
      <c r="F28" s="198" t="s">
        <v>20</v>
      </c>
      <c r="I28" s="5"/>
    </row>
    <row r="29" spans="1:9" ht="18.75" customHeight="1" x14ac:dyDescent="0.2">
      <c r="A29" s="5"/>
      <c r="B29" s="7"/>
      <c r="C29" s="5"/>
      <c r="D29" s="271" t="s">
        <v>21</v>
      </c>
      <c r="E29" s="271"/>
      <c r="F29" s="197"/>
      <c r="I29" s="5"/>
    </row>
    <row r="30" spans="1:9" ht="18.75" customHeight="1" x14ac:dyDescent="0.2">
      <c r="A30" s="5"/>
      <c r="B30" s="7"/>
      <c r="C30" s="5"/>
      <c r="D30" s="270" t="s">
        <v>22</v>
      </c>
      <c r="E30" s="270"/>
      <c r="F30" s="197"/>
      <c r="I30" s="5"/>
    </row>
    <row r="31" spans="1:9" ht="18.75" customHeight="1" x14ac:dyDescent="0.2">
      <c r="A31" s="5"/>
      <c r="B31" s="7"/>
      <c r="C31" s="5"/>
      <c r="D31" s="32"/>
      <c r="E31" s="5"/>
      <c r="F31" s="173"/>
      <c r="I31" s="5"/>
    </row>
    <row r="32" spans="1:9" ht="18.75" customHeight="1" x14ac:dyDescent="0.2">
      <c r="A32" s="5"/>
      <c r="B32" s="7"/>
      <c r="C32" s="31" t="s">
        <v>19</v>
      </c>
      <c r="D32" s="5"/>
      <c r="E32" s="5"/>
      <c r="F32" s="173" t="s">
        <v>23</v>
      </c>
      <c r="I32" s="5"/>
    </row>
    <row r="33" spans="1:9" ht="18.75" customHeight="1" x14ac:dyDescent="0.2">
      <c r="A33" s="5"/>
      <c r="B33" s="7"/>
      <c r="C33" s="5"/>
      <c r="D33" s="271" t="s">
        <v>24</v>
      </c>
      <c r="E33" s="271"/>
      <c r="F33" s="199"/>
      <c r="I33" s="5"/>
    </row>
    <row r="34" spans="1:9" ht="18.75" customHeight="1" x14ac:dyDescent="0.2">
      <c r="A34" s="5"/>
      <c r="B34" s="7"/>
      <c r="C34" s="5"/>
      <c r="D34" s="270" t="s">
        <v>25</v>
      </c>
      <c r="E34" s="270"/>
      <c r="F34" s="174"/>
      <c r="I34" s="5"/>
    </row>
    <row r="35" spans="1:9" ht="18.75" customHeight="1" x14ac:dyDescent="0.2">
      <c r="A35" s="5"/>
      <c r="B35" s="7"/>
      <c r="C35" s="5"/>
      <c r="D35" s="5"/>
      <c r="E35" s="5"/>
      <c r="F35" s="173"/>
      <c r="I35" s="5"/>
    </row>
    <row r="36" spans="1:9" ht="18.75" customHeight="1" x14ac:dyDescent="0.2">
      <c r="A36" s="5"/>
      <c r="B36" s="7"/>
      <c r="C36" s="31" t="s">
        <v>26</v>
      </c>
      <c r="D36" s="5"/>
      <c r="E36" s="5"/>
      <c r="F36" s="173" t="s">
        <v>27</v>
      </c>
      <c r="I36" s="5"/>
    </row>
    <row r="37" spans="1:9" ht="18.75" customHeight="1" x14ac:dyDescent="0.2">
      <c r="A37" s="5"/>
      <c r="B37" s="5"/>
      <c r="C37" s="5"/>
      <c r="D37" s="271" t="s">
        <v>28</v>
      </c>
      <c r="E37" s="271"/>
      <c r="F37" s="30"/>
      <c r="I37" s="5"/>
    </row>
    <row r="38" spans="1:9" ht="18.75" customHeight="1" x14ac:dyDescent="0.2">
      <c r="A38" s="5"/>
      <c r="B38" s="5"/>
      <c r="C38" s="5"/>
      <c r="D38" s="270" t="s">
        <v>29</v>
      </c>
      <c r="E38" s="270"/>
      <c r="F38" s="178"/>
      <c r="G38" s="178"/>
      <c r="H38" s="30"/>
      <c r="I38" s="5"/>
    </row>
  </sheetData>
  <mergeCells count="15">
    <mergeCell ref="D30:E30"/>
    <mergeCell ref="D33:E33"/>
    <mergeCell ref="D34:E34"/>
    <mergeCell ref="D37:E37"/>
    <mergeCell ref="D38:E38"/>
    <mergeCell ref="A1:I1"/>
    <mergeCell ref="A2:I2"/>
    <mergeCell ref="D25:E25"/>
    <mergeCell ref="D26:E26"/>
    <mergeCell ref="D29:E29"/>
    <mergeCell ref="D21:E21"/>
    <mergeCell ref="D22:E22"/>
    <mergeCell ref="G8:I8"/>
    <mergeCell ref="B8:C8"/>
    <mergeCell ref="G9:I9"/>
  </mergeCells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EDE039-DEB1-4C46-BB03-E5216E9F9F19}">
  <dimension ref="A1:AA161"/>
  <sheetViews>
    <sheetView topLeftCell="A58" zoomScaleNormal="100" workbookViewId="0">
      <selection activeCell="G32" sqref="G32"/>
    </sheetView>
  </sheetViews>
  <sheetFormatPr defaultRowHeight="18.75" x14ac:dyDescent="0.2"/>
  <cols>
    <col min="1" max="1" width="10.5" style="98" customWidth="1"/>
    <col min="2" max="2" width="10.375" style="98" customWidth="1"/>
    <col min="3" max="3" width="11.125" style="172" customWidth="1"/>
    <col min="4" max="4" width="12.625" style="98" customWidth="1"/>
    <col min="5" max="5" width="3.125" style="172" customWidth="1"/>
    <col min="6" max="6" width="9.375" style="98" customWidth="1"/>
    <col min="7" max="7" width="6.25" style="172" customWidth="1"/>
    <col min="8" max="8" width="3.125" style="98" customWidth="1"/>
    <col min="9" max="9" width="18.75" style="98" customWidth="1"/>
    <col min="10" max="10" width="7.5" style="227" customWidth="1"/>
    <col min="11" max="11" width="3.125" style="227" customWidth="1"/>
    <col min="12" max="12" width="7.5" style="227" customWidth="1"/>
    <col min="13" max="13" width="3.125" style="227" customWidth="1"/>
    <col min="14" max="14" width="7.5" style="227" customWidth="1"/>
    <col min="15" max="15" width="3.125" style="227" customWidth="1"/>
    <col min="16" max="16" width="9.375" style="227" customWidth="1"/>
    <col min="17" max="17" width="6.25" style="98" customWidth="1"/>
    <col min="18" max="18" width="3.125" style="98" customWidth="1"/>
    <col min="19" max="19" width="9" style="98" customWidth="1"/>
    <col min="20" max="20" width="3.125" style="98" customWidth="1"/>
    <col min="21" max="21" width="9" style="98" customWidth="1"/>
    <col min="22" max="22" width="6.25" style="98" customWidth="1"/>
    <col min="23" max="23" width="3.125" style="98" customWidth="1"/>
    <col min="24" max="24" width="13.125" style="98" customWidth="1"/>
    <col min="25" max="25" width="3.125" style="172" customWidth="1"/>
    <col min="26" max="26" width="9" style="98"/>
    <col min="27" max="27" width="6.25" style="98" customWidth="1"/>
    <col min="28" max="16384" width="9" style="98"/>
  </cols>
  <sheetData>
    <row r="1" spans="1:27" x14ac:dyDescent="0.2">
      <c r="A1" s="174" t="s">
        <v>324</v>
      </c>
      <c r="B1" s="174"/>
      <c r="C1" s="174"/>
      <c r="D1" s="174"/>
      <c r="E1" s="174"/>
      <c r="F1" s="174"/>
      <c r="G1" s="174"/>
    </row>
    <row r="2" spans="1:27" x14ac:dyDescent="0.2">
      <c r="A2" s="98" t="s">
        <v>42</v>
      </c>
      <c r="B2" s="176">
        <v>45.3</v>
      </c>
      <c r="C2" s="177" t="s">
        <v>293</v>
      </c>
      <c r="D2" s="176">
        <v>40</v>
      </c>
      <c r="E2" s="172" t="s">
        <v>243</v>
      </c>
      <c r="F2" s="175">
        <f>B2*D2</f>
        <v>1812</v>
      </c>
      <c r="G2" s="172" t="s">
        <v>91</v>
      </c>
    </row>
    <row r="3" spans="1:27" x14ac:dyDescent="0.2">
      <c r="T3" s="172"/>
    </row>
    <row r="4" spans="1:27" x14ac:dyDescent="0.2">
      <c r="A4" s="98" t="s">
        <v>294</v>
      </c>
      <c r="T4" s="172"/>
    </row>
    <row r="5" spans="1:27" x14ac:dyDescent="0.2">
      <c r="A5" s="98" t="s">
        <v>42</v>
      </c>
      <c r="B5" s="98">
        <f>B2-0.9-0.9</f>
        <v>43.5</v>
      </c>
      <c r="C5" s="172" t="s">
        <v>293</v>
      </c>
      <c r="D5" s="98">
        <f>D2-0.9-0.9</f>
        <v>38.200000000000003</v>
      </c>
      <c r="E5" s="172" t="s">
        <v>243</v>
      </c>
      <c r="F5" s="176">
        <f>B5*D5</f>
        <v>1661.7</v>
      </c>
      <c r="G5" s="172" t="s">
        <v>91</v>
      </c>
      <c r="I5" s="200" t="s">
        <v>321</v>
      </c>
      <c r="J5" s="227">
        <v>1</v>
      </c>
      <c r="K5" s="228" t="s">
        <v>293</v>
      </c>
      <c r="L5" s="227">
        <v>38</v>
      </c>
      <c r="M5" s="228" t="s">
        <v>293</v>
      </c>
      <c r="N5" s="227">
        <v>18</v>
      </c>
      <c r="O5" s="229" t="s">
        <v>243</v>
      </c>
      <c r="P5" s="227">
        <f>J5*L5*N5</f>
        <v>684</v>
      </c>
      <c r="Q5" s="172" t="s">
        <v>91</v>
      </c>
      <c r="S5" s="98" t="s">
        <v>42</v>
      </c>
      <c r="T5" s="172" t="s">
        <v>243</v>
      </c>
      <c r="U5" s="98">
        <f>1060.025+30.9</f>
        <v>1090.9250000000002</v>
      </c>
      <c r="V5" s="172" t="s">
        <v>91</v>
      </c>
      <c r="X5" s="98" t="s">
        <v>325</v>
      </c>
      <c r="Y5" s="172" t="s">
        <v>243</v>
      </c>
      <c r="Z5" s="98">
        <f>U5-P5</f>
        <v>406.92500000000018</v>
      </c>
      <c r="AA5" s="172" t="s">
        <v>91</v>
      </c>
    </row>
    <row r="6" spans="1:27" x14ac:dyDescent="0.2">
      <c r="A6" s="98" t="s">
        <v>297</v>
      </c>
      <c r="E6" s="172" t="s">
        <v>243</v>
      </c>
      <c r="F6" s="175">
        <f>F5*0.2</f>
        <v>332.34000000000003</v>
      </c>
      <c r="G6" s="172" t="s">
        <v>88</v>
      </c>
      <c r="I6" s="98" t="s">
        <v>326</v>
      </c>
      <c r="S6" s="98" t="s">
        <v>355</v>
      </c>
    </row>
    <row r="7" spans="1:27" x14ac:dyDescent="0.2">
      <c r="A7" s="98" t="s">
        <v>295</v>
      </c>
      <c r="E7" s="172" t="s">
        <v>243</v>
      </c>
      <c r="F7" s="175">
        <f>F5</f>
        <v>1661.7</v>
      </c>
      <c r="G7" s="172" t="s">
        <v>91</v>
      </c>
      <c r="I7" s="98" t="s">
        <v>335</v>
      </c>
    </row>
    <row r="8" spans="1:27" x14ac:dyDescent="0.2">
      <c r="I8" s="98" t="s">
        <v>336</v>
      </c>
      <c r="T8" s="172"/>
    </row>
    <row r="9" spans="1:27" x14ac:dyDescent="0.2">
      <c r="A9" s="98" t="s">
        <v>296</v>
      </c>
      <c r="I9" s="98" t="s">
        <v>334</v>
      </c>
      <c r="T9" s="172"/>
    </row>
    <row r="10" spans="1:27" x14ac:dyDescent="0.2">
      <c r="A10" s="98" t="s">
        <v>42</v>
      </c>
      <c r="E10" s="172" t="s">
        <v>243</v>
      </c>
      <c r="F10" s="175">
        <f>F2-F5</f>
        <v>150.29999999999995</v>
      </c>
      <c r="G10" s="172" t="s">
        <v>91</v>
      </c>
      <c r="I10" s="98" t="s">
        <v>327</v>
      </c>
    </row>
    <row r="12" spans="1:27" x14ac:dyDescent="0.2">
      <c r="A12" s="98" t="s">
        <v>298</v>
      </c>
      <c r="E12" s="172" t="s">
        <v>243</v>
      </c>
      <c r="F12" s="175">
        <f>ROUNDUP(F24,0)</f>
        <v>240</v>
      </c>
      <c r="G12" s="172" t="s">
        <v>311</v>
      </c>
      <c r="I12" s="200" t="s">
        <v>322</v>
      </c>
      <c r="J12" s="227">
        <v>1</v>
      </c>
      <c r="K12" s="228" t="s">
        <v>293</v>
      </c>
      <c r="L12" s="227">
        <v>9</v>
      </c>
      <c r="M12" s="228" t="s">
        <v>293</v>
      </c>
      <c r="N12" s="227">
        <v>18</v>
      </c>
      <c r="O12" s="229" t="s">
        <v>243</v>
      </c>
      <c r="P12" s="227">
        <f>J12*L12*N12</f>
        <v>162</v>
      </c>
      <c r="Q12" s="172" t="s">
        <v>91</v>
      </c>
      <c r="S12" s="98" t="s">
        <v>42</v>
      </c>
      <c r="T12" s="172" t="s">
        <v>243</v>
      </c>
      <c r="U12" s="98">
        <v>331.39</v>
      </c>
      <c r="V12" s="172" t="s">
        <v>91</v>
      </c>
      <c r="X12" s="98" t="s">
        <v>325</v>
      </c>
      <c r="Y12" s="172" t="s">
        <v>243</v>
      </c>
      <c r="Z12" s="98">
        <f>U12-P12</f>
        <v>169.39</v>
      </c>
      <c r="AA12" s="172" t="s">
        <v>91</v>
      </c>
    </row>
    <row r="13" spans="1:27" x14ac:dyDescent="0.2">
      <c r="A13" s="98" t="s">
        <v>300</v>
      </c>
      <c r="B13" s="98">
        <v>43.5</v>
      </c>
      <c r="E13" s="172" t="s">
        <v>243</v>
      </c>
      <c r="F13" s="98">
        <v>44</v>
      </c>
      <c r="G13" s="172" t="s">
        <v>104</v>
      </c>
      <c r="I13" s="200" t="s">
        <v>323</v>
      </c>
      <c r="J13" s="227">
        <v>1</v>
      </c>
      <c r="K13" s="228" t="s">
        <v>293</v>
      </c>
      <c r="L13" s="227">
        <v>6.1</v>
      </c>
      <c r="M13" s="228" t="s">
        <v>293</v>
      </c>
      <c r="N13" s="227">
        <v>13.4</v>
      </c>
      <c r="O13" s="229" t="s">
        <v>243</v>
      </c>
      <c r="P13" s="227">
        <f>J13*L13*N13</f>
        <v>81.739999999999995</v>
      </c>
      <c r="Q13" s="172" t="s">
        <v>91</v>
      </c>
      <c r="S13" s="98" t="s">
        <v>42</v>
      </c>
      <c r="T13" s="172" t="s">
        <v>243</v>
      </c>
      <c r="U13" s="98">
        <v>239.38499999999999</v>
      </c>
      <c r="V13" s="172" t="s">
        <v>91</v>
      </c>
      <c r="X13" s="98" t="s">
        <v>325</v>
      </c>
      <c r="Y13" s="172" t="s">
        <v>243</v>
      </c>
      <c r="Z13" s="98">
        <f>U13-P13</f>
        <v>157.64499999999998</v>
      </c>
      <c r="AA13" s="172" t="s">
        <v>91</v>
      </c>
    </row>
    <row r="14" spans="1:27" x14ac:dyDescent="0.2">
      <c r="A14" s="98" t="s">
        <v>301</v>
      </c>
      <c r="B14" s="98">
        <v>38.200000000000003</v>
      </c>
      <c r="E14" s="172" t="s">
        <v>243</v>
      </c>
      <c r="F14" s="98">
        <v>39</v>
      </c>
      <c r="G14" s="172" t="s">
        <v>104</v>
      </c>
      <c r="I14" s="98" t="s">
        <v>326</v>
      </c>
    </row>
    <row r="15" spans="1:27" x14ac:dyDescent="0.2">
      <c r="A15" s="98" t="s">
        <v>302</v>
      </c>
      <c r="B15" s="98">
        <v>43.5</v>
      </c>
      <c r="E15" s="172" t="s">
        <v>243</v>
      </c>
      <c r="F15" s="98">
        <v>44</v>
      </c>
      <c r="G15" s="172" t="s">
        <v>104</v>
      </c>
      <c r="I15" s="98" t="s">
        <v>328</v>
      </c>
      <c r="L15" s="227" t="s">
        <v>329</v>
      </c>
    </row>
    <row r="16" spans="1:27" x14ac:dyDescent="0.2">
      <c r="A16" s="98" t="s">
        <v>303</v>
      </c>
      <c r="B16" s="98">
        <v>38.200000000000003</v>
      </c>
      <c r="E16" s="172" t="s">
        <v>243</v>
      </c>
      <c r="F16" s="98">
        <v>39</v>
      </c>
      <c r="G16" s="172" t="s">
        <v>104</v>
      </c>
      <c r="L16" s="227" t="s">
        <v>330</v>
      </c>
    </row>
    <row r="17" spans="1:20" x14ac:dyDescent="0.2">
      <c r="A17" s="98" t="s">
        <v>304</v>
      </c>
      <c r="B17" s="98">
        <v>5.15</v>
      </c>
      <c r="E17" s="172" t="s">
        <v>243</v>
      </c>
      <c r="F17" s="98">
        <v>6</v>
      </c>
      <c r="G17" s="172" t="s">
        <v>104</v>
      </c>
      <c r="L17" s="227" t="s">
        <v>331</v>
      </c>
    </row>
    <row r="18" spans="1:20" x14ac:dyDescent="0.2">
      <c r="A18" s="98" t="s">
        <v>305</v>
      </c>
      <c r="B18" s="98">
        <v>6</v>
      </c>
      <c r="E18" s="172" t="s">
        <v>243</v>
      </c>
      <c r="F18" s="98">
        <v>6</v>
      </c>
      <c r="G18" s="172" t="s">
        <v>104</v>
      </c>
      <c r="L18" s="227" t="s">
        <v>332</v>
      </c>
    </row>
    <row r="19" spans="1:20" x14ac:dyDescent="0.2">
      <c r="A19" s="98" t="s">
        <v>306</v>
      </c>
      <c r="B19" s="98">
        <v>5.15</v>
      </c>
      <c r="E19" s="172" t="s">
        <v>243</v>
      </c>
      <c r="F19" s="98">
        <v>6</v>
      </c>
      <c r="G19" s="172" t="s">
        <v>104</v>
      </c>
      <c r="L19" s="227" t="s">
        <v>333</v>
      </c>
    </row>
    <row r="20" spans="1:20" x14ac:dyDescent="0.2">
      <c r="A20" s="98" t="s">
        <v>307</v>
      </c>
      <c r="B20" s="98">
        <v>23.1</v>
      </c>
      <c r="E20" s="172" t="s">
        <v>243</v>
      </c>
      <c r="F20" s="98">
        <v>24</v>
      </c>
      <c r="G20" s="172" t="s">
        <v>104</v>
      </c>
      <c r="I20" s="98" t="s">
        <v>334</v>
      </c>
    </row>
    <row r="21" spans="1:20" x14ac:dyDescent="0.2">
      <c r="A21" s="98" t="s">
        <v>308</v>
      </c>
      <c r="B21" s="98">
        <v>2.5</v>
      </c>
      <c r="E21" s="172" t="s">
        <v>243</v>
      </c>
      <c r="F21" s="98">
        <v>3</v>
      </c>
      <c r="G21" s="172" t="s">
        <v>104</v>
      </c>
      <c r="I21" s="98" t="s">
        <v>327</v>
      </c>
    </row>
    <row r="22" spans="1:20" x14ac:dyDescent="0.2">
      <c r="A22" s="98" t="s">
        <v>309</v>
      </c>
      <c r="B22" s="98">
        <v>15.25</v>
      </c>
      <c r="E22" s="172" t="s">
        <v>243</v>
      </c>
      <c r="F22" s="98">
        <v>16</v>
      </c>
      <c r="G22" s="172" t="s">
        <v>104</v>
      </c>
    </row>
    <row r="23" spans="1:20" x14ac:dyDescent="0.2">
      <c r="A23" s="98" t="s">
        <v>310</v>
      </c>
      <c r="B23" s="98">
        <v>12.6</v>
      </c>
      <c r="E23" s="172" t="s">
        <v>243</v>
      </c>
      <c r="F23" s="98">
        <v>13</v>
      </c>
      <c r="G23" s="172" t="s">
        <v>104</v>
      </c>
    </row>
    <row r="24" spans="1:20" x14ac:dyDescent="0.2">
      <c r="A24" s="98" t="s">
        <v>299</v>
      </c>
      <c r="E24" s="172" t="s">
        <v>243</v>
      </c>
      <c r="F24" s="176">
        <f>SUM(F13:F23)</f>
        <v>240</v>
      </c>
      <c r="G24" s="172" t="s">
        <v>104</v>
      </c>
    </row>
    <row r="25" spans="1:20" x14ac:dyDescent="0.2">
      <c r="F25" s="176"/>
    </row>
    <row r="26" spans="1:20" x14ac:dyDescent="0.2">
      <c r="F26" s="176"/>
    </row>
    <row r="28" spans="1:20" x14ac:dyDescent="0.2">
      <c r="A28" s="174" t="s">
        <v>337</v>
      </c>
      <c r="B28" s="174"/>
      <c r="C28" s="174"/>
      <c r="D28" s="174"/>
      <c r="E28" s="174"/>
      <c r="F28" s="174"/>
      <c r="G28" s="174"/>
    </row>
    <row r="29" spans="1:20" x14ac:dyDescent="0.2">
      <c r="A29" s="98" t="s">
        <v>16</v>
      </c>
      <c r="B29" s="176">
        <f>18*27</f>
        <v>486</v>
      </c>
      <c r="C29" s="177" t="s">
        <v>339</v>
      </c>
      <c r="D29" s="176">
        <f>40*26.8</f>
        <v>1072</v>
      </c>
      <c r="E29" s="172" t="s">
        <v>243</v>
      </c>
      <c r="F29" s="175">
        <f>B29+D29</f>
        <v>1558</v>
      </c>
      <c r="G29" s="172" t="s">
        <v>91</v>
      </c>
    </row>
    <row r="30" spans="1:20" x14ac:dyDescent="0.2">
      <c r="T30" s="172"/>
    </row>
    <row r="31" spans="1:20" x14ac:dyDescent="0.2">
      <c r="A31" s="98" t="s">
        <v>342</v>
      </c>
      <c r="T31" s="172"/>
    </row>
    <row r="32" spans="1:20" x14ac:dyDescent="0.2">
      <c r="T32" s="172"/>
    </row>
    <row r="33" spans="1:27" x14ac:dyDescent="0.2">
      <c r="A33" s="98" t="s">
        <v>341</v>
      </c>
      <c r="B33" s="98">
        <v>2</v>
      </c>
      <c r="C33" s="172" t="s">
        <v>293</v>
      </c>
      <c r="D33" s="98">
        <v>6.2</v>
      </c>
      <c r="E33" s="172" t="s">
        <v>293</v>
      </c>
      <c r="F33" s="98">
        <v>17.399999999999999</v>
      </c>
      <c r="G33" s="172" t="s">
        <v>104</v>
      </c>
      <c r="H33" s="98" t="s">
        <v>243</v>
      </c>
      <c r="I33" s="98">
        <f>B33*D33*F33</f>
        <v>215.76</v>
      </c>
      <c r="J33" s="229" t="s">
        <v>91</v>
      </c>
      <c r="T33" s="172"/>
    </row>
    <row r="34" spans="1:27" x14ac:dyDescent="0.2">
      <c r="T34" s="172"/>
    </row>
    <row r="35" spans="1:27" x14ac:dyDescent="0.2">
      <c r="A35" s="98" t="s">
        <v>42</v>
      </c>
      <c r="B35" s="98">
        <v>437.4</v>
      </c>
      <c r="C35" s="172" t="s">
        <v>339</v>
      </c>
      <c r="D35" s="98">
        <v>955</v>
      </c>
      <c r="E35" s="172" t="s">
        <v>243</v>
      </c>
      <c r="F35" s="176">
        <f>B35+D35-I33</f>
        <v>1176.6400000000001</v>
      </c>
      <c r="G35" s="172" t="s">
        <v>91</v>
      </c>
      <c r="I35" s="200" t="s">
        <v>341</v>
      </c>
      <c r="J35" s="227">
        <v>2</v>
      </c>
      <c r="K35" s="228" t="s">
        <v>293</v>
      </c>
      <c r="L35" s="227">
        <v>6.2</v>
      </c>
      <c r="M35" s="228" t="s">
        <v>293</v>
      </c>
      <c r="N35" s="227">
        <v>17.399999999999999</v>
      </c>
      <c r="O35" s="229" t="s">
        <v>243</v>
      </c>
      <c r="P35" s="227">
        <f>J35*L35*N35</f>
        <v>215.76</v>
      </c>
      <c r="Q35" s="172" t="s">
        <v>91</v>
      </c>
      <c r="S35" s="98" t="s">
        <v>42</v>
      </c>
      <c r="T35" s="172" t="s">
        <v>243</v>
      </c>
      <c r="U35" s="98">
        <f>B35</f>
        <v>437.4</v>
      </c>
      <c r="V35" s="172" t="s">
        <v>91</v>
      </c>
      <c r="X35" s="98" t="s">
        <v>325</v>
      </c>
      <c r="Y35" s="172" t="s">
        <v>243</v>
      </c>
      <c r="Z35" s="98">
        <f>U35-P35</f>
        <v>221.64</v>
      </c>
      <c r="AA35" s="172" t="s">
        <v>91</v>
      </c>
    </row>
    <row r="36" spans="1:27" x14ac:dyDescent="0.2">
      <c r="A36" s="98" t="s">
        <v>340</v>
      </c>
      <c r="E36" s="172" t="s">
        <v>243</v>
      </c>
      <c r="F36" s="175">
        <f>F35*0.12</f>
        <v>141.1968</v>
      </c>
      <c r="G36" s="172" t="s">
        <v>88</v>
      </c>
      <c r="I36" s="98" t="s">
        <v>344</v>
      </c>
    </row>
    <row r="37" spans="1:27" x14ac:dyDescent="0.2">
      <c r="A37" s="98" t="s">
        <v>295</v>
      </c>
      <c r="E37" s="172" t="s">
        <v>243</v>
      </c>
      <c r="F37" s="175">
        <f>F35</f>
        <v>1176.6400000000001</v>
      </c>
      <c r="G37" s="172" t="s">
        <v>91</v>
      </c>
      <c r="I37" s="98" t="s">
        <v>346</v>
      </c>
    </row>
    <row r="38" spans="1:27" x14ac:dyDescent="0.2">
      <c r="I38" s="98" t="s">
        <v>345</v>
      </c>
      <c r="T38" s="172"/>
    </row>
    <row r="39" spans="1:27" x14ac:dyDescent="0.2">
      <c r="A39" s="98" t="s">
        <v>296</v>
      </c>
      <c r="I39" s="98" t="s">
        <v>347</v>
      </c>
      <c r="T39" s="172"/>
    </row>
    <row r="40" spans="1:27" x14ac:dyDescent="0.2">
      <c r="A40" s="98" t="s">
        <v>42</v>
      </c>
      <c r="E40" s="172" t="s">
        <v>243</v>
      </c>
      <c r="F40" s="175">
        <f>F29-(F35+I33)</f>
        <v>165.59999999999991</v>
      </c>
      <c r="G40" s="172" t="s">
        <v>91</v>
      </c>
    </row>
    <row r="42" spans="1:27" x14ac:dyDescent="0.2">
      <c r="A42" s="98" t="s">
        <v>343</v>
      </c>
      <c r="E42" s="172" t="s">
        <v>243</v>
      </c>
      <c r="F42" s="175">
        <f>ROUNDUP(F51,0)</f>
        <v>192</v>
      </c>
      <c r="G42" s="172" t="s">
        <v>311</v>
      </c>
      <c r="I42" s="200" t="s">
        <v>348</v>
      </c>
      <c r="J42" s="227">
        <v>1</v>
      </c>
      <c r="K42" s="228" t="s">
        <v>293</v>
      </c>
      <c r="L42" s="227">
        <v>24</v>
      </c>
      <c r="M42" s="228" t="s">
        <v>293</v>
      </c>
      <c r="N42" s="227">
        <v>25</v>
      </c>
      <c r="O42" s="229" t="s">
        <v>243</v>
      </c>
      <c r="P42" s="227">
        <f>J42*L42*N42</f>
        <v>600</v>
      </c>
      <c r="Q42" s="172" t="s">
        <v>91</v>
      </c>
      <c r="S42" s="98" t="s">
        <v>42</v>
      </c>
      <c r="T42" s="172" t="s">
        <v>243</v>
      </c>
      <c r="U42" s="98">
        <f>D35</f>
        <v>955</v>
      </c>
      <c r="V42" s="172" t="s">
        <v>91</v>
      </c>
      <c r="X42" s="98" t="s">
        <v>325</v>
      </c>
      <c r="Y42" s="172" t="s">
        <v>243</v>
      </c>
      <c r="Z42" s="98">
        <f>U42-P42-P47</f>
        <v>163</v>
      </c>
      <c r="AA42" s="172" t="s">
        <v>91</v>
      </c>
    </row>
    <row r="43" spans="1:27" x14ac:dyDescent="0.2">
      <c r="A43" s="98" t="s">
        <v>300</v>
      </c>
      <c r="B43" s="98">
        <v>6.2</v>
      </c>
      <c r="E43" s="172" t="s">
        <v>243</v>
      </c>
      <c r="F43" s="98">
        <v>13</v>
      </c>
      <c r="G43" s="172" t="s">
        <v>104</v>
      </c>
      <c r="I43" s="98" t="s">
        <v>326</v>
      </c>
      <c r="T43" s="172"/>
      <c r="V43" s="172"/>
      <c r="AA43" s="172"/>
    </row>
    <row r="44" spans="1:27" x14ac:dyDescent="0.2">
      <c r="A44" s="98" t="s">
        <v>301</v>
      </c>
      <c r="B44" s="98">
        <v>17.399999999999999</v>
      </c>
      <c r="E44" s="172" t="s">
        <v>243</v>
      </c>
      <c r="F44" s="98">
        <v>35</v>
      </c>
      <c r="G44" s="172" t="s">
        <v>104</v>
      </c>
      <c r="I44" s="98" t="s">
        <v>335</v>
      </c>
    </row>
    <row r="45" spans="1:27" x14ac:dyDescent="0.2">
      <c r="A45" s="98" t="s">
        <v>302</v>
      </c>
      <c r="B45" s="98">
        <v>6.2</v>
      </c>
      <c r="E45" s="172" t="s">
        <v>243</v>
      </c>
      <c r="F45" s="98">
        <v>13</v>
      </c>
      <c r="G45" s="172" t="s">
        <v>104</v>
      </c>
      <c r="I45" s="98" t="s">
        <v>336</v>
      </c>
    </row>
    <row r="46" spans="1:27" x14ac:dyDescent="0.2">
      <c r="A46" s="98" t="s">
        <v>303</v>
      </c>
      <c r="B46" s="98">
        <v>17.399999999999999</v>
      </c>
      <c r="E46" s="172" t="s">
        <v>243</v>
      </c>
      <c r="F46" s="98">
        <v>35</v>
      </c>
      <c r="G46" s="172" t="s">
        <v>104</v>
      </c>
    </row>
    <row r="47" spans="1:27" x14ac:dyDescent="0.2">
      <c r="A47" s="98" t="s">
        <v>304</v>
      </c>
      <c r="B47" s="98">
        <v>6.2</v>
      </c>
      <c r="E47" s="172" t="s">
        <v>243</v>
      </c>
      <c r="F47" s="98">
        <v>13</v>
      </c>
      <c r="G47" s="172" t="s">
        <v>104</v>
      </c>
      <c r="I47" s="200" t="s">
        <v>41</v>
      </c>
      <c r="J47" s="227">
        <v>1</v>
      </c>
      <c r="K47" s="228" t="s">
        <v>293</v>
      </c>
      <c r="L47" s="227">
        <v>8</v>
      </c>
      <c r="M47" s="228" t="s">
        <v>293</v>
      </c>
      <c r="N47" s="227">
        <v>24</v>
      </c>
      <c r="O47" s="229" t="s">
        <v>243</v>
      </c>
      <c r="P47" s="227">
        <f>J47*L47*N47</f>
        <v>192</v>
      </c>
      <c r="Q47" s="172" t="s">
        <v>91</v>
      </c>
    </row>
    <row r="48" spans="1:27" x14ac:dyDescent="0.2">
      <c r="A48" s="98" t="s">
        <v>305</v>
      </c>
      <c r="B48" s="98">
        <v>17.399999999999999</v>
      </c>
      <c r="E48" s="172" t="s">
        <v>243</v>
      </c>
      <c r="F48" s="98">
        <v>35</v>
      </c>
      <c r="G48" s="172" t="s">
        <v>104</v>
      </c>
      <c r="I48" s="98" t="s">
        <v>326</v>
      </c>
    </row>
    <row r="49" spans="1:14" x14ac:dyDescent="0.2">
      <c r="A49" s="98" t="s">
        <v>306</v>
      </c>
      <c r="B49" s="98">
        <v>6.2</v>
      </c>
      <c r="E49" s="172" t="s">
        <v>243</v>
      </c>
      <c r="F49" s="98">
        <v>13</v>
      </c>
      <c r="G49" s="172" t="s">
        <v>104</v>
      </c>
      <c r="I49" s="98" t="s">
        <v>335</v>
      </c>
    </row>
    <row r="50" spans="1:14" x14ac:dyDescent="0.2">
      <c r="A50" s="98" t="s">
        <v>307</v>
      </c>
      <c r="B50" s="98">
        <v>17.399999999999999</v>
      </c>
      <c r="E50" s="172" t="s">
        <v>243</v>
      </c>
      <c r="F50" s="98">
        <v>35</v>
      </c>
      <c r="G50" s="172" t="s">
        <v>104</v>
      </c>
      <c r="I50" s="98" t="s">
        <v>351</v>
      </c>
    </row>
    <row r="51" spans="1:14" x14ac:dyDescent="0.2">
      <c r="A51" s="98" t="s">
        <v>299</v>
      </c>
      <c r="E51" s="172" t="s">
        <v>243</v>
      </c>
      <c r="F51" s="176">
        <f>SUM(F43:F50)</f>
        <v>192</v>
      </c>
      <c r="G51" s="172" t="s">
        <v>104</v>
      </c>
      <c r="I51" s="98" t="s">
        <v>334</v>
      </c>
    </row>
    <row r="54" spans="1:14" x14ac:dyDescent="0.2">
      <c r="A54" s="28">
        <v>1</v>
      </c>
      <c r="B54" s="28" t="s">
        <v>237</v>
      </c>
      <c r="D54" s="128">
        <v>0.2</v>
      </c>
      <c r="E54" s="28" t="s">
        <v>104</v>
      </c>
      <c r="F54" s="28"/>
      <c r="H54" s="28">
        <v>3</v>
      </c>
      <c r="I54" s="28" t="s">
        <v>238</v>
      </c>
      <c r="J54" s="230">
        <v>15.2</v>
      </c>
      <c r="K54" s="231" t="s">
        <v>239</v>
      </c>
      <c r="L54" s="231"/>
      <c r="M54" s="231"/>
      <c r="N54" s="227" t="s">
        <v>354</v>
      </c>
    </row>
    <row r="55" spans="1:14" x14ac:dyDescent="0.2">
      <c r="A55" s="28">
        <v>2</v>
      </c>
      <c r="B55" s="28" t="s">
        <v>237</v>
      </c>
      <c r="D55" s="128">
        <v>0.12</v>
      </c>
      <c r="E55" s="28" t="s">
        <v>104</v>
      </c>
      <c r="F55" s="28"/>
      <c r="H55" s="28">
        <v>4</v>
      </c>
      <c r="I55" s="28" t="s">
        <v>353</v>
      </c>
      <c r="J55" s="230">
        <v>24.08</v>
      </c>
      <c r="K55" s="231" t="s">
        <v>239</v>
      </c>
      <c r="L55" s="231"/>
      <c r="M55" s="231"/>
    </row>
    <row r="56" spans="1:14" x14ac:dyDescent="0.2">
      <c r="A56" s="28"/>
      <c r="B56" s="28"/>
      <c r="C56" s="28"/>
      <c r="D56" s="28"/>
      <c r="E56" s="28"/>
      <c r="F56" s="28"/>
      <c r="G56" s="28"/>
      <c r="H56" s="28"/>
      <c r="I56" s="28"/>
      <c r="J56" s="231"/>
      <c r="K56" s="231"/>
      <c r="L56" s="231"/>
      <c r="M56" s="231"/>
    </row>
    <row r="57" spans="1:14" x14ac:dyDescent="0.2">
      <c r="A57" s="129" t="s">
        <v>352</v>
      </c>
      <c r="B57" s="130"/>
      <c r="D57" s="205">
        <v>220</v>
      </c>
      <c r="E57" s="130"/>
      <c r="G57" s="131"/>
      <c r="H57" s="132"/>
      <c r="I57" s="130"/>
      <c r="J57" s="232"/>
      <c r="K57" s="233"/>
      <c r="L57" s="234"/>
      <c r="M57" s="234"/>
    </row>
    <row r="58" spans="1:14" x14ac:dyDescent="0.2">
      <c r="A58" s="130" t="s">
        <v>240</v>
      </c>
      <c r="B58" s="130"/>
      <c r="D58" s="135">
        <f>43.5+22.6+5.15+3+23.1+2.5+15.25+23.1+6+6+5.15+5.15+15.25+2.5+8.025+12.6+23.275+15.1+20.225+12.6+15.075+3+5.15+9.6+25+38.2+8.8+27+16.2+65.2</f>
        <v>483.3</v>
      </c>
      <c r="E58" s="130" t="s">
        <v>241</v>
      </c>
      <c r="F58" s="135">
        <f>(38.2+38.2+43.5+43.5+5.15+6+5.15+23.1+15.25+2.5+12.6)+(25+38.2+8.8+27+16.2+65.2)</f>
        <v>413.55</v>
      </c>
      <c r="G58" s="136"/>
      <c r="H58" s="130"/>
      <c r="I58" s="133"/>
      <c r="J58" s="233"/>
      <c r="K58" s="234"/>
      <c r="L58" s="234"/>
    </row>
    <row r="59" spans="1:14" x14ac:dyDescent="0.2">
      <c r="A59" s="130" t="s">
        <v>242</v>
      </c>
      <c r="B59" s="137"/>
      <c r="C59" s="5"/>
      <c r="F59" s="138"/>
      <c r="G59" s="130"/>
      <c r="H59" s="131" t="s">
        <v>243</v>
      </c>
      <c r="I59" s="136">
        <v>24766.36</v>
      </c>
      <c r="J59" s="234" t="s">
        <v>244</v>
      </c>
      <c r="K59" s="232"/>
      <c r="L59" s="233" t="s">
        <v>245</v>
      </c>
    </row>
    <row r="60" spans="1:14" x14ac:dyDescent="0.2">
      <c r="A60" s="130" t="s">
        <v>246</v>
      </c>
      <c r="B60" s="130"/>
      <c r="C60" s="130"/>
      <c r="F60" s="139">
        <v>38</v>
      </c>
      <c r="G60" s="130" t="s">
        <v>247</v>
      </c>
      <c r="H60" s="131" t="s">
        <v>243</v>
      </c>
      <c r="I60" s="136">
        <v>62.63</v>
      </c>
      <c r="J60" s="234" t="s">
        <v>244</v>
      </c>
      <c r="K60" s="232"/>
      <c r="L60" s="233" t="s">
        <v>248</v>
      </c>
    </row>
    <row r="61" spans="1:14" x14ac:dyDescent="0.2">
      <c r="A61" s="130" t="s">
        <v>249</v>
      </c>
      <c r="B61" s="130"/>
      <c r="C61" s="140"/>
      <c r="D61" s="130"/>
      <c r="E61" s="130"/>
      <c r="H61" s="131" t="s">
        <v>243</v>
      </c>
      <c r="I61" s="136">
        <f>SUM(I59:I60)</f>
        <v>24828.99</v>
      </c>
      <c r="J61" s="234" t="s">
        <v>244</v>
      </c>
      <c r="K61" s="232"/>
      <c r="L61" s="233"/>
      <c r="M61" s="234"/>
      <c r="N61" s="234"/>
    </row>
    <row r="62" spans="1:14" x14ac:dyDescent="0.2">
      <c r="A62" s="130" t="s">
        <v>250</v>
      </c>
      <c r="B62" s="141">
        <f>ROUNDDOWN((D58/0.3)*0.5*2.226,3)</f>
        <v>1793.0429999999999</v>
      </c>
      <c r="C62" s="5" t="s">
        <v>350</v>
      </c>
      <c r="D62" s="142">
        <f>I61</f>
        <v>24828.99</v>
      </c>
      <c r="E62" s="130" t="s">
        <v>252</v>
      </c>
      <c r="H62" s="131" t="s">
        <v>243</v>
      </c>
      <c r="I62" s="136">
        <f>B62*I61/1000</f>
        <v>44519.446716569997</v>
      </c>
      <c r="J62" s="234" t="s">
        <v>239</v>
      </c>
      <c r="K62" s="232"/>
      <c r="L62" s="233" t="s">
        <v>253</v>
      </c>
      <c r="M62" s="234"/>
      <c r="N62" s="234"/>
    </row>
    <row r="63" spans="1:14" x14ac:dyDescent="0.2">
      <c r="A63" s="130" t="s">
        <v>254</v>
      </c>
      <c r="B63" s="143">
        <f>D54*D58-(D58*0.02)</f>
        <v>86.994000000000014</v>
      </c>
      <c r="C63" s="130" t="s">
        <v>255</v>
      </c>
      <c r="D63" s="144">
        <f>1142.75/2.6013</f>
        <v>439.29958097874135</v>
      </c>
      <c r="E63" s="130" t="s">
        <v>91</v>
      </c>
      <c r="H63" s="131" t="s">
        <v>243</v>
      </c>
      <c r="I63" s="136">
        <f>B63*D63</f>
        <v>38216.427747664631</v>
      </c>
      <c r="J63" s="234" t="s">
        <v>239</v>
      </c>
      <c r="K63" s="232"/>
      <c r="L63" s="233" t="s">
        <v>256</v>
      </c>
      <c r="M63" s="234" t="s">
        <v>257</v>
      </c>
      <c r="N63" s="234"/>
    </row>
    <row r="64" spans="1:14" x14ac:dyDescent="0.2">
      <c r="A64" s="130" t="s">
        <v>258</v>
      </c>
      <c r="B64" s="143">
        <f>0.02*0.02*D58*1000</f>
        <v>193.32000000000002</v>
      </c>
      <c r="C64" s="130" t="s">
        <v>259</v>
      </c>
      <c r="D64" s="144">
        <f>944.35/12</f>
        <v>78.69583333333334</v>
      </c>
      <c r="E64" s="130" t="s">
        <v>260</v>
      </c>
      <c r="H64" s="131" t="s">
        <v>243</v>
      </c>
      <c r="I64" s="136">
        <f>B64*D64</f>
        <v>15213.478500000003</v>
      </c>
      <c r="J64" s="234" t="s">
        <v>239</v>
      </c>
      <c r="K64" s="232"/>
      <c r="L64" s="233" t="s">
        <v>261</v>
      </c>
      <c r="M64" s="234" t="s">
        <v>262</v>
      </c>
      <c r="N64" s="234"/>
    </row>
    <row r="65" spans="1:14" x14ac:dyDescent="0.2">
      <c r="A65" s="130" t="s">
        <v>263</v>
      </c>
      <c r="B65" s="141">
        <f>D58</f>
        <v>483.3</v>
      </c>
      <c r="C65" s="130" t="s">
        <v>264</v>
      </c>
      <c r="D65" s="130"/>
      <c r="E65" s="130"/>
      <c r="H65" s="131" t="s">
        <v>243</v>
      </c>
      <c r="I65" s="136">
        <f>J54*B65</f>
        <v>7346.16</v>
      </c>
      <c r="J65" s="234" t="s">
        <v>239</v>
      </c>
      <c r="K65" s="232"/>
      <c r="L65" s="233" t="s">
        <v>265</v>
      </c>
      <c r="M65" s="234"/>
      <c r="N65" s="234"/>
    </row>
    <row r="66" spans="1:14" x14ac:dyDescent="0.2">
      <c r="A66" s="130" t="s">
        <v>266</v>
      </c>
      <c r="B66" s="130"/>
      <c r="C66" s="130"/>
      <c r="D66" s="130"/>
      <c r="E66" s="130"/>
      <c r="H66" s="131" t="s">
        <v>243</v>
      </c>
      <c r="I66" s="136">
        <f>SUM(I62:I65)</f>
        <v>105295.51296423463</v>
      </c>
      <c r="J66" s="234" t="s">
        <v>239</v>
      </c>
      <c r="K66" s="232"/>
      <c r="L66" s="233"/>
      <c r="M66" s="234"/>
      <c r="N66" s="234"/>
    </row>
    <row r="67" spans="1:14" x14ac:dyDescent="0.2">
      <c r="A67" s="130" t="s">
        <v>267</v>
      </c>
      <c r="B67" s="137" t="s">
        <v>243</v>
      </c>
      <c r="D67" s="140">
        <f>I66</f>
        <v>105295.51296423463</v>
      </c>
      <c r="E67" s="137" t="s">
        <v>268</v>
      </c>
      <c r="F67" s="134">
        <f>D58</f>
        <v>483.3</v>
      </c>
      <c r="H67" s="131" t="s">
        <v>243</v>
      </c>
      <c r="I67" s="145">
        <f>ROUNDDOWN(I66/D58,2)</f>
        <v>217.86</v>
      </c>
      <c r="J67" s="234" t="s">
        <v>269</v>
      </c>
      <c r="K67" s="232"/>
      <c r="L67" s="233"/>
      <c r="M67" s="234"/>
      <c r="N67" s="234"/>
    </row>
    <row r="68" spans="1:14" x14ac:dyDescent="0.2">
      <c r="A68" s="28"/>
      <c r="B68" s="28"/>
      <c r="C68" s="28"/>
      <c r="E68" s="28"/>
      <c r="F68" s="28"/>
      <c r="G68" s="28"/>
      <c r="H68" s="28"/>
      <c r="I68" s="28"/>
      <c r="J68" s="231"/>
      <c r="K68" s="231"/>
      <c r="L68" s="231"/>
      <c r="M68" s="231"/>
    </row>
    <row r="69" spans="1:14" x14ac:dyDescent="0.3">
      <c r="A69" s="146" t="s">
        <v>349</v>
      </c>
      <c r="B69" s="147"/>
      <c r="D69" s="206">
        <v>2000</v>
      </c>
      <c r="E69" s="147"/>
      <c r="G69" s="148"/>
      <c r="H69" s="149"/>
      <c r="I69" s="147"/>
      <c r="J69" s="235"/>
      <c r="K69" s="236"/>
      <c r="L69" s="231"/>
      <c r="M69" s="231"/>
    </row>
    <row r="70" spans="1:14" x14ac:dyDescent="0.3">
      <c r="A70" s="147" t="s">
        <v>240</v>
      </c>
      <c r="B70" s="147"/>
      <c r="D70" s="151">
        <f>(38.2*21)+(43.5*19)+(62.5*8)+(38.2*4)+(25*19)+(16.2*13)</f>
        <v>2967.1</v>
      </c>
      <c r="E70" s="147" t="s">
        <v>241</v>
      </c>
      <c r="F70" s="208"/>
      <c r="G70" s="152"/>
      <c r="H70" s="147"/>
      <c r="I70" s="150"/>
      <c r="J70" s="236"/>
      <c r="K70" s="231"/>
      <c r="M70" s="231"/>
    </row>
    <row r="71" spans="1:14" x14ac:dyDescent="0.3">
      <c r="A71" s="147" t="s">
        <v>270</v>
      </c>
      <c r="B71" s="153"/>
      <c r="C71" s="201"/>
      <c r="D71" s="154"/>
      <c r="E71" s="147"/>
      <c r="H71" s="148" t="s">
        <v>243</v>
      </c>
      <c r="I71" s="152">
        <v>0</v>
      </c>
      <c r="J71" s="237" t="s">
        <v>244</v>
      </c>
      <c r="K71" s="235"/>
      <c r="L71" s="236" t="s">
        <v>271</v>
      </c>
      <c r="M71" s="231"/>
    </row>
    <row r="72" spans="1:14" x14ac:dyDescent="0.3">
      <c r="A72" s="147" t="s">
        <v>246</v>
      </c>
      <c r="B72" s="147"/>
      <c r="C72" s="147"/>
      <c r="F72" s="155">
        <f>F60</f>
        <v>38</v>
      </c>
      <c r="G72" s="147" t="s">
        <v>247</v>
      </c>
      <c r="H72" s="148" t="s">
        <v>243</v>
      </c>
      <c r="I72" s="152">
        <v>0</v>
      </c>
      <c r="J72" s="237" t="s">
        <v>244</v>
      </c>
      <c r="K72" s="235"/>
      <c r="L72" s="236" t="s">
        <v>272</v>
      </c>
      <c r="M72" s="231"/>
    </row>
    <row r="73" spans="1:14" x14ac:dyDescent="0.3">
      <c r="A73" s="147" t="s">
        <v>273</v>
      </c>
      <c r="B73" s="147"/>
      <c r="C73" s="156"/>
      <c r="D73" s="147"/>
      <c r="E73" s="147"/>
      <c r="H73" s="148" t="s">
        <v>243</v>
      </c>
      <c r="I73" s="152">
        <f>SUM(I71:I72)</f>
        <v>0</v>
      </c>
      <c r="J73" s="237" t="s">
        <v>244</v>
      </c>
      <c r="K73" s="235"/>
      <c r="L73" s="236"/>
      <c r="M73" s="231"/>
    </row>
    <row r="74" spans="1:14" x14ac:dyDescent="0.3">
      <c r="A74" s="147" t="s">
        <v>250</v>
      </c>
      <c r="B74" s="202">
        <f>ROUNDDOWN((D70/0.3)*0.5*2.226,3)</f>
        <v>11007.941000000001</v>
      </c>
      <c r="C74" s="201" t="s">
        <v>251</v>
      </c>
      <c r="D74" s="203">
        <f>I73</f>
        <v>0</v>
      </c>
      <c r="E74" s="147" t="s">
        <v>252</v>
      </c>
      <c r="H74" s="148" t="s">
        <v>243</v>
      </c>
      <c r="I74" s="152">
        <f>B74*I73/1000</f>
        <v>0</v>
      </c>
      <c r="J74" s="237" t="s">
        <v>239</v>
      </c>
      <c r="K74" s="235"/>
      <c r="L74" s="236" t="s">
        <v>274</v>
      </c>
      <c r="M74" s="231"/>
    </row>
    <row r="75" spans="1:14" x14ac:dyDescent="0.3">
      <c r="A75" s="147" t="s">
        <v>275</v>
      </c>
      <c r="B75" s="157"/>
      <c r="C75" s="204">
        <f>D70</f>
        <v>2967.1</v>
      </c>
      <c r="D75" s="203" t="s">
        <v>276</v>
      </c>
      <c r="E75" s="147"/>
      <c r="H75" s="148" t="s">
        <v>243</v>
      </c>
      <c r="I75" s="152">
        <f>J55*C75</f>
        <v>71447.767999999996</v>
      </c>
      <c r="J75" s="237" t="s">
        <v>239</v>
      </c>
      <c r="K75" s="235"/>
      <c r="L75" s="236" t="s">
        <v>277</v>
      </c>
      <c r="M75" s="231"/>
    </row>
    <row r="76" spans="1:14" x14ac:dyDescent="0.3">
      <c r="A76" s="147" t="s">
        <v>258</v>
      </c>
      <c r="B76" s="158">
        <f>ROUNDUP(0.01*0.02*D70*1000,3)</f>
        <v>593.41999999999996</v>
      </c>
      <c r="C76" s="147" t="s">
        <v>259</v>
      </c>
      <c r="D76" s="159">
        <f>D64</f>
        <v>78.69583333333334</v>
      </c>
      <c r="E76" s="147" t="s">
        <v>278</v>
      </c>
      <c r="H76" s="148" t="s">
        <v>243</v>
      </c>
      <c r="I76" s="152">
        <f>B76*D76</f>
        <v>46699.681416666666</v>
      </c>
      <c r="J76" s="237" t="s">
        <v>239</v>
      </c>
      <c r="K76" s="235"/>
      <c r="L76" s="236" t="s">
        <v>279</v>
      </c>
      <c r="M76" s="231"/>
    </row>
    <row r="77" spans="1:14" x14ac:dyDescent="0.3">
      <c r="A77" s="147" t="s">
        <v>280</v>
      </c>
      <c r="B77" s="147"/>
      <c r="C77" s="147"/>
      <c r="D77" s="147"/>
      <c r="E77" s="147"/>
      <c r="H77" s="148" t="s">
        <v>243</v>
      </c>
      <c r="I77" s="152">
        <f>SUM(I74:I76)</f>
        <v>118147.44941666667</v>
      </c>
      <c r="J77" s="237" t="s">
        <v>239</v>
      </c>
      <c r="K77" s="235"/>
      <c r="L77" s="236"/>
      <c r="M77" s="231"/>
    </row>
    <row r="78" spans="1:14" x14ac:dyDescent="0.3">
      <c r="A78" s="147" t="s">
        <v>267</v>
      </c>
      <c r="B78" s="153" t="s">
        <v>243</v>
      </c>
      <c r="D78" s="156">
        <f>I77</f>
        <v>118147.44941666667</v>
      </c>
      <c r="E78" s="153" t="s">
        <v>281</v>
      </c>
      <c r="F78" s="160">
        <f>D70</f>
        <v>2967.1</v>
      </c>
      <c r="H78" s="148" t="s">
        <v>243</v>
      </c>
      <c r="I78" s="161">
        <f>ROUNDDOWN(I77/F78,2)</f>
        <v>39.81</v>
      </c>
      <c r="J78" s="237" t="s">
        <v>269</v>
      </c>
      <c r="K78" s="235"/>
      <c r="L78" s="236"/>
      <c r="M78" s="231"/>
    </row>
    <row r="79" spans="1:14" x14ac:dyDescent="0.2">
      <c r="A79" s="28"/>
      <c r="B79" s="28"/>
      <c r="C79" s="28"/>
      <c r="D79" s="28"/>
      <c r="E79" s="28"/>
      <c r="F79" s="28"/>
      <c r="G79" s="28"/>
      <c r="H79" s="28"/>
      <c r="I79" s="28"/>
      <c r="J79" s="231"/>
      <c r="K79" s="231"/>
      <c r="M79" s="231"/>
    </row>
    <row r="81" spans="1:16" x14ac:dyDescent="0.2">
      <c r="A81" s="98" t="s">
        <v>357</v>
      </c>
    </row>
    <row r="82" spans="1:16" x14ac:dyDescent="0.2">
      <c r="A82" s="98">
        <v>43.5</v>
      </c>
      <c r="B82" s="98">
        <v>0.3</v>
      </c>
      <c r="C82" s="172">
        <f>A82/B82</f>
        <v>145</v>
      </c>
      <c r="D82" s="98">
        <v>146</v>
      </c>
      <c r="J82" s="227">
        <v>0.4</v>
      </c>
      <c r="L82" s="227">
        <v>2.2000000000000002</v>
      </c>
      <c r="N82" s="227">
        <v>0.4</v>
      </c>
      <c r="P82" s="227">
        <f>J82+L82+N82</f>
        <v>3</v>
      </c>
    </row>
    <row r="83" spans="1:16" x14ac:dyDescent="0.2">
      <c r="A83" s="98">
        <v>22.6</v>
      </c>
      <c r="B83" s="98">
        <v>0.3</v>
      </c>
      <c r="C83" s="172">
        <f t="shared" ref="C83:C111" si="0">A83/B83</f>
        <v>75.333333333333343</v>
      </c>
      <c r="D83" s="98">
        <v>76</v>
      </c>
      <c r="J83" s="227">
        <v>0.4</v>
      </c>
      <c r="L83" s="227">
        <v>2.2000000000000002</v>
      </c>
      <c r="N83" s="227">
        <v>0.4</v>
      </c>
      <c r="P83" s="227">
        <f t="shared" ref="P83:P146" si="1">J83+L83+N83</f>
        <v>3</v>
      </c>
    </row>
    <row r="84" spans="1:16" x14ac:dyDescent="0.2">
      <c r="A84" s="98">
        <v>5.15</v>
      </c>
      <c r="B84" s="98">
        <v>0.3</v>
      </c>
      <c r="C84" s="172">
        <f t="shared" si="0"/>
        <v>17.166666666666668</v>
      </c>
      <c r="D84" s="98">
        <v>18</v>
      </c>
      <c r="J84" s="227">
        <v>0.4</v>
      </c>
      <c r="L84" s="227">
        <v>2.2000000000000002</v>
      </c>
      <c r="N84" s="227">
        <v>0.4</v>
      </c>
      <c r="P84" s="227">
        <f t="shared" si="1"/>
        <v>3</v>
      </c>
    </row>
    <row r="85" spans="1:16" x14ac:dyDescent="0.2">
      <c r="A85" s="98">
        <v>3</v>
      </c>
      <c r="B85" s="98">
        <v>0.3</v>
      </c>
      <c r="C85" s="172">
        <f t="shared" si="0"/>
        <v>10</v>
      </c>
      <c r="D85" s="98">
        <v>11</v>
      </c>
      <c r="J85" s="227">
        <v>0.4</v>
      </c>
      <c r="L85" s="227">
        <v>2.2000000000000002</v>
      </c>
      <c r="N85" s="227">
        <v>0.4</v>
      </c>
      <c r="P85" s="227">
        <f t="shared" si="1"/>
        <v>3</v>
      </c>
    </row>
    <row r="86" spans="1:16" x14ac:dyDescent="0.2">
      <c r="A86" s="98">
        <v>23.1</v>
      </c>
      <c r="B86" s="98">
        <v>0.3</v>
      </c>
      <c r="C86" s="172">
        <f t="shared" si="0"/>
        <v>77.000000000000014</v>
      </c>
      <c r="D86" s="98">
        <v>78</v>
      </c>
      <c r="J86" s="227">
        <v>0.4</v>
      </c>
      <c r="L86" s="227">
        <v>2.2000000000000002</v>
      </c>
      <c r="N86" s="227">
        <v>0.4</v>
      </c>
      <c r="P86" s="227">
        <f t="shared" si="1"/>
        <v>3</v>
      </c>
    </row>
    <row r="87" spans="1:16" x14ac:dyDescent="0.2">
      <c r="A87" s="98">
        <v>2.5</v>
      </c>
      <c r="B87" s="98">
        <v>0.3</v>
      </c>
      <c r="C87" s="172">
        <f t="shared" si="0"/>
        <v>8.3333333333333339</v>
      </c>
      <c r="D87" s="98">
        <v>9</v>
      </c>
      <c r="J87" s="227">
        <v>0.4</v>
      </c>
      <c r="L87" s="227">
        <v>2.1093999999999999</v>
      </c>
      <c r="N87" s="227">
        <v>0.4</v>
      </c>
      <c r="P87" s="227">
        <f t="shared" si="1"/>
        <v>2.9093999999999998</v>
      </c>
    </row>
    <row r="88" spans="1:16" x14ac:dyDescent="0.2">
      <c r="A88" s="98">
        <v>15.25</v>
      </c>
      <c r="B88" s="98">
        <v>0.3</v>
      </c>
      <c r="C88" s="172">
        <f t="shared" si="0"/>
        <v>50.833333333333336</v>
      </c>
      <c r="D88" s="98">
        <v>51</v>
      </c>
      <c r="J88" s="227">
        <v>0.4</v>
      </c>
      <c r="L88" s="227">
        <v>2.1093999999999999</v>
      </c>
      <c r="N88" s="227">
        <v>0.4</v>
      </c>
      <c r="P88" s="227">
        <f t="shared" si="1"/>
        <v>2.9093999999999998</v>
      </c>
    </row>
    <row r="89" spans="1:16" x14ac:dyDescent="0.2">
      <c r="A89" s="98">
        <v>23.1</v>
      </c>
      <c r="B89" s="98">
        <v>0.3</v>
      </c>
      <c r="C89" s="172">
        <f t="shared" si="0"/>
        <v>77.000000000000014</v>
      </c>
      <c r="D89" s="98">
        <v>78</v>
      </c>
      <c r="J89" s="227">
        <v>0.4</v>
      </c>
      <c r="L89" s="227">
        <v>2.1093999999999999</v>
      </c>
      <c r="N89" s="227">
        <v>0.4</v>
      </c>
      <c r="P89" s="227">
        <f t="shared" si="1"/>
        <v>2.9093999999999998</v>
      </c>
    </row>
    <row r="90" spans="1:16" x14ac:dyDescent="0.2">
      <c r="A90" s="98">
        <v>6</v>
      </c>
      <c r="B90" s="98">
        <v>0.3</v>
      </c>
      <c r="C90" s="172">
        <f t="shared" si="0"/>
        <v>20</v>
      </c>
      <c r="D90" s="98">
        <v>21</v>
      </c>
      <c r="J90" s="227">
        <v>0.4</v>
      </c>
      <c r="L90" s="227">
        <v>2.1093999999999999</v>
      </c>
      <c r="N90" s="227">
        <v>0.4</v>
      </c>
      <c r="P90" s="227">
        <f t="shared" si="1"/>
        <v>2.9093999999999998</v>
      </c>
    </row>
    <row r="91" spans="1:16" x14ac:dyDescent="0.2">
      <c r="A91" s="98">
        <v>6</v>
      </c>
      <c r="B91" s="98">
        <v>0.3</v>
      </c>
      <c r="C91" s="172">
        <f t="shared" si="0"/>
        <v>20</v>
      </c>
      <c r="D91" s="98">
        <v>21</v>
      </c>
      <c r="J91" s="227">
        <v>0.4</v>
      </c>
      <c r="L91" s="227">
        <v>2.1093999999999999</v>
      </c>
      <c r="N91" s="227">
        <v>0.4</v>
      </c>
      <c r="P91" s="227">
        <f t="shared" si="1"/>
        <v>2.9093999999999998</v>
      </c>
    </row>
    <row r="92" spans="1:16" x14ac:dyDescent="0.2">
      <c r="A92" s="98">
        <v>5.15</v>
      </c>
      <c r="B92" s="98">
        <v>0.3</v>
      </c>
      <c r="C92" s="172">
        <f t="shared" si="0"/>
        <v>17.166666666666668</v>
      </c>
      <c r="D92" s="98">
        <v>18</v>
      </c>
      <c r="J92" s="227">
        <v>0.4</v>
      </c>
      <c r="L92" s="227">
        <v>2.1093999999999999</v>
      </c>
      <c r="N92" s="227">
        <v>0.4</v>
      </c>
      <c r="P92" s="227">
        <f t="shared" si="1"/>
        <v>2.9093999999999998</v>
      </c>
    </row>
    <row r="93" spans="1:16" x14ac:dyDescent="0.2">
      <c r="A93" s="98">
        <v>5.15</v>
      </c>
      <c r="B93" s="98">
        <v>0.3</v>
      </c>
      <c r="C93" s="172">
        <f t="shared" si="0"/>
        <v>17.166666666666668</v>
      </c>
      <c r="D93" s="98">
        <v>18</v>
      </c>
      <c r="J93" s="227">
        <v>0.4</v>
      </c>
      <c r="L93" s="227">
        <v>2.1093999999999999</v>
      </c>
      <c r="N93" s="227">
        <v>0.4</v>
      </c>
      <c r="P93" s="227">
        <f t="shared" si="1"/>
        <v>2.9093999999999998</v>
      </c>
    </row>
    <row r="94" spans="1:16" x14ac:dyDescent="0.2">
      <c r="A94" s="98">
        <v>15.25</v>
      </c>
      <c r="B94" s="98">
        <v>0.3</v>
      </c>
      <c r="C94" s="172">
        <f t="shared" si="0"/>
        <v>50.833333333333336</v>
      </c>
      <c r="D94" s="98">
        <v>51</v>
      </c>
      <c r="J94" s="227">
        <v>0.4</v>
      </c>
      <c r="L94" s="227">
        <v>2.1093999999999999</v>
      </c>
      <c r="N94" s="227">
        <v>0.4</v>
      </c>
      <c r="P94" s="227">
        <f t="shared" si="1"/>
        <v>2.9093999999999998</v>
      </c>
    </row>
    <row r="95" spans="1:16" x14ac:dyDescent="0.2">
      <c r="A95" s="98">
        <v>2.5</v>
      </c>
      <c r="B95" s="98">
        <v>0.3</v>
      </c>
      <c r="C95" s="172">
        <f t="shared" si="0"/>
        <v>8.3333333333333339</v>
      </c>
      <c r="D95" s="98">
        <v>9</v>
      </c>
      <c r="J95" s="227">
        <v>0.4</v>
      </c>
      <c r="L95" s="227">
        <v>1.72</v>
      </c>
      <c r="N95" s="227">
        <v>0.4</v>
      </c>
      <c r="P95" s="227">
        <f t="shared" si="1"/>
        <v>2.52</v>
      </c>
    </row>
    <row r="96" spans="1:16" x14ac:dyDescent="0.2">
      <c r="A96" s="98">
        <v>8.0250000000000004</v>
      </c>
      <c r="B96" s="98">
        <v>0.3</v>
      </c>
      <c r="C96" s="172">
        <f t="shared" si="0"/>
        <v>26.750000000000004</v>
      </c>
      <c r="D96" s="98">
        <v>27</v>
      </c>
      <c r="J96" s="227">
        <v>0.4</v>
      </c>
      <c r="L96" s="227">
        <v>1.72</v>
      </c>
      <c r="N96" s="227">
        <v>0.4</v>
      </c>
      <c r="P96" s="227">
        <f t="shared" si="1"/>
        <v>2.52</v>
      </c>
    </row>
    <row r="97" spans="1:16" x14ac:dyDescent="0.2">
      <c r="A97" s="98">
        <v>12.6</v>
      </c>
      <c r="B97" s="98">
        <v>0.3</v>
      </c>
      <c r="C97" s="172">
        <f t="shared" si="0"/>
        <v>42</v>
      </c>
      <c r="D97" s="98">
        <v>43</v>
      </c>
      <c r="J97" s="227">
        <v>0.4</v>
      </c>
      <c r="L97" s="227">
        <v>1.72</v>
      </c>
      <c r="N97" s="227">
        <v>0.4</v>
      </c>
      <c r="P97" s="227">
        <f t="shared" si="1"/>
        <v>2.52</v>
      </c>
    </row>
    <row r="98" spans="1:16" x14ac:dyDescent="0.2">
      <c r="A98" s="98">
        <v>23.274999999999999</v>
      </c>
      <c r="B98" s="98">
        <v>0.3</v>
      </c>
      <c r="C98" s="172">
        <f t="shared" si="0"/>
        <v>77.583333333333329</v>
      </c>
      <c r="D98" s="98">
        <v>78</v>
      </c>
      <c r="J98" s="227">
        <v>0.4</v>
      </c>
      <c r="L98" s="227">
        <v>1.72</v>
      </c>
      <c r="N98" s="227">
        <v>0.4</v>
      </c>
      <c r="P98" s="227">
        <f t="shared" si="1"/>
        <v>2.52</v>
      </c>
    </row>
    <row r="99" spans="1:16" x14ac:dyDescent="0.2">
      <c r="A99" s="98">
        <v>15.1</v>
      </c>
      <c r="B99" s="98">
        <v>0.3</v>
      </c>
      <c r="C99" s="172">
        <f t="shared" si="0"/>
        <v>50.333333333333336</v>
      </c>
      <c r="D99" s="98">
        <v>51</v>
      </c>
      <c r="J99" s="227">
        <v>0.4</v>
      </c>
      <c r="L99" s="227">
        <v>1.72</v>
      </c>
      <c r="N99" s="227">
        <v>0.4</v>
      </c>
      <c r="P99" s="227">
        <f t="shared" si="1"/>
        <v>2.52</v>
      </c>
    </row>
    <row r="100" spans="1:16" x14ac:dyDescent="0.2">
      <c r="A100" s="98">
        <v>20.225000000000001</v>
      </c>
      <c r="B100" s="98">
        <v>0.3</v>
      </c>
      <c r="C100" s="172">
        <f t="shared" si="0"/>
        <v>67.416666666666671</v>
      </c>
      <c r="D100" s="98">
        <v>68</v>
      </c>
      <c r="J100" s="227">
        <v>0.4</v>
      </c>
      <c r="L100" s="227">
        <v>2.09</v>
      </c>
      <c r="N100" s="227">
        <v>0.4</v>
      </c>
      <c r="P100" s="227">
        <f t="shared" si="1"/>
        <v>2.8899999999999997</v>
      </c>
    </row>
    <row r="101" spans="1:16" x14ac:dyDescent="0.2">
      <c r="A101" s="98">
        <v>12.6</v>
      </c>
      <c r="B101" s="98">
        <v>0.3</v>
      </c>
      <c r="C101" s="172">
        <f t="shared" si="0"/>
        <v>42</v>
      </c>
      <c r="D101" s="98">
        <v>43</v>
      </c>
      <c r="J101" s="227">
        <v>0.4</v>
      </c>
      <c r="L101" s="227">
        <v>2.09</v>
      </c>
      <c r="N101" s="227">
        <v>0.4</v>
      </c>
      <c r="P101" s="227">
        <f t="shared" si="1"/>
        <v>2.8899999999999997</v>
      </c>
    </row>
    <row r="102" spans="1:16" x14ac:dyDescent="0.2">
      <c r="A102" s="98">
        <v>15.074999999999999</v>
      </c>
      <c r="B102" s="98">
        <v>0.3</v>
      </c>
      <c r="C102" s="172">
        <f t="shared" si="0"/>
        <v>50.25</v>
      </c>
      <c r="D102" s="98">
        <v>51</v>
      </c>
      <c r="J102" s="227">
        <v>0.4</v>
      </c>
      <c r="L102" s="227">
        <v>2.09</v>
      </c>
      <c r="N102" s="227">
        <v>0.4</v>
      </c>
      <c r="P102" s="227">
        <f t="shared" si="1"/>
        <v>2.8899999999999997</v>
      </c>
    </row>
    <row r="103" spans="1:16" x14ac:dyDescent="0.2">
      <c r="A103" s="98">
        <v>3</v>
      </c>
      <c r="B103" s="98">
        <v>0.3</v>
      </c>
      <c r="C103" s="172">
        <f t="shared" si="0"/>
        <v>10</v>
      </c>
      <c r="D103" s="98">
        <v>11</v>
      </c>
      <c r="J103" s="227">
        <v>0.4</v>
      </c>
      <c r="L103" s="227">
        <v>2.09</v>
      </c>
      <c r="N103" s="227">
        <v>0.4</v>
      </c>
      <c r="P103" s="227">
        <f t="shared" si="1"/>
        <v>2.8899999999999997</v>
      </c>
    </row>
    <row r="104" spans="1:16" x14ac:dyDescent="0.2">
      <c r="A104" s="98">
        <v>5.15</v>
      </c>
      <c r="B104" s="98">
        <v>0.3</v>
      </c>
      <c r="C104" s="172">
        <f t="shared" si="0"/>
        <v>17.166666666666668</v>
      </c>
      <c r="D104" s="98">
        <v>18</v>
      </c>
      <c r="J104" s="227">
        <v>0.4</v>
      </c>
      <c r="L104" s="227">
        <v>2.09</v>
      </c>
      <c r="N104" s="227">
        <v>0.4</v>
      </c>
      <c r="P104" s="227">
        <f t="shared" si="1"/>
        <v>2.8899999999999997</v>
      </c>
    </row>
    <row r="105" spans="1:16" x14ac:dyDescent="0.2">
      <c r="A105" s="98">
        <v>9.6</v>
      </c>
      <c r="B105" s="98">
        <v>0.3</v>
      </c>
      <c r="C105" s="172">
        <f t="shared" si="0"/>
        <v>32</v>
      </c>
      <c r="D105" s="98">
        <v>33</v>
      </c>
      <c r="J105" s="227">
        <v>0.4</v>
      </c>
      <c r="L105" s="227">
        <v>2.09</v>
      </c>
      <c r="N105" s="227">
        <v>0.4</v>
      </c>
      <c r="P105" s="227">
        <f t="shared" si="1"/>
        <v>2.8899999999999997</v>
      </c>
    </row>
    <row r="106" spans="1:16" x14ac:dyDescent="0.2">
      <c r="A106" s="98">
        <v>25</v>
      </c>
      <c r="B106" s="98">
        <v>0.3</v>
      </c>
      <c r="C106" s="172">
        <f t="shared" si="0"/>
        <v>83.333333333333343</v>
      </c>
      <c r="D106" s="98">
        <v>84</v>
      </c>
      <c r="J106" s="227">
        <v>0.4</v>
      </c>
      <c r="L106" s="227">
        <v>2.09</v>
      </c>
      <c r="N106" s="227">
        <v>0.4</v>
      </c>
      <c r="P106" s="227">
        <f t="shared" si="1"/>
        <v>2.8899999999999997</v>
      </c>
    </row>
    <row r="107" spans="1:16" x14ac:dyDescent="0.2">
      <c r="A107" s="98">
        <v>38.200000000000003</v>
      </c>
      <c r="B107" s="98">
        <v>0.3</v>
      </c>
      <c r="C107" s="172">
        <f t="shared" si="0"/>
        <v>127.33333333333334</v>
      </c>
      <c r="D107" s="98">
        <v>128</v>
      </c>
      <c r="J107" s="227">
        <v>0.4</v>
      </c>
      <c r="L107" s="227">
        <v>1.6</v>
      </c>
      <c r="N107" s="227">
        <v>0.4</v>
      </c>
      <c r="P107" s="227">
        <f t="shared" si="1"/>
        <v>2.4</v>
      </c>
    </row>
    <row r="108" spans="1:16" x14ac:dyDescent="0.2">
      <c r="A108" s="98">
        <v>8.8000000000000007</v>
      </c>
      <c r="B108" s="98">
        <v>0.3</v>
      </c>
      <c r="C108" s="172">
        <f t="shared" si="0"/>
        <v>29.333333333333336</v>
      </c>
      <c r="D108" s="98">
        <v>30</v>
      </c>
      <c r="J108" s="227">
        <v>0.4</v>
      </c>
      <c r="L108" s="227">
        <v>1.6</v>
      </c>
      <c r="N108" s="227">
        <v>0.4</v>
      </c>
      <c r="P108" s="227">
        <f t="shared" si="1"/>
        <v>2.4</v>
      </c>
    </row>
    <row r="109" spans="1:16" x14ac:dyDescent="0.2">
      <c r="A109" s="98">
        <v>27</v>
      </c>
      <c r="B109" s="98">
        <v>0.3</v>
      </c>
      <c r="C109" s="172">
        <f t="shared" si="0"/>
        <v>90</v>
      </c>
      <c r="D109" s="98">
        <v>91</v>
      </c>
      <c r="J109" s="227">
        <v>0.4</v>
      </c>
      <c r="L109" s="227">
        <v>1.6</v>
      </c>
      <c r="N109" s="227">
        <v>0.4</v>
      </c>
      <c r="P109" s="227">
        <f t="shared" si="1"/>
        <v>2.4</v>
      </c>
    </row>
    <row r="110" spans="1:16" x14ac:dyDescent="0.2">
      <c r="A110" s="98">
        <v>16.2</v>
      </c>
      <c r="B110" s="98">
        <v>0.3</v>
      </c>
      <c r="C110" s="172">
        <f t="shared" si="0"/>
        <v>54</v>
      </c>
      <c r="D110" s="98">
        <v>55</v>
      </c>
      <c r="J110" s="227">
        <v>0.4</v>
      </c>
      <c r="L110" s="227">
        <v>1.6</v>
      </c>
      <c r="N110" s="227">
        <v>0.4</v>
      </c>
      <c r="P110" s="227">
        <f t="shared" si="1"/>
        <v>2.4</v>
      </c>
    </row>
    <row r="111" spans="1:16" x14ac:dyDescent="0.2">
      <c r="A111" s="98">
        <v>65.2</v>
      </c>
      <c r="B111" s="98">
        <v>0.3</v>
      </c>
      <c r="C111" s="172">
        <f t="shared" si="0"/>
        <v>217.33333333333334</v>
      </c>
      <c r="D111" s="98">
        <v>218</v>
      </c>
      <c r="J111" s="227">
        <v>0.4</v>
      </c>
      <c r="L111" s="227">
        <v>1.7749999999999999</v>
      </c>
      <c r="N111" s="227">
        <v>0.4</v>
      </c>
      <c r="P111" s="227">
        <f t="shared" si="1"/>
        <v>2.5749999999999997</v>
      </c>
    </row>
    <row r="112" spans="1:16" x14ac:dyDescent="0.2">
      <c r="J112" s="227">
        <v>0.4</v>
      </c>
      <c r="L112" s="227">
        <v>1.7749999999999999</v>
      </c>
      <c r="N112" s="227">
        <v>0.4</v>
      </c>
      <c r="P112" s="227">
        <f t="shared" si="1"/>
        <v>2.5749999999999997</v>
      </c>
    </row>
    <row r="113" spans="4:16" x14ac:dyDescent="0.2">
      <c r="D113" s="200">
        <f>SUM(D82:D112)</f>
        <v>1634</v>
      </c>
      <c r="J113" s="227">
        <v>0.4</v>
      </c>
      <c r="L113" s="227">
        <v>1.7749999999999999</v>
      </c>
      <c r="N113" s="227">
        <v>0.4</v>
      </c>
      <c r="P113" s="227">
        <f t="shared" si="1"/>
        <v>2.5749999999999997</v>
      </c>
    </row>
    <row r="114" spans="4:16" x14ac:dyDescent="0.2">
      <c r="J114" s="227">
        <v>0.4</v>
      </c>
      <c r="L114" s="227">
        <v>1.7749999999999999</v>
      </c>
      <c r="N114" s="227">
        <v>0.4</v>
      </c>
      <c r="P114" s="227">
        <f t="shared" si="1"/>
        <v>2.5749999999999997</v>
      </c>
    </row>
    <row r="115" spans="4:16" x14ac:dyDescent="0.2">
      <c r="J115" s="227">
        <v>0.4</v>
      </c>
      <c r="L115" s="227">
        <v>2.2000000000000002</v>
      </c>
      <c r="N115" s="227">
        <v>0.4</v>
      </c>
      <c r="P115" s="227">
        <f t="shared" si="1"/>
        <v>3</v>
      </c>
    </row>
    <row r="116" spans="4:16" x14ac:dyDescent="0.2">
      <c r="J116" s="227">
        <v>0.4</v>
      </c>
      <c r="L116" s="227">
        <v>2.2000000000000002</v>
      </c>
      <c r="N116" s="227">
        <v>0.4</v>
      </c>
      <c r="P116" s="227">
        <f t="shared" si="1"/>
        <v>3</v>
      </c>
    </row>
    <row r="117" spans="4:16" x14ac:dyDescent="0.2">
      <c r="J117" s="227">
        <v>0.4</v>
      </c>
      <c r="L117" s="227">
        <v>2.0249999999999999</v>
      </c>
      <c r="N117" s="227">
        <v>0.4</v>
      </c>
      <c r="P117" s="227">
        <f t="shared" si="1"/>
        <v>2.8249999999999997</v>
      </c>
    </row>
    <row r="118" spans="4:16" x14ac:dyDescent="0.2">
      <c r="J118" s="227">
        <v>0.4</v>
      </c>
      <c r="L118" s="227">
        <v>2.0249999999999999</v>
      </c>
      <c r="N118" s="227">
        <v>0.4</v>
      </c>
      <c r="P118" s="227">
        <f t="shared" si="1"/>
        <v>2.8249999999999997</v>
      </c>
    </row>
    <row r="119" spans="4:16" x14ac:dyDescent="0.2">
      <c r="J119" s="227">
        <v>0.4</v>
      </c>
      <c r="L119" s="227">
        <v>2.0249999999999999</v>
      </c>
      <c r="N119" s="227">
        <v>0.4</v>
      </c>
      <c r="P119" s="227">
        <f t="shared" si="1"/>
        <v>2.8249999999999997</v>
      </c>
    </row>
    <row r="120" spans="4:16" x14ac:dyDescent="0.2">
      <c r="J120" s="227">
        <v>0.4</v>
      </c>
      <c r="L120" s="227">
        <v>2.0249999999999999</v>
      </c>
      <c r="N120" s="227">
        <v>0.4</v>
      </c>
      <c r="P120" s="227">
        <f t="shared" si="1"/>
        <v>2.8249999999999997</v>
      </c>
    </row>
    <row r="121" spans="4:16" x14ac:dyDescent="0.2">
      <c r="J121" s="227">
        <v>0.4</v>
      </c>
      <c r="L121" s="227">
        <v>2.0249999999999999</v>
      </c>
      <c r="N121" s="227">
        <v>0.4</v>
      </c>
      <c r="P121" s="227">
        <f t="shared" si="1"/>
        <v>2.8249999999999997</v>
      </c>
    </row>
    <row r="122" spans="4:16" x14ac:dyDescent="0.2">
      <c r="J122" s="227">
        <v>0.4</v>
      </c>
      <c r="L122" s="227">
        <v>2.0249999999999999</v>
      </c>
      <c r="N122" s="227">
        <v>0.4</v>
      </c>
      <c r="P122" s="227">
        <f t="shared" si="1"/>
        <v>2.8249999999999997</v>
      </c>
    </row>
    <row r="123" spans="4:16" x14ac:dyDescent="0.2">
      <c r="J123" s="227">
        <v>0.4</v>
      </c>
      <c r="L123" s="227">
        <v>2.0249999999999999</v>
      </c>
      <c r="N123" s="227">
        <v>0.4</v>
      </c>
      <c r="P123" s="227">
        <f t="shared" si="1"/>
        <v>2.8249999999999997</v>
      </c>
    </row>
    <row r="124" spans="4:16" x14ac:dyDescent="0.2">
      <c r="J124" s="227">
        <v>0.4</v>
      </c>
      <c r="L124" s="227">
        <v>2.0249999999999999</v>
      </c>
      <c r="N124" s="227">
        <v>0.4</v>
      </c>
      <c r="P124" s="227">
        <f t="shared" si="1"/>
        <v>2.8249999999999997</v>
      </c>
    </row>
    <row r="125" spans="4:16" x14ac:dyDescent="0.2">
      <c r="J125" s="227">
        <v>0.4</v>
      </c>
      <c r="L125" s="227">
        <v>2.1</v>
      </c>
      <c r="N125" s="227">
        <v>0.4</v>
      </c>
      <c r="P125" s="227">
        <f t="shared" si="1"/>
        <v>2.9</v>
      </c>
    </row>
    <row r="126" spans="4:16" x14ac:dyDescent="0.2">
      <c r="J126" s="227">
        <v>0.4</v>
      </c>
      <c r="L126" s="227">
        <v>2.1</v>
      </c>
      <c r="N126" s="227">
        <v>0.4</v>
      </c>
      <c r="P126" s="227">
        <f t="shared" si="1"/>
        <v>2.9</v>
      </c>
    </row>
    <row r="127" spans="4:16" x14ac:dyDescent="0.2">
      <c r="J127" s="227">
        <v>0.4</v>
      </c>
      <c r="L127" s="227">
        <v>2.1</v>
      </c>
      <c r="N127" s="227">
        <v>0.4</v>
      </c>
      <c r="P127" s="227">
        <f t="shared" si="1"/>
        <v>2.9</v>
      </c>
    </row>
    <row r="128" spans="4:16" x14ac:dyDescent="0.2">
      <c r="J128" s="227">
        <v>0.4</v>
      </c>
      <c r="L128" s="227">
        <v>2.1</v>
      </c>
      <c r="N128" s="227">
        <v>0.4</v>
      </c>
      <c r="P128" s="227">
        <f t="shared" si="1"/>
        <v>2.9</v>
      </c>
    </row>
    <row r="129" spans="10:16" x14ac:dyDescent="0.2">
      <c r="J129" s="227">
        <v>0.4</v>
      </c>
      <c r="L129" s="227">
        <v>2.1</v>
      </c>
      <c r="N129" s="227">
        <v>0.4</v>
      </c>
      <c r="P129" s="227">
        <f t="shared" si="1"/>
        <v>2.9</v>
      </c>
    </row>
    <row r="130" spans="10:16" x14ac:dyDescent="0.2">
      <c r="J130" s="227">
        <v>0.4</v>
      </c>
      <c r="L130" s="227">
        <v>2.1</v>
      </c>
      <c r="N130" s="227">
        <v>0.4</v>
      </c>
      <c r="P130" s="227">
        <f t="shared" si="1"/>
        <v>2.9</v>
      </c>
    </row>
    <row r="131" spans="10:16" x14ac:dyDescent="0.2">
      <c r="J131" s="227">
        <v>0.4</v>
      </c>
      <c r="L131" s="227">
        <v>2.1</v>
      </c>
      <c r="N131" s="227">
        <v>0.4</v>
      </c>
      <c r="P131" s="227">
        <f t="shared" si="1"/>
        <v>2.9</v>
      </c>
    </row>
    <row r="132" spans="10:16" x14ac:dyDescent="0.2">
      <c r="J132" s="227">
        <v>0.4</v>
      </c>
      <c r="L132" s="227">
        <v>2.1</v>
      </c>
      <c r="N132" s="227">
        <v>0.4</v>
      </c>
      <c r="P132" s="227">
        <f t="shared" si="1"/>
        <v>2.9</v>
      </c>
    </row>
    <row r="133" spans="10:16" x14ac:dyDescent="0.2">
      <c r="J133" s="227">
        <v>0.4</v>
      </c>
      <c r="L133" s="227">
        <v>2.1</v>
      </c>
      <c r="N133" s="227">
        <v>0.4</v>
      </c>
      <c r="P133" s="227">
        <f t="shared" si="1"/>
        <v>2.9</v>
      </c>
    </row>
    <row r="134" spans="10:16" x14ac:dyDescent="0.2">
      <c r="J134" s="227">
        <v>0.4</v>
      </c>
      <c r="L134" s="227">
        <v>2.1</v>
      </c>
      <c r="N134" s="227">
        <v>0.4</v>
      </c>
      <c r="P134" s="227">
        <f t="shared" si="1"/>
        <v>2.9</v>
      </c>
    </row>
    <row r="135" spans="10:16" x14ac:dyDescent="0.2">
      <c r="J135" s="227">
        <v>0.4</v>
      </c>
      <c r="L135" s="227">
        <v>2.1</v>
      </c>
      <c r="N135" s="227">
        <v>0.4</v>
      </c>
      <c r="P135" s="227">
        <f t="shared" si="1"/>
        <v>2.9</v>
      </c>
    </row>
    <row r="136" spans="10:16" x14ac:dyDescent="0.2">
      <c r="J136" s="227">
        <v>0.4</v>
      </c>
      <c r="L136" s="227">
        <v>2.1</v>
      </c>
      <c r="N136" s="227">
        <v>0.4</v>
      </c>
      <c r="P136" s="227">
        <f t="shared" si="1"/>
        <v>2.9</v>
      </c>
    </row>
    <row r="137" spans="10:16" x14ac:dyDescent="0.2">
      <c r="J137" s="227">
        <v>0.4</v>
      </c>
      <c r="L137" s="227">
        <v>2.1</v>
      </c>
      <c r="N137" s="227">
        <v>0.4</v>
      </c>
      <c r="P137" s="227">
        <f t="shared" si="1"/>
        <v>2.9</v>
      </c>
    </row>
    <row r="138" spans="10:16" x14ac:dyDescent="0.2">
      <c r="J138" s="227">
        <v>0.4</v>
      </c>
      <c r="L138" s="227">
        <v>2.1</v>
      </c>
      <c r="N138" s="227">
        <v>0.4</v>
      </c>
      <c r="P138" s="227">
        <f t="shared" si="1"/>
        <v>2.9</v>
      </c>
    </row>
    <row r="139" spans="10:16" x14ac:dyDescent="0.2">
      <c r="J139" s="227">
        <v>0.4</v>
      </c>
      <c r="L139" s="227">
        <v>2.1</v>
      </c>
      <c r="N139" s="227">
        <v>0.4</v>
      </c>
      <c r="P139" s="227">
        <f t="shared" si="1"/>
        <v>2.9</v>
      </c>
    </row>
    <row r="140" spans="10:16" x14ac:dyDescent="0.2">
      <c r="J140" s="227">
        <v>0.4</v>
      </c>
      <c r="L140" s="227">
        <v>1.7</v>
      </c>
      <c r="N140" s="227">
        <v>0.4</v>
      </c>
      <c r="P140" s="227">
        <f t="shared" si="1"/>
        <v>2.5</v>
      </c>
    </row>
    <row r="141" spans="10:16" x14ac:dyDescent="0.2">
      <c r="J141" s="227">
        <v>0.4</v>
      </c>
      <c r="L141" s="227">
        <v>2.25</v>
      </c>
      <c r="N141" s="227">
        <v>0.4</v>
      </c>
      <c r="P141" s="227">
        <f t="shared" si="1"/>
        <v>3.05</v>
      </c>
    </row>
    <row r="142" spans="10:16" x14ac:dyDescent="0.2">
      <c r="J142" s="227">
        <v>0.4</v>
      </c>
      <c r="L142" s="227">
        <v>2.25</v>
      </c>
      <c r="N142" s="227">
        <v>0.4</v>
      </c>
      <c r="P142" s="227">
        <f t="shared" si="1"/>
        <v>3.05</v>
      </c>
    </row>
    <row r="143" spans="10:16" x14ac:dyDescent="0.2">
      <c r="J143" s="227">
        <v>0.4</v>
      </c>
      <c r="L143" s="227">
        <v>2.25</v>
      </c>
      <c r="N143" s="227">
        <v>0.4</v>
      </c>
      <c r="P143" s="227">
        <f t="shared" si="1"/>
        <v>3.05</v>
      </c>
    </row>
    <row r="144" spans="10:16" x14ac:dyDescent="0.2">
      <c r="J144" s="227">
        <v>0.4</v>
      </c>
      <c r="L144" s="227">
        <v>2.25</v>
      </c>
      <c r="N144" s="227">
        <v>0.4</v>
      </c>
      <c r="P144" s="227">
        <f t="shared" si="1"/>
        <v>3.05</v>
      </c>
    </row>
    <row r="145" spans="10:16" x14ac:dyDescent="0.2">
      <c r="J145" s="227">
        <v>0.4</v>
      </c>
      <c r="L145" s="227">
        <v>2.25</v>
      </c>
      <c r="N145" s="227">
        <v>0.4</v>
      </c>
      <c r="P145" s="227">
        <f t="shared" si="1"/>
        <v>3.05</v>
      </c>
    </row>
    <row r="146" spans="10:16" x14ac:dyDescent="0.2">
      <c r="J146" s="227">
        <v>0.4</v>
      </c>
      <c r="L146" s="227">
        <v>2.2149999999999999</v>
      </c>
      <c r="N146" s="227">
        <v>0.4</v>
      </c>
      <c r="P146" s="227">
        <f t="shared" si="1"/>
        <v>3.0149999999999997</v>
      </c>
    </row>
    <row r="147" spans="10:16" x14ac:dyDescent="0.2">
      <c r="J147" s="227">
        <v>0.4</v>
      </c>
      <c r="L147" s="227">
        <v>2.2149999999999999</v>
      </c>
      <c r="N147" s="227">
        <v>0.4</v>
      </c>
      <c r="P147" s="227">
        <f t="shared" ref="P147:P161" si="2">J147+L147+N147</f>
        <v>3.0149999999999997</v>
      </c>
    </row>
    <row r="148" spans="10:16" x14ac:dyDescent="0.2">
      <c r="J148" s="227">
        <v>0.4</v>
      </c>
      <c r="L148" s="227">
        <v>2.2149999999999999</v>
      </c>
      <c r="N148" s="227">
        <v>0.4</v>
      </c>
      <c r="P148" s="227">
        <f t="shared" si="2"/>
        <v>3.0149999999999997</v>
      </c>
    </row>
    <row r="149" spans="10:16" x14ac:dyDescent="0.2">
      <c r="J149" s="227">
        <v>0.4</v>
      </c>
      <c r="L149" s="227">
        <v>2.2149999999999999</v>
      </c>
      <c r="N149" s="227">
        <v>0.4</v>
      </c>
      <c r="P149" s="227">
        <f t="shared" si="2"/>
        <v>3.0149999999999997</v>
      </c>
    </row>
    <row r="150" spans="10:16" x14ac:dyDescent="0.2">
      <c r="J150" s="227">
        <v>0.4</v>
      </c>
      <c r="L150" s="227">
        <v>2.2149999999999999</v>
      </c>
      <c r="N150" s="227">
        <v>0.4</v>
      </c>
      <c r="P150" s="227">
        <f t="shared" si="2"/>
        <v>3.0149999999999997</v>
      </c>
    </row>
    <row r="151" spans="10:16" x14ac:dyDescent="0.2">
      <c r="J151" s="227">
        <v>0.4</v>
      </c>
      <c r="L151" s="227">
        <v>1.875</v>
      </c>
      <c r="N151" s="227">
        <v>0.4</v>
      </c>
      <c r="P151" s="227">
        <f t="shared" si="2"/>
        <v>2.6749999999999998</v>
      </c>
    </row>
    <row r="152" spans="10:16" x14ac:dyDescent="0.2">
      <c r="J152" s="227">
        <v>0.4</v>
      </c>
      <c r="L152" s="227">
        <v>1.875</v>
      </c>
      <c r="N152" s="227">
        <v>0.4</v>
      </c>
      <c r="P152" s="227">
        <f t="shared" si="2"/>
        <v>2.6749999999999998</v>
      </c>
    </row>
    <row r="153" spans="10:16" x14ac:dyDescent="0.2">
      <c r="J153" s="227">
        <v>0.4</v>
      </c>
      <c r="L153" s="227">
        <v>1.875</v>
      </c>
      <c r="N153" s="227">
        <v>0.4</v>
      </c>
      <c r="P153" s="227">
        <f t="shared" si="2"/>
        <v>2.6749999999999998</v>
      </c>
    </row>
    <row r="154" spans="10:16" x14ac:dyDescent="0.2">
      <c r="J154" s="227">
        <v>0.4</v>
      </c>
      <c r="L154" s="227">
        <v>2.0874999999999999</v>
      </c>
      <c r="N154" s="227">
        <v>0.4</v>
      </c>
      <c r="P154" s="227">
        <f t="shared" si="2"/>
        <v>2.8874999999999997</v>
      </c>
    </row>
    <row r="155" spans="10:16" x14ac:dyDescent="0.2">
      <c r="J155" s="227">
        <v>0.4</v>
      </c>
      <c r="L155" s="227">
        <v>2.0874999999999999</v>
      </c>
      <c r="N155" s="227">
        <v>0.4</v>
      </c>
      <c r="P155" s="227">
        <f t="shared" si="2"/>
        <v>2.8874999999999997</v>
      </c>
    </row>
    <row r="156" spans="10:16" x14ac:dyDescent="0.2">
      <c r="J156" s="227">
        <v>0.4</v>
      </c>
      <c r="L156" s="227">
        <v>2.0874999999999999</v>
      </c>
      <c r="N156" s="227">
        <v>0.4</v>
      </c>
      <c r="P156" s="227">
        <f t="shared" si="2"/>
        <v>2.8874999999999997</v>
      </c>
    </row>
    <row r="157" spans="10:16" x14ac:dyDescent="0.2">
      <c r="J157" s="227">
        <v>0.4</v>
      </c>
      <c r="L157" s="227">
        <v>2.0874999999999999</v>
      </c>
      <c r="N157" s="227">
        <v>0.4</v>
      </c>
      <c r="P157" s="227">
        <f t="shared" si="2"/>
        <v>2.8874999999999997</v>
      </c>
    </row>
    <row r="158" spans="10:16" x14ac:dyDescent="0.2">
      <c r="J158" s="227">
        <v>0.4</v>
      </c>
      <c r="L158" s="227">
        <v>2.0874999999999999</v>
      </c>
      <c r="N158" s="227">
        <v>0.4</v>
      </c>
      <c r="P158" s="227">
        <f t="shared" si="2"/>
        <v>2.8874999999999997</v>
      </c>
    </row>
    <row r="159" spans="10:16" x14ac:dyDescent="0.2">
      <c r="J159" s="227">
        <v>0.4</v>
      </c>
      <c r="L159" s="227">
        <v>2.0874999999999999</v>
      </c>
      <c r="N159" s="227">
        <v>0.4</v>
      </c>
      <c r="P159" s="227">
        <f t="shared" si="2"/>
        <v>2.8874999999999997</v>
      </c>
    </row>
    <row r="160" spans="10:16" x14ac:dyDescent="0.2">
      <c r="J160" s="227">
        <v>0.4</v>
      </c>
      <c r="L160" s="227">
        <v>2.0874999999999999</v>
      </c>
      <c r="N160" s="227">
        <v>0.4</v>
      </c>
      <c r="P160" s="227">
        <f t="shared" si="2"/>
        <v>2.8874999999999997</v>
      </c>
    </row>
    <row r="161" spans="10:16" x14ac:dyDescent="0.2">
      <c r="J161" s="227">
        <v>0.4</v>
      </c>
      <c r="L161" s="227">
        <v>2.0874999999999999</v>
      </c>
      <c r="N161" s="227">
        <v>0.4</v>
      </c>
      <c r="P161" s="227">
        <f t="shared" si="2"/>
        <v>2.8874999999999997</v>
      </c>
    </row>
  </sheetData>
  <phoneticPr fontId="9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8</vt:i4>
      </vt:variant>
    </vt:vector>
  </HeadingPairs>
  <TitlesOfParts>
    <vt:vector size="20" baseType="lpstr">
      <vt:lpstr>ปร.5 - ราคากลาง</vt:lpstr>
      <vt:lpstr>ปร.4 งานก่อสร้าง</vt:lpstr>
      <vt:lpstr>งานโครงสร้าง</vt:lpstr>
      <vt:lpstr>งานสถาปัตยกรรม</vt:lpstr>
      <vt:lpstr>งานระบบไฟฟ้าและแสงสว่าง</vt:lpstr>
      <vt:lpstr>ครุภัณฑ์</vt:lpstr>
      <vt:lpstr>ค่าใช้จ่ายพิเศษ</vt:lpstr>
      <vt:lpstr>ปร.5</vt:lpstr>
      <vt:lpstr>DATA</vt:lpstr>
      <vt:lpstr>ค่าวัสดุ</vt:lpstr>
      <vt:lpstr>Factor F</vt:lpstr>
      <vt:lpstr>Data ปร.4</vt:lpstr>
      <vt:lpstr>งานสถาปัตยกรรม!Print_Area</vt:lpstr>
      <vt:lpstr>'Data ปร.4'!Print_Titles</vt:lpstr>
      <vt:lpstr>ครุภัณฑ์!Print_Titles</vt:lpstr>
      <vt:lpstr>ค่าใช้จ่ายพิเศษ!Print_Titles</vt:lpstr>
      <vt:lpstr>งานโครงสร้าง!Print_Titles</vt:lpstr>
      <vt:lpstr>งานระบบไฟฟ้าและแสงสว่าง!Print_Titles</vt:lpstr>
      <vt:lpstr>งานสถาปัตยกรรม!Print_Titles</vt:lpstr>
      <vt:lpstr>'ปร.4 งานก่อสร้าง'!Print_Titles</vt:lpstr>
    </vt:vector>
  </TitlesOfParts>
  <Company>Revenue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SARABURI-PAO</dc:creator>
  <cp:lastModifiedBy>SARABURI-PAO</cp:lastModifiedBy>
  <cp:lastPrinted>2024-09-10T04:00:24Z</cp:lastPrinted>
  <dcterms:created xsi:type="dcterms:W3CDTF">2024-04-03T02:26:48Z</dcterms:created>
  <dcterms:modified xsi:type="dcterms:W3CDTF">2024-09-10T04:00:26Z</dcterms:modified>
</cp:coreProperties>
</file>