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งานก่อสร้าง\ซ่อมสร้าง ถนนหมายเลข 1 67099588321\"/>
    </mc:Choice>
  </mc:AlternateContent>
  <xr:revisionPtr revIDLastSave="0" documentId="8_{F2789B80-D70E-45A2-86FA-608BCE5E1D69}" xr6:coauthVersionLast="45" xr6:coauthVersionMax="45" xr10:uidLastSave="{00000000-0000-0000-0000-000000000000}"/>
  <bookViews>
    <workbookView xWindow="-120" yWindow="-120" windowWidth="21840" windowHeight="13020" xr2:uid="{CFCF48FD-F607-435B-B01F-38F213AAED60}"/>
  </bookViews>
  <sheets>
    <sheet name="ปร.4ใหม่" sheetId="1" r:id="rId1"/>
    <sheet name="ปร.5(ใหม่)" sheetId="2" r:id="rId2"/>
  </sheets>
  <externalReferences>
    <externalReference r:id="rId3"/>
  </externalReferences>
  <definedNames>
    <definedName name="_xlnm.Print_Area" localSheetId="0">ปร.4ใหม่!$A$1:$M$134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2" l="1"/>
  <c r="K23" i="2"/>
  <c r="L22" i="2"/>
  <c r="L21" i="2"/>
  <c r="L20" i="2"/>
  <c r="H19" i="2"/>
  <c r="H24" i="2" s="1"/>
  <c r="H25" i="2" s="1"/>
  <c r="H16" i="2"/>
  <c r="I11" i="2"/>
  <c r="C8" i="2"/>
  <c r="F7" i="2"/>
  <c r="C6" i="2"/>
  <c r="C5" i="2"/>
  <c r="C4" i="2"/>
  <c r="I3" i="2"/>
  <c r="A2" i="2"/>
  <c r="A1" i="2"/>
  <c r="J123" i="1"/>
  <c r="K123" i="1" s="1"/>
  <c r="L123" i="1" s="1"/>
  <c r="H123" i="1"/>
  <c r="I123" i="1" s="1"/>
  <c r="G123" i="1"/>
  <c r="F123" i="1"/>
  <c r="H121" i="1"/>
  <c r="K121" i="1" s="1"/>
  <c r="L121" i="1" s="1"/>
  <c r="G121" i="1"/>
  <c r="F121" i="1"/>
  <c r="K120" i="1"/>
  <c r="L120" i="1" s="1"/>
  <c r="J120" i="1"/>
  <c r="I120" i="1"/>
  <c r="H120" i="1"/>
  <c r="G120" i="1"/>
  <c r="F120" i="1"/>
  <c r="J119" i="1"/>
  <c r="H119" i="1"/>
  <c r="I119" i="1" s="1"/>
  <c r="G119" i="1"/>
  <c r="F119" i="1"/>
  <c r="K118" i="1"/>
  <c r="L118" i="1" s="1"/>
  <c r="J118" i="1"/>
  <c r="I118" i="1"/>
  <c r="H118" i="1"/>
  <c r="G118" i="1"/>
  <c r="F118" i="1"/>
  <c r="J117" i="1"/>
  <c r="H117" i="1"/>
  <c r="K117" i="1" s="1"/>
  <c r="L117" i="1" s="1"/>
  <c r="G117" i="1"/>
  <c r="F117" i="1"/>
  <c r="K116" i="1"/>
  <c r="L116" i="1" s="1"/>
  <c r="J116" i="1"/>
  <c r="H116" i="1"/>
  <c r="I116" i="1" s="1"/>
  <c r="G116" i="1"/>
  <c r="F116" i="1"/>
  <c r="J115" i="1"/>
  <c r="K115" i="1" s="1"/>
  <c r="L115" i="1" s="1"/>
  <c r="H115" i="1"/>
  <c r="I115" i="1" s="1"/>
  <c r="G115" i="1"/>
  <c r="F115" i="1"/>
  <c r="J114" i="1"/>
  <c r="I114" i="1"/>
  <c r="H114" i="1"/>
  <c r="K114" i="1" s="1"/>
  <c r="L114" i="1" s="1"/>
  <c r="G114" i="1"/>
  <c r="F114" i="1"/>
  <c r="J113" i="1"/>
  <c r="H113" i="1"/>
  <c r="K113" i="1" s="1"/>
  <c r="L113" i="1" s="1"/>
  <c r="G113" i="1"/>
  <c r="F113" i="1"/>
  <c r="K112" i="1"/>
  <c r="L112" i="1" s="1"/>
  <c r="J112" i="1"/>
  <c r="I112" i="1"/>
  <c r="H112" i="1"/>
  <c r="G112" i="1"/>
  <c r="F112" i="1"/>
  <c r="J111" i="1"/>
  <c r="H111" i="1"/>
  <c r="K111" i="1" s="1"/>
  <c r="L111" i="1" s="1"/>
  <c r="G111" i="1"/>
  <c r="F111" i="1"/>
  <c r="K110" i="1"/>
  <c r="L110" i="1" s="1"/>
  <c r="J110" i="1"/>
  <c r="I110" i="1"/>
  <c r="H110" i="1"/>
  <c r="G110" i="1"/>
  <c r="F110" i="1"/>
  <c r="J109" i="1"/>
  <c r="H109" i="1"/>
  <c r="K109" i="1" s="1"/>
  <c r="L109" i="1" s="1"/>
  <c r="G109" i="1"/>
  <c r="F109" i="1"/>
  <c r="K108" i="1"/>
  <c r="L108" i="1" s="1"/>
  <c r="J108" i="1"/>
  <c r="I108" i="1"/>
  <c r="H108" i="1"/>
  <c r="G108" i="1"/>
  <c r="F108" i="1"/>
  <c r="J107" i="1"/>
  <c r="H107" i="1"/>
  <c r="I107" i="1" s="1"/>
  <c r="G107" i="1"/>
  <c r="F107" i="1"/>
  <c r="K106" i="1"/>
  <c r="L106" i="1" s="1"/>
  <c r="J106" i="1"/>
  <c r="I106" i="1"/>
  <c r="H106" i="1"/>
  <c r="G106" i="1"/>
  <c r="F106" i="1"/>
  <c r="J105" i="1"/>
  <c r="H105" i="1"/>
  <c r="K105" i="1" s="1"/>
  <c r="L105" i="1" s="1"/>
  <c r="G105" i="1"/>
  <c r="F105" i="1"/>
  <c r="L101" i="1"/>
  <c r="H101" i="1"/>
  <c r="C101" i="1"/>
  <c r="C100" i="1"/>
  <c r="G91" i="1"/>
  <c r="F91" i="1"/>
  <c r="J90" i="1"/>
  <c r="H90" i="1"/>
  <c r="K90" i="1" s="1"/>
  <c r="L90" i="1" s="1"/>
  <c r="G90" i="1"/>
  <c r="F90" i="1"/>
  <c r="K89" i="1"/>
  <c r="L89" i="1" s="1"/>
  <c r="J89" i="1"/>
  <c r="I89" i="1"/>
  <c r="H89" i="1"/>
  <c r="G89" i="1"/>
  <c r="F89" i="1"/>
  <c r="J88" i="1"/>
  <c r="H88" i="1"/>
  <c r="K88" i="1" s="1"/>
  <c r="L88" i="1" s="1"/>
  <c r="G88" i="1"/>
  <c r="F88" i="1"/>
  <c r="K87" i="1"/>
  <c r="L87" i="1" s="1"/>
  <c r="J87" i="1"/>
  <c r="I87" i="1"/>
  <c r="H87" i="1"/>
  <c r="G87" i="1"/>
  <c r="F87" i="1"/>
  <c r="J86" i="1"/>
  <c r="H86" i="1"/>
  <c r="I86" i="1" s="1"/>
  <c r="G86" i="1"/>
  <c r="F86" i="1"/>
  <c r="K85" i="1"/>
  <c r="L85" i="1" s="1"/>
  <c r="J85" i="1"/>
  <c r="I85" i="1"/>
  <c r="H85" i="1"/>
  <c r="G85" i="1"/>
  <c r="F85" i="1"/>
  <c r="J84" i="1"/>
  <c r="H84" i="1"/>
  <c r="K84" i="1" s="1"/>
  <c r="L84" i="1" s="1"/>
  <c r="G84" i="1"/>
  <c r="F84" i="1"/>
  <c r="K83" i="1"/>
  <c r="L83" i="1" s="1"/>
  <c r="J83" i="1"/>
  <c r="H83" i="1"/>
  <c r="I83" i="1" s="1"/>
  <c r="G83" i="1"/>
  <c r="F83" i="1"/>
  <c r="J82" i="1"/>
  <c r="K82" i="1" s="1"/>
  <c r="L82" i="1" s="1"/>
  <c r="H82" i="1"/>
  <c r="I82" i="1" s="1"/>
  <c r="G82" i="1"/>
  <c r="F82" i="1"/>
  <c r="J81" i="1"/>
  <c r="H81" i="1"/>
  <c r="I81" i="1" s="1"/>
  <c r="G81" i="1"/>
  <c r="F81" i="1"/>
  <c r="J80" i="1"/>
  <c r="H80" i="1"/>
  <c r="K80" i="1" s="1"/>
  <c r="L80" i="1" s="1"/>
  <c r="G80" i="1"/>
  <c r="F80" i="1"/>
  <c r="J79" i="1"/>
  <c r="K79" i="1" s="1"/>
  <c r="L79" i="1" s="1"/>
  <c r="I79" i="1"/>
  <c r="H79" i="1"/>
  <c r="G79" i="1"/>
  <c r="F79" i="1"/>
  <c r="J78" i="1"/>
  <c r="H78" i="1"/>
  <c r="K78" i="1" s="1"/>
  <c r="L78" i="1" s="1"/>
  <c r="G78" i="1"/>
  <c r="F78" i="1"/>
  <c r="K77" i="1"/>
  <c r="L77" i="1" s="1"/>
  <c r="J77" i="1"/>
  <c r="I77" i="1"/>
  <c r="H77" i="1"/>
  <c r="G77" i="1"/>
  <c r="F77" i="1"/>
  <c r="J76" i="1"/>
  <c r="H76" i="1"/>
  <c r="K76" i="1" s="1"/>
  <c r="L76" i="1" s="1"/>
  <c r="G76" i="1"/>
  <c r="F76" i="1"/>
  <c r="K75" i="1"/>
  <c r="L75" i="1" s="1"/>
  <c r="J75" i="1"/>
  <c r="I75" i="1"/>
  <c r="H75" i="1"/>
  <c r="G75" i="1"/>
  <c r="F75" i="1"/>
  <c r="J74" i="1"/>
  <c r="H74" i="1"/>
  <c r="I74" i="1" s="1"/>
  <c r="G74" i="1"/>
  <c r="F74" i="1"/>
  <c r="K73" i="1"/>
  <c r="L73" i="1" s="1"/>
  <c r="J73" i="1"/>
  <c r="I73" i="1"/>
  <c r="H73" i="1"/>
  <c r="G73" i="1"/>
  <c r="F73" i="1"/>
  <c r="J72" i="1"/>
  <c r="H72" i="1"/>
  <c r="K72" i="1" s="1"/>
  <c r="L72" i="1" s="1"/>
  <c r="G72" i="1"/>
  <c r="F72" i="1"/>
  <c r="K71" i="1"/>
  <c r="L71" i="1" s="1"/>
  <c r="J71" i="1"/>
  <c r="H71" i="1"/>
  <c r="I71" i="1" s="1"/>
  <c r="G71" i="1"/>
  <c r="F71" i="1"/>
  <c r="J70" i="1"/>
  <c r="K70" i="1" s="1"/>
  <c r="L70" i="1" s="1"/>
  <c r="H70" i="1"/>
  <c r="I70" i="1" s="1"/>
  <c r="G70" i="1"/>
  <c r="F70" i="1"/>
  <c r="J69" i="1"/>
  <c r="H69" i="1"/>
  <c r="K69" i="1" s="1"/>
  <c r="L69" i="1" s="1"/>
  <c r="G69" i="1"/>
  <c r="F69" i="1"/>
  <c r="J68" i="1"/>
  <c r="H68" i="1"/>
  <c r="K68" i="1" s="1"/>
  <c r="L68" i="1" s="1"/>
  <c r="G68" i="1"/>
  <c r="F68" i="1"/>
  <c r="J67" i="1"/>
  <c r="I67" i="1"/>
  <c r="H67" i="1"/>
  <c r="K67" i="1" s="1"/>
  <c r="L67" i="1" s="1"/>
  <c r="G67" i="1"/>
  <c r="F67" i="1"/>
  <c r="J66" i="1"/>
  <c r="H66" i="1"/>
  <c r="K66" i="1" s="1"/>
  <c r="L66" i="1" s="1"/>
  <c r="G66" i="1"/>
  <c r="F66" i="1"/>
  <c r="K65" i="1"/>
  <c r="L65" i="1" s="1"/>
  <c r="J65" i="1"/>
  <c r="I65" i="1"/>
  <c r="H65" i="1"/>
  <c r="G65" i="1"/>
  <c r="F65" i="1"/>
  <c r="J64" i="1"/>
  <c r="H64" i="1"/>
  <c r="K64" i="1" s="1"/>
  <c r="L64" i="1" s="1"/>
  <c r="G64" i="1"/>
  <c r="F64" i="1"/>
  <c r="K62" i="1"/>
  <c r="L62" i="1" s="1"/>
  <c r="J62" i="1"/>
  <c r="I62" i="1"/>
  <c r="H62" i="1"/>
  <c r="G62" i="1"/>
  <c r="F62" i="1"/>
  <c r="J61" i="1"/>
  <c r="H61" i="1"/>
  <c r="I61" i="1" s="1"/>
  <c r="G61" i="1"/>
  <c r="F61" i="1"/>
  <c r="J60" i="1"/>
  <c r="G60" i="1"/>
  <c r="F60" i="1"/>
  <c r="H60" i="1" s="1"/>
  <c r="J59" i="1"/>
  <c r="H59" i="1"/>
  <c r="K59" i="1" s="1"/>
  <c r="L59" i="1" s="1"/>
  <c r="G59" i="1"/>
  <c r="F59" i="1"/>
  <c r="L53" i="1"/>
  <c r="H53" i="1"/>
  <c r="C53" i="1"/>
  <c r="I52" i="1"/>
  <c r="C52" i="1"/>
  <c r="J43" i="1"/>
  <c r="H43" i="1"/>
  <c r="K43" i="1" s="1"/>
  <c r="L43" i="1" s="1"/>
  <c r="J42" i="1"/>
  <c r="H42" i="1"/>
  <c r="I42" i="1" s="1"/>
  <c r="J41" i="1"/>
  <c r="K41" i="1" s="1"/>
  <c r="L41" i="1" s="1"/>
  <c r="H41" i="1"/>
  <c r="I41" i="1" s="1"/>
  <c r="D40" i="1"/>
  <c r="J39" i="1"/>
  <c r="K39" i="1" s="1"/>
  <c r="L39" i="1" s="1"/>
  <c r="H39" i="1"/>
  <c r="F39" i="1"/>
  <c r="D39" i="1"/>
  <c r="I39" i="1" s="1"/>
  <c r="J38" i="1"/>
  <c r="F38" i="1"/>
  <c r="H38" i="1" s="1"/>
  <c r="K37" i="1"/>
  <c r="G37" i="1"/>
  <c r="F37" i="1"/>
  <c r="J36" i="1"/>
  <c r="G36" i="1"/>
  <c r="H36" i="1" s="1"/>
  <c r="J35" i="1"/>
  <c r="K35" i="1" s="1"/>
  <c r="L35" i="1" s="1"/>
  <c r="I35" i="1"/>
  <c r="G35" i="1"/>
  <c r="D35" i="1"/>
  <c r="F35" i="1" s="1"/>
  <c r="J33" i="1"/>
  <c r="F33" i="1"/>
  <c r="H33" i="1" s="1"/>
  <c r="K32" i="1"/>
  <c r="L32" i="1" s="1"/>
  <c r="J32" i="1"/>
  <c r="I32" i="1"/>
  <c r="H32" i="1"/>
  <c r="J31" i="1"/>
  <c r="I31" i="1"/>
  <c r="H31" i="1"/>
  <c r="K31" i="1" s="1"/>
  <c r="L31" i="1" s="1"/>
  <c r="H30" i="1"/>
  <c r="D30" i="1"/>
  <c r="J30" i="1" s="1"/>
  <c r="H29" i="1"/>
  <c r="H28" i="1"/>
  <c r="D28" i="1"/>
  <c r="I28" i="1" s="1"/>
  <c r="D26" i="1"/>
  <c r="J26" i="1" s="1"/>
  <c r="K26" i="1" s="1"/>
  <c r="H25" i="1"/>
  <c r="J24" i="1"/>
  <c r="H24" i="1"/>
  <c r="I24" i="1" s="1"/>
  <c r="K23" i="1"/>
  <c r="G23" i="1"/>
  <c r="F23" i="1"/>
  <c r="J22" i="1"/>
  <c r="D22" i="1"/>
  <c r="K20" i="1"/>
  <c r="I20" i="1"/>
  <c r="H20" i="1"/>
  <c r="J19" i="1"/>
  <c r="G19" i="1"/>
  <c r="H19" i="1" s="1"/>
  <c r="F19" i="1"/>
  <c r="G18" i="1"/>
  <c r="F18" i="1"/>
  <c r="H18" i="1" s="1"/>
  <c r="K17" i="1"/>
  <c r="G15" i="1"/>
  <c r="D15" i="1"/>
  <c r="J15" i="1" s="1"/>
  <c r="F14" i="1"/>
  <c r="H13" i="1"/>
  <c r="D13" i="1"/>
  <c r="D18" i="1" s="1"/>
  <c r="G12" i="1"/>
  <c r="D12" i="1"/>
  <c r="J12" i="1" s="1"/>
  <c r="J11" i="1"/>
  <c r="K11" i="1" s="1"/>
  <c r="L11" i="1" s="1"/>
  <c r="I11" i="1"/>
  <c r="G11" i="1"/>
  <c r="F11" i="1"/>
  <c r="D11" i="1"/>
  <c r="H10" i="1"/>
  <c r="D10" i="1"/>
  <c r="G10" i="1" s="1"/>
  <c r="J9" i="1"/>
  <c r="K9" i="1" s="1"/>
  <c r="L9" i="1" s="1"/>
  <c r="H9" i="1"/>
  <c r="I9" i="1" s="1"/>
  <c r="F9" i="1"/>
  <c r="D9" i="1"/>
  <c r="G9" i="1" s="1"/>
  <c r="J7" i="1"/>
  <c r="H7" i="1"/>
  <c r="I7" i="1" s="1"/>
  <c r="F7" i="1"/>
  <c r="H3" i="1"/>
  <c r="C3" i="1"/>
  <c r="H2" i="1"/>
  <c r="I100" i="1" s="1"/>
  <c r="C2" i="1"/>
  <c r="D28" i="2" l="1"/>
  <c r="B26" i="2"/>
  <c r="K19" i="1"/>
  <c r="L19" i="1" s="1"/>
  <c r="I19" i="1"/>
  <c r="I38" i="1"/>
  <c r="K38" i="1"/>
  <c r="L38" i="1" s="1"/>
  <c r="K33" i="1"/>
  <c r="L33" i="1" s="1"/>
  <c r="I33" i="1"/>
  <c r="L18" i="1"/>
  <c r="D21" i="1"/>
  <c r="J18" i="1"/>
  <c r="I18" i="1"/>
  <c r="K30" i="1"/>
  <c r="K36" i="1"/>
  <c r="L36" i="1" s="1"/>
  <c r="I36" i="1"/>
  <c r="K18" i="1"/>
  <c r="K60" i="1"/>
  <c r="L60" i="1" s="1"/>
  <c r="I60" i="1"/>
  <c r="F10" i="1"/>
  <c r="I69" i="1"/>
  <c r="K7" i="1"/>
  <c r="L7" i="1" s="1"/>
  <c r="L30" i="1"/>
  <c r="K61" i="1"/>
  <c r="L61" i="1" s="1"/>
  <c r="I64" i="1"/>
  <c r="K74" i="1"/>
  <c r="L74" i="1" s="1"/>
  <c r="I76" i="1"/>
  <c r="K86" i="1"/>
  <c r="L86" i="1" s="1"/>
  <c r="I88" i="1"/>
  <c r="K107" i="1"/>
  <c r="L107" i="1" s="1"/>
  <c r="I109" i="1"/>
  <c r="K119" i="1"/>
  <c r="L119" i="1" s="1"/>
  <c r="I121" i="1"/>
  <c r="I13" i="1"/>
  <c r="F22" i="1"/>
  <c r="K24" i="1"/>
  <c r="L24" i="1" s="1"/>
  <c r="L26" i="1"/>
  <c r="D29" i="1"/>
  <c r="K42" i="1"/>
  <c r="L42" i="1" s="1"/>
  <c r="K81" i="1"/>
  <c r="L81" i="1" s="1"/>
  <c r="I10" i="1"/>
  <c r="F12" i="1"/>
  <c r="J13" i="1"/>
  <c r="K13" i="1" s="1"/>
  <c r="F15" i="1"/>
  <c r="H15" i="1" s="1"/>
  <c r="G22" i="1"/>
  <c r="D27" i="1"/>
  <c r="J40" i="1"/>
  <c r="I66" i="1"/>
  <c r="I78" i="1"/>
  <c r="I90" i="1"/>
  <c r="I111" i="1"/>
  <c r="F13" i="1"/>
  <c r="I26" i="1"/>
  <c r="I30" i="1"/>
  <c r="D25" i="1"/>
  <c r="H12" i="1"/>
  <c r="L13" i="1"/>
  <c r="I43" i="1"/>
  <c r="I68" i="1"/>
  <c r="I80" i="1"/>
  <c r="I113" i="1"/>
  <c r="D14" i="1"/>
  <c r="G13" i="1"/>
  <c r="J10" i="1"/>
  <c r="K10" i="1" s="1"/>
  <c r="L10" i="1" s="1"/>
  <c r="I59" i="1"/>
  <c r="I72" i="1"/>
  <c r="I84" i="1"/>
  <c r="I105" i="1"/>
  <c r="I117" i="1"/>
  <c r="J28" i="1"/>
  <c r="K28" i="1" s="1"/>
  <c r="L28" i="1" s="1"/>
  <c r="I12" i="1" l="1"/>
  <c r="K12" i="1"/>
  <c r="L12" i="1" s="1"/>
  <c r="K15" i="1"/>
  <c r="L15" i="1" s="1"/>
  <c r="I15" i="1"/>
  <c r="J25" i="1"/>
  <c r="K25" i="1" s="1"/>
  <c r="L25" i="1" s="1"/>
  <c r="I25" i="1"/>
  <c r="G21" i="1"/>
  <c r="F21" i="1"/>
  <c r="H21" i="1" s="1"/>
  <c r="J21" i="1"/>
  <c r="G14" i="1"/>
  <c r="H14" i="1" s="1"/>
  <c r="J14" i="1"/>
  <c r="I29" i="1"/>
  <c r="J29" i="1"/>
  <c r="K29" i="1" s="1"/>
  <c r="L29" i="1" s="1"/>
  <c r="J27" i="1"/>
  <c r="K27" i="1" s="1"/>
  <c r="L27" i="1" s="1"/>
  <c r="I27" i="1"/>
  <c r="H22" i="1"/>
  <c r="F40" i="1" l="1"/>
  <c r="H40" i="1" s="1"/>
  <c r="K21" i="1"/>
  <c r="L21" i="1" s="1"/>
  <c r="I21" i="1"/>
  <c r="K22" i="1"/>
  <c r="I22" i="1"/>
  <c r="K14" i="1"/>
  <c r="L14" i="1" s="1"/>
  <c r="I14" i="1"/>
  <c r="I45" i="1" l="1"/>
  <c r="I56" i="1" s="1"/>
  <c r="I98" i="1" s="1"/>
  <c r="I104" i="1" s="1"/>
  <c r="K40" i="1"/>
  <c r="L40" i="1" s="1"/>
  <c r="I40" i="1"/>
  <c r="L45" i="1"/>
  <c r="L56" i="1" s="1"/>
  <c r="L98" i="1" s="1"/>
  <c r="L104" i="1" s="1"/>
  <c r="L133" i="1" s="1"/>
  <c r="I133" i="1" l="1"/>
  <c r="I1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26" authorId="0" shapeId="0" xr:uid="{594F9051-14DB-41EC-9EFE-F06EBCBA52FC}">
      <text>
        <r>
          <rPr>
            <b/>
            <sz val="9"/>
            <color indexed="81"/>
            <rFont val="Tahoma"/>
            <charset val="222"/>
          </rPr>
          <t>+400</t>
        </r>
        <r>
          <rPr>
            <sz val="9"/>
            <color indexed="81"/>
            <rFont val="Tahoma"/>
            <charset val="222"/>
          </rPr>
          <t xml:space="preserve">
</t>
        </r>
      </text>
    </comment>
    <comment ref="D28" authorId="0" shapeId="0" xr:uid="{0403D2E7-4F2D-4165-8EFB-549652742DF3}">
      <text>
        <r>
          <rPr>
            <sz val="9"/>
            <color indexed="81"/>
            <rFont val="Tahoma"/>
            <family val="2"/>
          </rPr>
          <t xml:space="preserve">เพิ่มเพื่อปรับราคา
</t>
        </r>
      </text>
    </comment>
  </commentList>
</comments>
</file>

<file path=xl/sharedStrings.xml><?xml version="1.0" encoding="utf-8"?>
<sst xmlns="http://schemas.openxmlformats.org/spreadsheetml/2006/main" count="324" uniqueCount="189">
  <si>
    <t>บัญชีราคากลาง</t>
  </si>
  <si>
    <t>รหัสสายทาง</t>
  </si>
  <si>
    <t>ชื่อสายทาง</t>
  </si>
  <si>
    <t>สถานที่ตั้ง</t>
  </si>
  <si>
    <t xml:space="preserve"> =</t>
  </si>
  <si>
    <t>กม.</t>
  </si>
  <si>
    <t>ที่</t>
  </si>
  <si>
    <t xml:space="preserve">   รายการ</t>
  </si>
  <si>
    <t>จำนวน</t>
  </si>
  <si>
    <t>หน่วย</t>
  </si>
  <si>
    <t>ราคาวัสดุ-ค่าแรง-ต่อหน่วย</t>
  </si>
  <si>
    <t>จำนวนเงิน</t>
  </si>
  <si>
    <t>Factor F</t>
  </si>
  <si>
    <t>ราคากลาง (บาท)</t>
  </si>
  <si>
    <t>หมายเหตุ</t>
  </si>
  <si>
    <t>วัสดุ</t>
  </si>
  <si>
    <t>ค่าแรง</t>
  </si>
  <si>
    <t>รวม</t>
  </si>
  <si>
    <t>(บาท)</t>
  </si>
  <si>
    <t>ราคาต่อหน่วย</t>
  </si>
  <si>
    <t>งานปรับปรุงโครงสร้างทาง</t>
  </si>
  <si>
    <t>1.1 งานขุดล้อมพร้อมขนย้ายต้นไม้</t>
  </si>
  <si>
    <t>ต้น</t>
  </si>
  <si>
    <t>ราคา  กทม.</t>
  </si>
  <si>
    <t xml:space="preserve">     ขุดล้อมขนาด dia.2.01-2.50 เมตร</t>
  </si>
  <si>
    <t>1.2 งานรื้อคันหินเดิม(ขนทิ้ง)</t>
  </si>
  <si>
    <t>ลบ.ม.</t>
  </si>
  <si>
    <t>1.3 งานรื้อทางเท้า คสล.หนา 0.10 ม.  เดิม (ขนทิ้ง)</t>
  </si>
  <si>
    <t>ตร.ม.</t>
  </si>
  <si>
    <t>1.4 งานขุดรื้อดินเดิม (ขนทิ้ง)</t>
  </si>
  <si>
    <t>1.5 งานปรับพื้นเดิมแล้วบดทับ</t>
  </si>
  <si>
    <t>1.6 งาน Pavement In-Place Recycling</t>
  </si>
  <si>
    <t>1.7 งานหินคลุกปรับระดับ(หลวม)หนาเฉลี่ย 0.03  ม.</t>
  </si>
  <si>
    <t>1.8 หินคลุกบดอัดแน่นหนา 0.20 ม.</t>
  </si>
  <si>
    <t>งานผิวทาง</t>
  </si>
  <si>
    <t>2.2 Prime  Coat</t>
  </si>
  <si>
    <t>2.3 Tack  Coat</t>
  </si>
  <si>
    <t>2.4 Asphaltic  Concrete</t>
  </si>
  <si>
    <t xml:space="preserve"> -  Asphaltic  Concrete  (ปูบน Prime  Coat)</t>
  </si>
  <si>
    <t xml:space="preserve"> -  Asphaltic  Concrete  (ปูบน Tack  Coat)</t>
  </si>
  <si>
    <t xml:space="preserve"> </t>
  </si>
  <si>
    <t>งานก่อสร้างทางเท้า+บ่อพักน้ำ</t>
  </si>
  <si>
    <t>3.1 ดินถมบดอัดแน่น</t>
  </si>
  <si>
    <t>3.2 ทรายรองพื้นบดอัดแน่นด้วยแรงคน</t>
  </si>
  <si>
    <t>3.3 งานเทคอนกรีตทางเท้าหนา 0.10 ม.</t>
  </si>
  <si>
    <t>3.4 งานผิวทางเท้า แผ่นคอนกรีต 40x40x3.5ซม.  มีลวดลาย</t>
  </si>
  <si>
    <t>สืบราคา</t>
  </si>
  <si>
    <t>3.5 งานตัดรื้อคอนกรีตบ่อพัก+ฝา คสล.(เดิม)</t>
  </si>
  <si>
    <t>3.6 งานติดตั้งเหล็กฉากบ่อพัก +ฝาตะแกรงเหล็ก(ใหม่)</t>
  </si>
  <si>
    <t>บ่อ</t>
  </si>
  <si>
    <t>3.7  งานคันหินทางเท้าหล่อในที่</t>
  </si>
  <si>
    <t>เมตร</t>
  </si>
  <si>
    <t>3.8  งานคันหินเตี้ยหล่อในที่</t>
  </si>
  <si>
    <t>3.9  งานคันหินปิดหลังทางเท้าหล่อในที่</t>
  </si>
  <si>
    <t>3.10  งานบ่อพักน้ำก่อสร้างใหม่</t>
  </si>
  <si>
    <t>งานตีเส้นจราจร</t>
  </si>
  <si>
    <t>4.1 สีเทอร์โมพลาสติก</t>
  </si>
  <si>
    <t>4.2 ทางม้าลาย</t>
  </si>
  <si>
    <t>งานอื่นๆ</t>
  </si>
  <si>
    <t>5.1 งานย้ายเสาไฟฟ้าแสงสว่าง(ไฟกิ่งถนน)</t>
  </si>
  <si>
    <t>5.2 งานทาสีคันหินทางเท้า</t>
  </si>
  <si>
    <t>5.3งานทางเชื่อมอาคาร+เชื่อมทางร่วมทางแยก</t>
  </si>
  <si>
    <t>ราคาผิว  AC.</t>
  </si>
  <si>
    <t>5.4 งานไฟสัญญาณไฟกระพริบระบบโซลาร์เซลล์</t>
  </si>
  <si>
    <t>ชุด</t>
  </si>
  <si>
    <t>ราคาสืบ</t>
  </si>
  <si>
    <t>5.5 งานรื้อย้าย ประตูน้ำประปา</t>
  </si>
  <si>
    <t>5.6 งานรื้อย้ายป้ายหน่วยงานเก็บ+ติดตั้งใหม่</t>
  </si>
  <si>
    <t>เหมา</t>
  </si>
  <si>
    <t>คิดค่าแรง/วัน</t>
  </si>
  <si>
    <t>ยอดยกไป</t>
  </si>
  <si>
    <t>รายละเอียดการประมาณราคา</t>
  </si>
  <si>
    <t>=</t>
  </si>
  <si>
    <t>ยอดยกมา</t>
  </si>
  <si>
    <t>งานจราจรสงเคราะห์</t>
  </si>
  <si>
    <t>5.1 งานปรับปรุง</t>
  </si>
  <si>
    <t xml:space="preserve">   5.1.1 หลักแนวโค้ง ค.ส.ล.</t>
  </si>
  <si>
    <t>หลัก</t>
  </si>
  <si>
    <t xml:space="preserve">   5.1.2 หลักกิโลเมตร</t>
  </si>
  <si>
    <t xml:space="preserve">   5.1.3 ป้ายจราจร</t>
  </si>
  <si>
    <t xml:space="preserve">   5.1.4 GUARD RAIL</t>
  </si>
  <si>
    <t>5.2 งานติดตั้ง</t>
  </si>
  <si>
    <t xml:space="preserve">   5.2.1 ป้ายกำหนดน้ำหนักบรรทุก</t>
  </si>
  <si>
    <t xml:space="preserve">   5.2.2 ป้ายจราจรแบบ บ1.</t>
  </si>
  <si>
    <t>แบบที่ 9</t>
  </si>
  <si>
    <t xml:space="preserve">   5.2.3 ป้ายจราจรแบบ บ2.</t>
  </si>
  <si>
    <t xml:space="preserve">   5.2.4 ป้ายจราจร บ3 - บ55</t>
  </si>
  <si>
    <t xml:space="preserve">   5.2.5 ป้ายจราจรแบบ ต1-ต27,ต31-ต56,ต58-ต60,ต75</t>
  </si>
  <si>
    <t xml:space="preserve">   5.2.6 ป้ายจราจร ต28-ต30,ต57,ต62</t>
  </si>
  <si>
    <t xml:space="preserve">   5.2.7 ป้ายจราจร ต61</t>
  </si>
  <si>
    <r>
      <t xml:space="preserve">   5.2.8 ป้ายจราจรแบบ ต63,ต66</t>
    </r>
    <r>
      <rPr>
        <sz val="12"/>
        <rFont val="TH Sarabun New"/>
        <family val="2"/>
      </rPr>
      <t xml:space="preserve"> (2 แผ่นป้ายต่อชุด)</t>
    </r>
  </si>
  <si>
    <t xml:space="preserve">   5.2.9 ป้ายจราจรแบบ ต64,ต67</t>
  </si>
  <si>
    <t xml:space="preserve">   5.2.10 ป้ายจราจรแบบ ต65,ต68</t>
  </si>
  <si>
    <t xml:space="preserve">   5.2.11 ป้ายจราจรแบบ ต69</t>
  </si>
  <si>
    <t xml:space="preserve">   5.2.12 ป้ายจราจรแบบ ต70</t>
  </si>
  <si>
    <t xml:space="preserve">   5.2.13 ป้ายจราจรแบบ ต71 - ต73</t>
  </si>
  <si>
    <t xml:space="preserve">   5.2.14 ป้ายจราจรแบบ ต74</t>
  </si>
  <si>
    <t xml:space="preserve">   5.2.15 ป้ายจราจรแบบ ต76</t>
  </si>
  <si>
    <t xml:space="preserve">   5.2.16 ป้ายจราจรแบบ ต77</t>
  </si>
  <si>
    <t xml:space="preserve">   5.2.17 ป้ายจราจรแบบ ต78</t>
  </si>
  <si>
    <t xml:space="preserve">   5.2.18 ป้ายจราจรแบบ น1</t>
  </si>
  <si>
    <t xml:space="preserve">   5.2.19 ป้ายจราจรแบบ น2 ( 1 แผ่นป้าย )</t>
  </si>
  <si>
    <t xml:space="preserve">   5.2.20 ป้ายจราจรแบบ น2 ( 2 แผ่นป้าย )</t>
  </si>
  <si>
    <t xml:space="preserve">   5.2.21 ป้ายจราจรแบบ น2 ( 3 แผ่นป้าย )</t>
  </si>
  <si>
    <t xml:space="preserve">   5.2.22 ป้ายจราจรแบบ น3</t>
  </si>
  <si>
    <t xml:space="preserve">   5.2.23 ป้ายจราจรแบบ น4</t>
  </si>
  <si>
    <t xml:space="preserve">   5.2.24 ป้ายจราจรแบบ น5</t>
  </si>
  <si>
    <t xml:space="preserve">   5.2.25 ป้ายจราจรแบบ น6 </t>
  </si>
  <si>
    <t xml:space="preserve">   5.2.26 ป้ายจราจรแบบ น7 - น20</t>
  </si>
  <si>
    <r>
      <t xml:space="preserve">   5.2.27 </t>
    </r>
    <r>
      <rPr>
        <sz val="13.5"/>
        <rFont val="TH Sarabun New"/>
        <family val="2"/>
      </rPr>
      <t xml:space="preserve">ป้ายจราจรแบบ </t>
    </r>
    <r>
      <rPr>
        <sz val="13"/>
        <rFont val="TH Sarabun New"/>
        <family val="2"/>
      </rPr>
      <t>บ3-บ55+ต1-ต28</t>
    </r>
  </si>
  <si>
    <t>,ต31-ต56,ต56-ต60,ต75</t>
  </si>
  <si>
    <r>
      <t xml:space="preserve">   5.2.28 ป้ายจราจรแบบ </t>
    </r>
    <r>
      <rPr>
        <sz val="13"/>
        <rFont val="TH Sarabun New"/>
        <family val="2"/>
      </rPr>
      <t>บ3-บ55 + ต71-ต73</t>
    </r>
  </si>
  <si>
    <t xml:space="preserve">   5.2.29 ป้ายจราจรแบบ </t>
  </si>
  <si>
    <t xml:space="preserve">   5.2.30 ป้ายจราจรแบบ </t>
  </si>
  <si>
    <t xml:space="preserve">   5.2.31 ป้ายจราจรแบบ </t>
  </si>
  <si>
    <t xml:space="preserve">   5.2.32 ป้ายจราจรแบบ </t>
  </si>
  <si>
    <t xml:space="preserve">   5.2.33 หลักแนวโค้ง ค.ส.ล.</t>
  </si>
  <si>
    <t xml:space="preserve">   5.2.34 หลักกิโลเมตร</t>
  </si>
  <si>
    <t xml:space="preserve">   5.2.35 หลักเขตทาง</t>
  </si>
  <si>
    <t xml:space="preserve">   5.2.36 หลักนำทาง</t>
  </si>
  <si>
    <t xml:space="preserve">   5.2.37 Guard  Rail บริเวณทางโค้งหรือคอสะพาน</t>
  </si>
  <si>
    <t xml:space="preserve">   5.2.38 Guard  Rail บริเวณทางตรง</t>
  </si>
  <si>
    <t xml:space="preserve">   5.2.39 ตีเส้นทางรถไฟตัดผ่าน</t>
  </si>
  <si>
    <t>แห่ง</t>
  </si>
  <si>
    <t xml:space="preserve">   5.2.40 ติดตั้งปุ่มสะท้อนแสง ( 2 หน้า )</t>
  </si>
  <si>
    <t>ปุ่ม</t>
  </si>
  <si>
    <t xml:space="preserve">   5.2.41 ติดตั้งสัญญาณไฟกระพริบ</t>
  </si>
  <si>
    <t xml:space="preserve">   5.2.42 ปรับปรุงสะพาน คสล</t>
  </si>
  <si>
    <t xml:space="preserve">   5.2.44 Timber Barricade</t>
  </si>
  <si>
    <t xml:space="preserve">   5.2.43 ป้ายจราจรระหว่างการก่อสร้าง</t>
  </si>
  <si>
    <t>รูปแบบที่ 2</t>
  </si>
  <si>
    <t>SOLAR STREET LED-LIGHT สูง 6 เมตร</t>
  </si>
  <si>
    <t>โคมไฟ LED ขนาดไม่น้อยกว่า 30 W</t>
  </si>
  <si>
    <t>LED Chip Life Span 50,000 ชั่วโมง</t>
  </si>
  <si>
    <t>แผงโซล่าเซลล์ แบบ Polycrystalline 12 V 60W</t>
  </si>
  <si>
    <t>แบตเตอรี่ชนิด Lithum-lon 12 V 30 AH</t>
  </si>
  <si>
    <t>มุมกระจายแสง 120 องศา</t>
  </si>
  <si>
    <t>ได้มาตราฐาน IP65</t>
  </si>
  <si>
    <t>ติดตั้งในเสาไฟสูง 6 เมตร ศก.4" สูง 6 ม.</t>
  </si>
  <si>
    <t>ฐานคอนกรีต คสล.</t>
  </si>
  <si>
    <r>
      <t>ประเภทงาน</t>
    </r>
    <r>
      <rPr>
        <sz val="14"/>
        <rFont val="AngsanaUPC"/>
        <family val="1"/>
        <charset val="222"/>
      </rPr>
      <t xml:space="preserve">            </t>
    </r>
  </si>
  <si>
    <r>
      <t>เจ้าของโครงการ</t>
    </r>
    <r>
      <rPr>
        <sz val="14"/>
        <rFont val="AngsanaUPC"/>
        <family val="1"/>
        <charset val="222"/>
      </rPr>
      <t xml:space="preserve">       </t>
    </r>
  </si>
  <si>
    <r>
      <t>รหัสสายทาง</t>
    </r>
    <r>
      <rPr>
        <sz val="14"/>
        <rFont val="AngsanaUPC"/>
        <family val="1"/>
        <charset val="222"/>
      </rPr>
      <t xml:space="preserve">                              </t>
    </r>
  </si>
  <si>
    <t xml:space="preserve">ชื่อสายทาง   </t>
  </si>
  <si>
    <r>
      <t xml:space="preserve">สถานที่ตั้ง </t>
    </r>
    <r>
      <rPr>
        <sz val="14"/>
        <rFont val="AngsanaUPC"/>
        <family val="1"/>
        <charset val="222"/>
      </rPr>
      <t xml:space="preserve">             </t>
    </r>
  </si>
  <si>
    <r>
      <t xml:space="preserve">ลักษณะสายทางเดิม   </t>
    </r>
    <r>
      <rPr>
        <sz val="14"/>
        <rFont val="AngsanaUPC"/>
        <family val="1"/>
        <charset val="222"/>
      </rPr>
      <t xml:space="preserve">    </t>
    </r>
  </si>
  <si>
    <t xml:space="preserve">ชนิดผิวทาง   </t>
  </si>
  <si>
    <t>แอสฟัลท์ติกคอนกรีต</t>
  </si>
  <si>
    <t xml:space="preserve">กว้างรวมผิวจราจรเฉลี่ยข้างละ             </t>
  </si>
  <si>
    <t>7.5-10.50</t>
  </si>
  <si>
    <t>ระยะทางดำเนินการซ่อมสร้าง ฯ รวม 2 ช่วง</t>
  </si>
  <si>
    <t>ช่วง  3 ซ้ายทาง  กม.</t>
  </si>
  <si>
    <t>0+000</t>
  </si>
  <si>
    <t xml:space="preserve">ถึง  กม. </t>
  </si>
  <si>
    <t>0+684</t>
  </si>
  <si>
    <t>0+949</t>
  </si>
  <si>
    <t>1+465</t>
  </si>
  <si>
    <t>ระยะทางรวม</t>
  </si>
  <si>
    <t>ช่วง  4 ขวาทาง  กม.</t>
  </si>
  <si>
    <t>0+655</t>
  </si>
  <si>
    <t>0+895</t>
  </si>
  <si>
    <t>1+440</t>
  </si>
  <si>
    <t xml:space="preserve">หรือมีพื้นที่ผิวทางรวมทางร่วมทางแยก พร้อมช่วงจุดกลับรถไม่น้อยกว่า </t>
  </si>
  <si>
    <t>ตารางเมตร</t>
  </si>
  <si>
    <t>รายละเอียดตามประมาณการและแบบแปลนของ องค์การบริหารส่วนจังหวัดพะเยา</t>
  </si>
  <si>
    <t>.</t>
  </si>
  <si>
    <t>รวมค่างานก่อสร้าง</t>
  </si>
  <si>
    <t xml:space="preserve">   หมายเหตุ</t>
  </si>
  <si>
    <t>คิดเป็นราคาค่าก่อสร้าง</t>
  </si>
  <si>
    <t>ป้ายเหล็กโครงการ</t>
  </si>
  <si>
    <t xml:space="preserve"> - เงินล่วงหน้าจ่าย </t>
  </si>
  <si>
    <t>ป้ายประชาสัมพันธ์โครงการ 4 ป้าย</t>
  </si>
  <si>
    <t xml:space="preserve"> - ดอกเบี้ยเงินกู้      </t>
  </si>
  <si>
    <t xml:space="preserve"> - เงินประกันผลงานหัก </t>
  </si>
  <si>
    <t xml:space="preserve"> - พื้นที่</t>
  </si>
  <si>
    <t>สรุป</t>
  </si>
  <si>
    <t>รวมเป็นราคาค่าก่อสร้างประมาณ</t>
  </si>
  <si>
    <t>คิดเป็นราคากลาง</t>
  </si>
  <si>
    <t xml:space="preserve">ระยะทางดำเนินการ       </t>
  </si>
  <si>
    <t>เฉลี่ยราคา  กม.ละ</t>
  </si>
  <si>
    <t>บาท</t>
  </si>
  <si>
    <t>(ลงชื่อ)  ................................................ ประธานกรมการ</t>
  </si>
  <si>
    <t>(นายธานินทร์   สักลอ  )</t>
  </si>
  <si>
    <t>หัวหน้าฝ่ายสำรวจและออกแบบ</t>
  </si>
  <si>
    <t>(ลงชื่อ) .................................................. กรรมการ</t>
  </si>
  <si>
    <t>(นายณฐพงศ์   มหาวัน  )</t>
  </si>
  <si>
    <t>วิศวกรโยธาชำนาญการ</t>
  </si>
  <si>
    <t>(นายพิษณุ  ชัยปัน  )</t>
  </si>
  <si>
    <t>นายช่างสำรวจปฏิบัติงาน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</si>
</sst>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0.000"/>
    <numFmt numFmtId="167" formatCode="_-* #,##0.0000_-;\-* #,##0.0000_-;_-* &quot;-&quot;??_-;_-@_-"/>
    <numFmt numFmtId="168" formatCode="#,##0.000"/>
    <numFmt numFmtId="169" formatCode="0\+000"/>
    <numFmt numFmtId="170" formatCode="_(* #,##0.000_);_(* \(#,##0.000\);_(* &quot; &quot;??_);_(@_)"/>
    <numFmt numFmtId="171" formatCode="_(* #,##0.00_);_(* \(#,##0.00\);_(* &quot; &quot;??_);_(@_)"/>
    <numFmt numFmtId="172" formatCode="0.0%"/>
  </numFmts>
  <fonts count="30" x14ac:knownFonts="1">
    <font>
      <sz val="14"/>
      <name val="Cordia New"/>
      <charset val="222"/>
    </font>
    <font>
      <b/>
      <sz val="16"/>
      <name val="TH Sarabun New"/>
      <family val="2"/>
    </font>
    <font>
      <sz val="14"/>
      <name val="TH Sarabun New"/>
      <family val="2"/>
    </font>
    <font>
      <b/>
      <sz val="14"/>
      <name val="TH Sarabun New"/>
      <family val="2"/>
    </font>
    <font>
      <sz val="14"/>
      <name val="Cordia New"/>
      <family val="2"/>
    </font>
    <font>
      <sz val="12"/>
      <name val="TH Sarabun New"/>
      <family val="2"/>
    </font>
    <font>
      <b/>
      <sz val="12"/>
      <name val="TH Sarabun New"/>
      <family val="2"/>
    </font>
    <font>
      <sz val="11"/>
      <name val="TH Sarabun New"/>
      <family val="2"/>
    </font>
    <font>
      <sz val="13"/>
      <name val="TH Sarabun New"/>
      <family val="2"/>
    </font>
    <font>
      <sz val="12"/>
      <color theme="1"/>
      <name val="TH Sarabun New"/>
      <family val="2"/>
    </font>
    <font>
      <b/>
      <sz val="14"/>
      <color indexed="10"/>
      <name val="TH Sarabun New"/>
      <family val="2"/>
    </font>
    <font>
      <sz val="14"/>
      <color indexed="10"/>
      <name val="TH Sarabun New"/>
      <family val="2"/>
    </font>
    <font>
      <sz val="14"/>
      <color rgb="FFFF0000"/>
      <name val="TH Sarabun New"/>
      <family val="2"/>
    </font>
    <font>
      <sz val="9"/>
      <name val="TH Sarabun New"/>
      <family val="2"/>
    </font>
    <font>
      <sz val="12"/>
      <color rgb="FFFF0000"/>
      <name val="TH Sarabun New"/>
      <family val="2"/>
    </font>
    <font>
      <sz val="13.5"/>
      <name val="TH Sarabun New"/>
      <family val="2"/>
    </font>
    <font>
      <b/>
      <sz val="11"/>
      <name val="TH Sarabun New"/>
      <family val="2"/>
    </font>
    <font>
      <b/>
      <sz val="14"/>
      <color theme="0"/>
      <name val="TH Sarabun New"/>
      <family val="2"/>
    </font>
    <font>
      <b/>
      <sz val="9"/>
      <color indexed="81"/>
      <name val="Tahoma"/>
      <charset val="222"/>
    </font>
    <font>
      <sz val="9"/>
      <color indexed="81"/>
      <name val="Tahoma"/>
      <charset val="222"/>
    </font>
    <font>
      <sz val="9"/>
      <color indexed="81"/>
      <name val="Tahoma"/>
      <family val="2"/>
    </font>
    <font>
      <b/>
      <sz val="14"/>
      <name val="AngsanaUPC"/>
      <family val="1"/>
      <charset val="222"/>
    </font>
    <font>
      <sz val="14"/>
      <name val="AngsanaUPC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1"/>
      <name val="AngsanaUPC"/>
      <family val="1"/>
      <charset val="222"/>
    </font>
    <font>
      <b/>
      <sz val="12"/>
      <name val="Angsana New"/>
      <family val="1"/>
    </font>
    <font>
      <sz val="12"/>
      <name val="Angsana New"/>
      <family val="1"/>
    </font>
    <font>
      <sz val="14"/>
      <name val="Angsana New"/>
      <family val="1"/>
    </font>
    <font>
      <sz val="11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4" fontId="4" fillId="0" borderId="0"/>
  </cellStyleXfs>
  <cellXfs count="21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165" fontId="5" fillId="0" borderId="0" xfId="1" applyNumberFormat="1" applyFont="1" applyProtection="1"/>
    <xf numFmtId="0" fontId="6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8" fillId="0" borderId="0" xfId="0" applyFont="1"/>
    <xf numFmtId="166" fontId="2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165" fontId="5" fillId="0" borderId="1" xfId="1" applyNumberFormat="1" applyFont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5" fontId="5" fillId="0" borderId="8" xfId="1" applyNumberFormat="1" applyFont="1" applyBorder="1" applyAlignment="1" applyProtection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0" fontId="2" fillId="0" borderId="7" xfId="0" applyFont="1" applyBorder="1"/>
    <xf numFmtId="165" fontId="5" fillId="0" borderId="7" xfId="1" applyNumberFormat="1" applyFont="1" applyBorder="1" applyProtection="1"/>
    <xf numFmtId="165" fontId="9" fillId="0" borderId="7" xfId="1" applyNumberFormat="1" applyFont="1" applyFill="1" applyBorder="1" applyAlignment="1" applyProtection="1">
      <alignment horizontal="center"/>
    </xf>
    <xf numFmtId="43" fontId="2" fillId="0" borderId="7" xfId="0" applyNumberFormat="1" applyFont="1" applyBorder="1"/>
    <xf numFmtId="164" fontId="2" fillId="0" borderId="7" xfId="0" applyNumberFormat="1" applyFont="1" applyBorder="1"/>
    <xf numFmtId="167" fontId="2" fillId="0" borderId="7" xfId="0" applyNumberFormat="1" applyFont="1" applyBorder="1"/>
    <xf numFmtId="0" fontId="2" fillId="0" borderId="4" xfId="0" applyFont="1" applyBorder="1"/>
    <xf numFmtId="0" fontId="2" fillId="0" borderId="6" xfId="0" applyFont="1" applyBorder="1"/>
    <xf numFmtId="165" fontId="5" fillId="0" borderId="7" xfId="1" applyNumberFormat="1" applyFont="1" applyFill="1" applyBorder="1" applyProtection="1"/>
    <xf numFmtId="0" fontId="10" fillId="0" borderId="7" xfId="0" applyFont="1" applyBorder="1" applyAlignment="1">
      <alignment horizontal="center"/>
    </xf>
    <xf numFmtId="164" fontId="9" fillId="0" borderId="7" xfId="1" applyFont="1" applyFill="1" applyBorder="1" applyProtection="1"/>
    <xf numFmtId="0" fontId="5" fillId="0" borderId="7" xfId="0" applyFont="1" applyBorder="1" applyAlignment="1">
      <alignment horizontal="center"/>
    </xf>
    <xf numFmtId="43" fontId="5" fillId="0" borderId="7" xfId="0" applyNumberFormat="1" applyFont="1" applyBorder="1"/>
    <xf numFmtId="164" fontId="5" fillId="0" borderId="7" xfId="0" applyNumberFormat="1" applyFont="1" applyBorder="1"/>
    <xf numFmtId="167" fontId="5" fillId="0" borderId="7" xfId="0" applyNumberFormat="1" applyFont="1" applyBorder="1"/>
    <xf numFmtId="0" fontId="11" fillId="0" borderId="7" xfId="0" applyFont="1" applyBorder="1"/>
    <xf numFmtId="0" fontId="11" fillId="0" borderId="0" xfId="0" applyFont="1"/>
    <xf numFmtId="0" fontId="5" fillId="0" borderId="7" xfId="0" applyFont="1" applyBorder="1"/>
    <xf numFmtId="164" fontId="5" fillId="0" borderId="7" xfId="1" applyFont="1" applyFill="1" applyBorder="1" applyProtection="1"/>
    <xf numFmtId="0" fontId="3" fillId="0" borderId="7" xfId="0" applyFont="1" applyBorder="1"/>
    <xf numFmtId="49" fontId="3" fillId="0" borderId="7" xfId="0" applyNumberFormat="1" applyFont="1" applyBorder="1"/>
    <xf numFmtId="49" fontId="2" fillId="0" borderId="7" xfId="0" applyNumberFormat="1" applyFont="1" applyBorder="1"/>
    <xf numFmtId="49" fontId="7" fillId="0" borderId="7" xfId="0" applyNumberFormat="1" applyFont="1" applyBorder="1"/>
    <xf numFmtId="0" fontId="12" fillId="0" borderId="7" xfId="0" applyFont="1" applyBorder="1"/>
    <xf numFmtId="0" fontId="2" fillId="0" borderId="1" xfId="0" applyFont="1" applyBorder="1"/>
    <xf numFmtId="0" fontId="13" fillId="0" borderId="7" xfId="0" applyFont="1" applyBorder="1" applyAlignment="1">
      <alignment horizontal="center"/>
    </xf>
    <xf numFmtId="39" fontId="2" fillId="0" borderId="7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left"/>
    </xf>
    <xf numFmtId="49" fontId="3" fillId="0" borderId="6" xfId="0" applyNumberFormat="1" applyFont="1" applyBorder="1" applyAlignment="1">
      <alignment horizontal="left"/>
    </xf>
    <xf numFmtId="49" fontId="5" fillId="0" borderId="7" xfId="0" applyNumberFormat="1" applyFont="1" applyBorder="1"/>
    <xf numFmtId="0" fontId="14" fillId="0" borderId="7" xfId="0" applyFont="1" applyBorder="1"/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6" fillId="0" borderId="7" xfId="0" applyNumberFormat="1" applyFont="1" applyBorder="1"/>
    <xf numFmtId="0" fontId="2" fillId="0" borderId="11" xfId="0" applyFont="1" applyBorder="1"/>
    <xf numFmtId="0" fontId="3" fillId="0" borderId="11" xfId="0" applyFont="1" applyBorder="1" applyAlignment="1">
      <alignment horizontal="left"/>
    </xf>
    <xf numFmtId="165" fontId="5" fillId="0" borderId="11" xfId="1" applyNumberFormat="1" applyFont="1" applyBorder="1" applyProtection="1"/>
    <xf numFmtId="4" fontId="3" fillId="0" borderId="11" xfId="0" applyNumberFormat="1" applyFont="1" applyBorder="1"/>
    <xf numFmtId="0" fontId="3" fillId="0" borderId="0" xfId="0" applyFont="1" applyAlignment="1">
      <alignment horizontal="left"/>
    </xf>
    <xf numFmtId="165" fontId="5" fillId="0" borderId="0" xfId="1" applyNumberFormat="1" applyFont="1" applyBorder="1" applyProtection="1"/>
    <xf numFmtId="4" fontId="3" fillId="0" borderId="0" xfId="0" applyNumberFormat="1" applyFont="1"/>
    <xf numFmtId="0" fontId="1" fillId="0" borderId="11" xfId="0" applyFont="1" applyBorder="1" applyAlignment="1">
      <alignment horizontal="center"/>
    </xf>
    <xf numFmtId="165" fontId="6" fillId="0" borderId="0" xfId="1" applyNumberFormat="1" applyFont="1" applyProtection="1"/>
    <xf numFmtId="0" fontId="3" fillId="0" borderId="12" xfId="0" applyFont="1" applyBorder="1"/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165" fontId="5" fillId="0" borderId="13" xfId="1" applyNumberFormat="1" applyFont="1" applyBorder="1" applyAlignment="1" applyProtection="1">
      <alignment horizontal="center"/>
    </xf>
    <xf numFmtId="4" fontId="6" fillId="0" borderId="13" xfId="0" applyNumberFormat="1" applyFont="1" applyBorder="1" applyAlignment="1">
      <alignment horizontal="right"/>
    </xf>
    <xf numFmtId="4" fontId="3" fillId="0" borderId="14" xfId="0" applyNumberFormat="1" applyFont="1" applyBorder="1" applyAlignment="1">
      <alignment horizontal="right"/>
    </xf>
    <xf numFmtId="4" fontId="3" fillId="0" borderId="13" xfId="0" applyNumberFormat="1" applyFont="1" applyBorder="1" applyAlignment="1">
      <alignment horizontal="right"/>
    </xf>
    <xf numFmtId="0" fontId="3" fillId="0" borderId="14" xfId="0" applyFont="1" applyBorder="1"/>
    <xf numFmtId="165" fontId="5" fillId="0" borderId="13" xfId="1" applyNumberFormat="1" applyFont="1" applyBorder="1" applyProtection="1"/>
    <xf numFmtId="0" fontId="2" fillId="0" borderId="13" xfId="0" applyFont="1" applyBorder="1"/>
    <xf numFmtId="164" fontId="2" fillId="0" borderId="13" xfId="0" applyNumberFormat="1" applyFont="1" applyBorder="1"/>
    <xf numFmtId="164" fontId="2" fillId="0" borderId="14" xfId="0" applyNumberFormat="1" applyFont="1" applyBorder="1"/>
    <xf numFmtId="0" fontId="2" fillId="0" borderId="14" xfId="0" applyFont="1" applyBorder="1"/>
    <xf numFmtId="165" fontId="5" fillId="0" borderId="13" xfId="1" applyNumberFormat="1" applyFont="1" applyFill="1" applyBorder="1" applyProtection="1"/>
    <xf numFmtId="39" fontId="2" fillId="0" borderId="0" xfId="0" applyNumberFormat="1" applyFont="1" applyAlignment="1">
      <alignment horizontal="left"/>
    </xf>
    <xf numFmtId="165" fontId="5" fillId="3" borderId="13" xfId="1" applyNumberFormat="1" applyFont="1" applyFill="1" applyBorder="1" applyProtection="1"/>
    <xf numFmtId="39" fontId="2" fillId="0" borderId="13" xfId="0" applyNumberFormat="1" applyFont="1" applyBorder="1" applyAlignment="1">
      <alignment horizontal="center"/>
    </xf>
    <xf numFmtId="43" fontId="2" fillId="0" borderId="13" xfId="0" applyNumberFormat="1" applyFont="1" applyBorder="1"/>
    <xf numFmtId="167" fontId="2" fillId="0" borderId="14" xfId="0" applyNumberFormat="1" applyFont="1" applyBorder="1"/>
    <xf numFmtId="39" fontId="3" fillId="0" borderId="0" xfId="0" applyNumberFormat="1" applyFont="1" applyAlignment="1">
      <alignment horizontal="left"/>
    </xf>
    <xf numFmtId="165" fontId="5" fillId="0" borderId="13" xfId="1" applyNumberFormat="1" applyFont="1" applyFill="1" applyBorder="1" applyAlignment="1" applyProtection="1">
      <alignment horizontal="right"/>
    </xf>
    <xf numFmtId="43" fontId="2" fillId="0" borderId="15" xfId="0" applyNumberFormat="1" applyFont="1" applyBorder="1"/>
    <xf numFmtId="0" fontId="11" fillId="0" borderId="13" xfId="0" applyFont="1" applyBorder="1" applyAlignment="1">
      <alignment horizontal="center"/>
    </xf>
    <xf numFmtId="39" fontId="2" fillId="0" borderId="14" xfId="0" applyNumberFormat="1" applyFont="1" applyBorder="1" applyAlignment="1">
      <alignment horizontal="left"/>
    </xf>
    <xf numFmtId="39" fontId="2" fillId="0" borderId="0" xfId="0" applyNumberFormat="1" applyFont="1" applyAlignment="1">
      <alignment horizontal="left" indent="9"/>
    </xf>
    <xf numFmtId="0" fontId="2" fillId="0" borderId="8" xfId="0" applyFont="1" applyBorder="1"/>
    <xf numFmtId="0" fontId="2" fillId="0" borderId="4" xfId="0" applyFont="1" applyBorder="1"/>
    <xf numFmtId="0" fontId="3" fillId="0" borderId="6" xfId="0" applyFont="1" applyBorder="1" applyAlignment="1">
      <alignment horizontal="left"/>
    </xf>
    <xf numFmtId="4" fontId="16" fillId="0" borderId="7" xfId="0" applyNumberFormat="1" applyFont="1" applyBorder="1"/>
    <xf numFmtId="4" fontId="3" fillId="0" borderId="4" xfId="0" applyNumberFormat="1" applyFont="1" applyBorder="1"/>
    <xf numFmtId="4" fontId="3" fillId="0" borderId="7" xfId="0" applyNumberFormat="1" applyFont="1" applyBorder="1"/>
    <xf numFmtId="4" fontId="16" fillId="0" borderId="13" xfId="0" applyNumberFormat="1" applyFont="1" applyBorder="1" applyAlignment="1">
      <alignment horizontal="right"/>
    </xf>
    <xf numFmtId="39" fontId="2" fillId="0" borderId="0" xfId="0" applyNumberFormat="1" applyFont="1" applyAlignment="1">
      <alignment horizontal="center"/>
    </xf>
    <xf numFmtId="39" fontId="2" fillId="0" borderId="14" xfId="0" applyNumberFormat="1" applyFont="1" applyBorder="1" applyAlignment="1">
      <alignment horizontal="left"/>
    </xf>
    <xf numFmtId="39" fontId="2" fillId="0" borderId="15" xfId="0" applyNumberFormat="1" applyFont="1" applyBorder="1" applyAlignment="1">
      <alignment horizontal="left"/>
    </xf>
    <xf numFmtId="0" fontId="2" fillId="0" borderId="9" xfId="0" applyFont="1" applyBorder="1"/>
    <xf numFmtId="0" fontId="2" fillId="0" borderId="12" xfId="0" applyFont="1" applyBorder="1"/>
    <xf numFmtId="164" fontId="2" fillId="0" borderId="8" xfId="0" applyNumberFormat="1" applyFont="1" applyBorder="1"/>
    <xf numFmtId="0" fontId="3" fillId="0" borderId="10" xfId="0" applyFont="1" applyBorder="1" applyAlignment="1">
      <alignment horizontal="center"/>
    </xf>
    <xf numFmtId="165" fontId="5" fillId="0" borderId="8" xfId="1" applyNumberFormat="1" applyFont="1" applyBorder="1" applyProtection="1"/>
    <xf numFmtId="0" fontId="3" fillId="0" borderId="0" xfId="0" applyFont="1" applyAlignment="1">
      <alignment horizontal="center"/>
    </xf>
    <xf numFmtId="4" fontId="17" fillId="0" borderId="0" xfId="0" applyNumberFormat="1" applyFont="1"/>
    <xf numFmtId="4" fontId="2" fillId="0" borderId="0" xfId="2" applyFont="1"/>
    <xf numFmtId="4" fontId="2" fillId="0" borderId="0" xfId="2" applyFont="1" applyProtection="1">
      <protection locked="0"/>
    </xf>
    <xf numFmtId="4" fontId="2" fillId="0" borderId="0" xfId="2" applyFont="1" applyAlignment="1">
      <alignment horizontal="left" indent="2"/>
    </xf>
    <xf numFmtId="0" fontId="2" fillId="0" borderId="0" xfId="0" applyFont="1" applyProtection="1">
      <protection locked="0"/>
    </xf>
    <xf numFmtId="4" fontId="2" fillId="0" borderId="0" xfId="2" applyFont="1" applyAlignment="1">
      <alignment horizontal="left" indent="1"/>
    </xf>
    <xf numFmtId="4" fontId="2" fillId="0" borderId="0" xfId="2" applyFont="1" applyAlignment="1" applyProtection="1">
      <alignment horizontal="center"/>
      <protection locked="0"/>
    </xf>
    <xf numFmtId="0" fontId="21" fillId="0" borderId="0" xfId="0" applyFont="1" applyAlignment="1">
      <alignment horizontal="center"/>
    </xf>
    <xf numFmtId="4" fontId="22" fillId="0" borderId="0" xfId="2" applyFont="1"/>
    <xf numFmtId="0" fontId="22" fillId="0" borderId="0" xfId="0" applyFont="1"/>
    <xf numFmtId="0" fontId="21" fillId="0" borderId="0" xfId="0" applyFont="1"/>
    <xf numFmtId="4" fontId="22" fillId="0" borderId="0" xfId="0" applyNumberFormat="1" applyFont="1"/>
    <xf numFmtId="3" fontId="22" fillId="0" borderId="0" xfId="0" applyNumberFormat="1" applyFont="1"/>
    <xf numFmtId="0" fontId="23" fillId="0" borderId="0" xfId="0" applyFont="1"/>
    <xf numFmtId="3" fontId="22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24" fillId="0" borderId="0" xfId="0" applyFont="1"/>
    <xf numFmtId="0" fontId="24" fillId="0" borderId="0" xfId="0" applyFont="1" applyAlignment="1">
      <alignment horizontal="left"/>
    </xf>
    <xf numFmtId="168" fontId="22" fillId="0" borderId="0" xfId="0" applyNumberFormat="1" applyFont="1" applyAlignment="1">
      <alignment horizontal="center"/>
    </xf>
    <xf numFmtId="166" fontId="22" fillId="4" borderId="0" xfId="0" applyNumberFormat="1" applyFont="1" applyFill="1" applyAlignment="1">
      <alignment horizontal="center"/>
    </xf>
    <xf numFmtId="0" fontId="25" fillId="0" borderId="0" xfId="0" applyFont="1" applyAlignment="1">
      <alignment horizontal="left"/>
    </xf>
    <xf numFmtId="49" fontId="22" fillId="4" borderId="0" xfId="0" applyNumberFormat="1" applyFont="1" applyFill="1" applyAlignment="1">
      <alignment horizontal="center"/>
    </xf>
    <xf numFmtId="166" fontId="22" fillId="0" borderId="0" xfId="0" applyNumberFormat="1" applyFont="1" applyAlignment="1">
      <alignment horizontal="center"/>
    </xf>
    <xf numFmtId="0" fontId="26" fillId="0" borderId="0" xfId="0" applyFont="1"/>
    <xf numFmtId="0" fontId="27" fillId="0" borderId="0" xfId="0" applyFont="1"/>
    <xf numFmtId="0" fontId="28" fillId="0" borderId="0" xfId="0" applyFont="1"/>
    <xf numFmtId="166" fontId="28" fillId="0" borderId="0" xfId="0" applyNumberFormat="1" applyFont="1"/>
    <xf numFmtId="166" fontId="22" fillId="0" borderId="0" xfId="0" applyNumberFormat="1" applyFont="1"/>
    <xf numFmtId="168" fontId="28" fillId="0" borderId="0" xfId="0" applyNumberFormat="1" applyFont="1" applyAlignment="1">
      <alignment horizontal="center"/>
    </xf>
    <xf numFmtId="0" fontId="29" fillId="0" borderId="0" xfId="0" applyFont="1"/>
    <xf numFmtId="166" fontId="28" fillId="0" borderId="0" xfId="0" applyNumberFormat="1" applyFont="1" applyAlignment="1">
      <alignment horizontal="center"/>
    </xf>
    <xf numFmtId="3" fontId="28" fillId="0" borderId="0" xfId="0" applyNumberFormat="1" applyFont="1"/>
    <xf numFmtId="0" fontId="28" fillId="0" borderId="0" xfId="0" applyFont="1"/>
    <xf numFmtId="169" fontId="28" fillId="4" borderId="0" xfId="0" applyNumberFormat="1" applyFont="1" applyFill="1" applyAlignment="1">
      <alignment horizontal="center"/>
    </xf>
    <xf numFmtId="0" fontId="28" fillId="0" borderId="0" xfId="0" applyFont="1" applyAlignment="1">
      <alignment horizontal="center"/>
    </xf>
    <xf numFmtId="170" fontId="28" fillId="0" borderId="0" xfId="0" applyNumberFormat="1" applyFont="1" applyAlignment="1">
      <alignment horizontal="center"/>
    </xf>
    <xf numFmtId="3" fontId="28" fillId="0" borderId="0" xfId="0" applyNumberFormat="1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0" xfId="0"/>
    <xf numFmtId="164" fontId="28" fillId="0" borderId="0" xfId="0" applyNumberFormat="1" applyFont="1" applyAlignment="1">
      <alignment horizontal="right"/>
    </xf>
    <xf numFmtId="171" fontId="22" fillId="0" borderId="0" xfId="0" applyNumberFormat="1" applyFont="1"/>
    <xf numFmtId="0" fontId="28" fillId="0" borderId="0" xfId="0" applyFont="1" applyAlignment="1">
      <alignment horizontal="left"/>
    </xf>
    <xf numFmtId="0" fontId="28" fillId="0" borderId="0" xfId="0" applyFont="1" applyAlignment="1">
      <alignment horizontal="right"/>
    </xf>
    <xf numFmtId="171" fontId="28" fillId="0" borderId="0" xfId="0" applyNumberFormat="1" applyFont="1"/>
    <xf numFmtId="0" fontId="22" fillId="0" borderId="7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3" fontId="22" fillId="0" borderId="2" xfId="0" applyNumberFormat="1" applyFont="1" applyBorder="1" applyAlignment="1">
      <alignment horizontal="center"/>
    </xf>
    <xf numFmtId="3" fontId="22" fillId="0" borderId="3" xfId="0" applyNumberFormat="1" applyFont="1" applyBorder="1" applyAlignment="1">
      <alignment horizontal="center"/>
    </xf>
    <xf numFmtId="3" fontId="22" fillId="0" borderId="4" xfId="0" applyNumberFormat="1" applyFont="1" applyBorder="1" applyAlignment="1">
      <alignment horizontal="center"/>
    </xf>
    <xf numFmtId="3" fontId="22" fillId="0" borderId="5" xfId="0" applyNumberFormat="1" applyFont="1" applyBorder="1" applyAlignment="1">
      <alignment horizontal="center"/>
    </xf>
    <xf numFmtId="3" fontId="22" fillId="0" borderId="6" xfId="0" applyNumberFormat="1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2" fillId="0" borderId="2" xfId="0" applyFont="1" applyBorder="1" applyAlignment="1">
      <alignment horizontal="left"/>
    </xf>
    <xf numFmtId="0" fontId="22" fillId="0" borderId="11" xfId="0" applyFont="1" applyBorder="1" applyAlignment="1">
      <alignment horizontal="left"/>
    </xf>
    <xf numFmtId="0" fontId="22" fillId="0" borderId="3" xfId="0" applyFont="1" applyBorder="1" applyAlignment="1">
      <alignment horizontal="left"/>
    </xf>
    <xf numFmtId="164" fontId="22" fillId="0" borderId="11" xfId="1" applyFont="1" applyBorder="1" applyAlignment="1" applyProtection="1">
      <alignment horizontal="center"/>
    </xf>
    <xf numFmtId="164" fontId="22" fillId="0" borderId="3" xfId="1" applyFont="1" applyBorder="1" applyAlignment="1" applyProtection="1">
      <alignment horizontal="center"/>
    </xf>
    <xf numFmtId="3" fontId="22" fillId="0" borderId="14" xfId="0" applyNumberFormat="1" applyFont="1" applyBorder="1"/>
    <xf numFmtId="0" fontId="22" fillId="0" borderId="11" xfId="0" applyFont="1" applyBorder="1"/>
    <xf numFmtId="0" fontId="22" fillId="0" borderId="15" xfId="0" applyFont="1" applyBorder="1"/>
    <xf numFmtId="0" fontId="22" fillId="0" borderId="14" xfId="0" applyFont="1" applyBorder="1" applyAlignment="1">
      <alignment horizontal="left"/>
    </xf>
    <xf numFmtId="0" fontId="22" fillId="0" borderId="0" xfId="0" applyFont="1" applyAlignment="1">
      <alignment horizontal="left"/>
    </xf>
    <xf numFmtId="0" fontId="22" fillId="0" borderId="15" xfId="0" applyFont="1" applyBorder="1" applyAlignment="1">
      <alignment horizontal="left"/>
    </xf>
    <xf numFmtId="164" fontId="22" fillId="0" borderId="0" xfId="1" applyFont="1" applyBorder="1" applyAlignment="1" applyProtection="1">
      <alignment horizontal="center"/>
    </xf>
    <xf numFmtId="164" fontId="22" fillId="0" borderId="15" xfId="1" applyFont="1" applyBorder="1" applyAlignment="1" applyProtection="1">
      <alignment horizontal="center"/>
    </xf>
    <xf numFmtId="3" fontId="25" fillId="0" borderId="14" xfId="0" applyNumberFormat="1" applyFont="1" applyBorder="1"/>
    <xf numFmtId="0" fontId="25" fillId="0" borderId="0" xfId="0" applyFont="1"/>
    <xf numFmtId="172" fontId="22" fillId="0" borderId="15" xfId="0" applyNumberFormat="1" applyFont="1" applyBorder="1"/>
    <xf numFmtId="164" fontId="22" fillId="0" borderId="14" xfId="1" applyFont="1" applyBorder="1" applyAlignment="1" applyProtection="1">
      <alignment horizontal="center"/>
    </xf>
    <xf numFmtId="0" fontId="22" fillId="0" borderId="13" xfId="0" applyFont="1" applyBorder="1"/>
    <xf numFmtId="39" fontId="25" fillId="0" borderId="0" xfId="0" applyNumberFormat="1" applyFont="1"/>
    <xf numFmtId="0" fontId="22" fillId="0" borderId="14" xfId="0" applyFont="1" applyBorder="1"/>
    <xf numFmtId="164" fontId="22" fillId="0" borderId="4" xfId="1" applyFont="1" applyBorder="1" applyAlignment="1" applyProtection="1">
      <alignment horizontal="center"/>
    </xf>
    <xf numFmtId="164" fontId="22" fillId="0" borderId="6" xfId="1" applyFont="1" applyBorder="1" applyAlignment="1" applyProtection="1">
      <alignment horizontal="center"/>
    </xf>
    <xf numFmtId="3" fontId="22" fillId="0" borderId="2" xfId="0" applyNumberFormat="1" applyFont="1" applyBorder="1"/>
    <xf numFmtId="0" fontId="22" fillId="0" borderId="3" xfId="0" applyFont="1" applyBorder="1"/>
    <xf numFmtId="164" fontId="22" fillId="0" borderId="16" xfId="1" applyFont="1" applyBorder="1" applyAlignment="1" applyProtection="1">
      <alignment horizontal="center"/>
    </xf>
    <xf numFmtId="164" fontId="22" fillId="0" borderId="17" xfId="1" applyFont="1" applyBorder="1" applyAlignment="1" applyProtection="1">
      <alignment horizontal="center"/>
    </xf>
    <xf numFmtId="164" fontId="22" fillId="0" borderId="0" xfId="1" applyFont="1"/>
    <xf numFmtId="164" fontId="22" fillId="0" borderId="0" xfId="0" applyNumberFormat="1" applyFont="1"/>
    <xf numFmtId="0" fontId="22" fillId="0" borderId="8" xfId="0" applyFont="1" applyBorder="1"/>
    <xf numFmtId="0" fontId="21" fillId="0" borderId="9" xfId="0" applyFont="1" applyBorder="1"/>
    <xf numFmtId="0" fontId="21" fillId="0" borderId="12" xfId="0" applyFont="1" applyBorder="1"/>
    <xf numFmtId="0" fontId="22" fillId="0" borderId="12" xfId="0" applyFont="1" applyBorder="1"/>
    <xf numFmtId="3" fontId="22" fillId="0" borderId="12" xfId="0" applyNumberFormat="1" applyFont="1" applyBorder="1" applyAlignment="1">
      <alignment horizontal="center"/>
    </xf>
    <xf numFmtId="3" fontId="22" fillId="0" borderId="12" xfId="0" applyNumberFormat="1" applyFont="1" applyBorder="1"/>
    <xf numFmtId="0" fontId="22" fillId="0" borderId="10" xfId="0" applyFont="1" applyBorder="1"/>
    <xf numFmtId="168" fontId="22" fillId="0" borderId="11" xfId="0" applyNumberFormat="1" applyFont="1" applyBorder="1" applyAlignment="1">
      <alignment horizontal="center"/>
    </xf>
    <xf numFmtId="4" fontId="22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</cellXfs>
  <cellStyles count="3">
    <cellStyle name="Normal_สรุปผลการประเมินราคา" xfId="2" xr:uid="{37F54A39-9BA8-43DD-9A23-F924CDC8130A}"/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611;&#3619;&#3632;&#3617;&#3634;&#3603;&#3619;&#3634;&#3588;&#3634;&#3586;&#3618;&#3634;&#3618;&#3612;&#3636;&#3623;&#3607;&#3634;&#3591;%20&#3606;&#3609;&#3609;&#3627;&#3617;&#3634;&#3618;&#3648;&#3621;&#3586;%201%20(2nd.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2"/>
      <sheetName val="S3"/>
      <sheetName val="ตารางเปรียบทียบ"/>
      <sheetName val="ข้อมูล"/>
      <sheetName val="ปร.4ใหม่"/>
      <sheetName val="ปร.5(ใหม่)"/>
      <sheetName val="ปร.4เดิม"/>
      <sheetName val="ปร.4 (แบ่งงวด)"/>
      <sheetName val="รวมเนื้องานทั้งหมด"/>
      <sheetName val="0+000-1+200(เดิม)"/>
      <sheetName val="ซ้ายทาง"/>
      <sheetName val="เต็มพื้นที่"/>
      <sheetName val="ขวาทาง (ซ๋อมสร้าง+ขยายผิว)"/>
      <sheetName val="ขวาทาง (ทางเท้า)"/>
      <sheetName val="ซ้ายทาง (ซ๋อมสร้าง+ขยายผิว)"/>
      <sheetName val="ซ้ายทาง (ทางเท้า)"/>
      <sheetName val="ย้ายเสาไฟกิ่ง"/>
      <sheetName val="ค่ารื้อย้ายยกประตูน้ำ"/>
      <sheetName val="รื้อย้ายป้ายเดิม"/>
      <sheetName val="รื้อคันหินเดิม"/>
      <sheetName val="ทาสีคันหิน"/>
      <sheetName val="บ่อพักใหม่"/>
      <sheetName val="รื้อทางเท้าเดิม 10 ซม."/>
      <sheetName val="รื้อคอนกรีตบ่อพัก+ฝาเดิม"/>
      <sheetName val="คันหินปิดหลังทางเท้า"/>
      <sheetName val="ก่อสร้างคันหินเตี้ย"/>
      <sheetName val="ก่อสร้างคันหิน คสล."/>
      <sheetName val="ฝาตะแกรงบ่อพัก"/>
      <sheetName val="ดิน,ทราย,คสล."/>
      <sheetName val="ไม้แบบ"/>
      <sheetName val="ราคาวัสดุ"/>
      <sheetName val="รายละเอียดพิกัด"/>
      <sheetName val="ต่อขอบบ่อพัก"/>
      <sheetName val="ฝาตะแกรงเหล็ก"/>
      <sheetName val="ข้อมูลราคาวัสดุ"/>
      <sheetName val="ชี้แจงเบร็คดาว"/>
    </sheetNames>
    <sheetDataSet>
      <sheetData sheetId="0">
        <row r="12">
          <cell r="BT12">
            <v>11.24</v>
          </cell>
        </row>
        <row r="15">
          <cell r="BT15">
            <v>7.67</v>
          </cell>
        </row>
        <row r="16">
          <cell r="BT16">
            <v>7.41</v>
          </cell>
        </row>
        <row r="19">
          <cell r="BT19">
            <v>15.52</v>
          </cell>
        </row>
        <row r="20">
          <cell r="BT20">
            <v>12.07</v>
          </cell>
        </row>
        <row r="31">
          <cell r="BZ31">
            <v>1.2487999999999999</v>
          </cell>
        </row>
      </sheetData>
      <sheetData sheetId="1"/>
      <sheetData sheetId="2"/>
      <sheetData sheetId="3">
        <row r="1">
          <cell r="B1" t="str">
            <v>ราคากลาง</v>
          </cell>
        </row>
        <row r="2">
          <cell r="B2" t="str">
            <v>องค์การบริหารส่วนจังหวัดพะเยา</v>
          </cell>
        </row>
        <row r="3">
          <cell r="I3" t="str">
            <v>วันที่   5  เดือน พฤศจิกายน      พ.ศ. 2567</v>
          </cell>
        </row>
        <row r="4">
          <cell r="D4" t="str">
            <v>โครงการปรับปรุงโครงสร้างพื้นฐานเพื่อการท่องเที่ยวเชิงสร้างสรรค์</v>
          </cell>
        </row>
        <row r="5">
          <cell r="D5" t="str">
            <v>ซ่อมสร้างและขยายผิวจราจรถนน ทางหลวงหมายเลข 1 ตอนเดิมเข้าเมืองพะเยา  ต.บ้านต๋อม อ.เมืองพะเยา จ.พะเยา</v>
          </cell>
        </row>
        <row r="6">
          <cell r="D6" t="str">
            <v>องค์การบริหารส่วนจังหวัดพะเยา</v>
          </cell>
        </row>
        <row r="7">
          <cell r="C7" t="str">
            <v xml:space="preserve"> พย.ถ.10060</v>
          </cell>
          <cell r="F7" t="str">
            <v>ทางหลวงหมายเลข 1 ตอน ทางเดิมเข้าเมืองพะเยา ต.บ้านต๋อม อ.เมืองพะเยา จ.พะเยา</v>
          </cell>
        </row>
        <row r="8">
          <cell r="C8" t="str">
            <v>ทางหลวงหมายเลข 1 ตอนเดิมเข้าเมืองพะเยา  ต.บ้านต๋อม อ.เมือง จ.พะเยา</v>
          </cell>
          <cell r="Q8">
            <v>7</v>
          </cell>
        </row>
        <row r="9">
          <cell r="Q9">
            <v>0</v>
          </cell>
        </row>
        <row r="11">
          <cell r="Q11">
            <v>0</v>
          </cell>
        </row>
        <row r="32">
          <cell r="L32">
            <v>125.63</v>
          </cell>
        </row>
        <row r="53">
          <cell r="L53">
            <v>612.45000000000005</v>
          </cell>
        </row>
        <row r="54">
          <cell r="L54">
            <v>25.14</v>
          </cell>
        </row>
        <row r="55">
          <cell r="L55">
            <v>89.66</v>
          </cell>
        </row>
        <row r="69">
          <cell r="L69">
            <v>408.3</v>
          </cell>
        </row>
        <row r="80">
          <cell r="L80">
            <v>30.3</v>
          </cell>
        </row>
        <row r="85">
          <cell r="L85">
            <v>6.03</v>
          </cell>
        </row>
        <row r="112">
          <cell r="L112">
            <v>82.8372995</v>
          </cell>
        </row>
        <row r="124">
          <cell r="F124">
            <v>5</v>
          </cell>
        </row>
        <row r="136">
          <cell r="L136">
            <v>313.89</v>
          </cell>
        </row>
        <row r="167">
          <cell r="E167" t="str">
            <v>ฝนตกปกติ</v>
          </cell>
        </row>
      </sheetData>
      <sheetData sheetId="4">
        <row r="18">
          <cell r="D18">
            <v>21061</v>
          </cell>
        </row>
        <row r="45">
          <cell r="L45">
            <v>27373406.719999999</v>
          </cell>
        </row>
      </sheetData>
      <sheetData sheetId="5">
        <row r="11">
          <cell r="A11" t="str">
            <v>ระยะทางดำเนินการซ่อมสร้าง ฯ รวม 2 ช่วง</v>
          </cell>
          <cell r="E11">
            <v>2.4</v>
          </cell>
        </row>
      </sheetData>
      <sheetData sheetId="6"/>
      <sheetData sheetId="7"/>
      <sheetData sheetId="8">
        <row r="3">
          <cell r="F3">
            <v>17110</v>
          </cell>
        </row>
        <row r="4">
          <cell r="C4">
            <v>514</v>
          </cell>
          <cell r="F4">
            <v>514</v>
          </cell>
        </row>
        <row r="5">
          <cell r="C5">
            <v>4333.75</v>
          </cell>
          <cell r="F5">
            <v>3951</v>
          </cell>
        </row>
        <row r="6">
          <cell r="F6">
            <v>5297</v>
          </cell>
        </row>
        <row r="7">
          <cell r="C7">
            <v>584</v>
          </cell>
        </row>
        <row r="8">
          <cell r="C8">
            <v>97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>
        <row r="17">
          <cell r="C17">
            <v>1000</v>
          </cell>
        </row>
      </sheetData>
      <sheetData sheetId="17"/>
      <sheetData sheetId="18"/>
      <sheetData sheetId="19">
        <row r="19">
          <cell r="C19">
            <v>560</v>
          </cell>
        </row>
      </sheetData>
      <sheetData sheetId="20">
        <row r="1543">
          <cell r="G1543">
            <v>46</v>
          </cell>
        </row>
      </sheetData>
      <sheetData sheetId="21">
        <row r="21">
          <cell r="I21">
            <v>6680</v>
          </cell>
        </row>
      </sheetData>
      <sheetData sheetId="22">
        <row r="19">
          <cell r="C19">
            <v>50</v>
          </cell>
        </row>
      </sheetData>
      <sheetData sheetId="23">
        <row r="16">
          <cell r="C16">
            <v>100</v>
          </cell>
        </row>
      </sheetData>
      <sheetData sheetId="24">
        <row r="16">
          <cell r="C16">
            <v>238</v>
          </cell>
        </row>
      </sheetData>
      <sheetData sheetId="25">
        <row r="17">
          <cell r="C17">
            <v>716</v>
          </cell>
        </row>
      </sheetData>
      <sheetData sheetId="26">
        <row r="18">
          <cell r="C18">
            <v>858</v>
          </cell>
        </row>
      </sheetData>
      <sheetData sheetId="27">
        <row r="19">
          <cell r="C19">
            <v>7378</v>
          </cell>
        </row>
      </sheetData>
      <sheetData sheetId="28">
        <row r="14">
          <cell r="H14">
            <v>864.15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3AFB3-171C-4176-9F95-85B1741FE776}">
  <sheetPr>
    <tabColor rgb="FF00B050"/>
  </sheetPr>
  <dimension ref="A1:M139"/>
  <sheetViews>
    <sheetView tabSelected="1" view="pageBreakPreview" topLeftCell="A106" zoomScale="130" zoomScaleNormal="110" zoomScaleSheetLayoutView="130" workbookViewId="0">
      <selection activeCell="C9" sqref="C9:D9"/>
    </sheetView>
  </sheetViews>
  <sheetFormatPr defaultColWidth="9.140625" defaultRowHeight="21.75" x14ac:dyDescent="0.5"/>
  <cols>
    <col min="1" max="1" width="2.85546875" style="2" customWidth="1"/>
    <col min="2" max="2" width="10.140625" style="2" customWidth="1"/>
    <col min="3" max="3" width="26" style="2" customWidth="1"/>
    <col min="4" max="4" width="9.5703125" style="5" customWidth="1"/>
    <col min="5" max="5" width="5.140625" style="2" customWidth="1"/>
    <col min="6" max="6" width="8.85546875" style="2" customWidth="1"/>
    <col min="7" max="7" width="9.140625" style="2" customWidth="1"/>
    <col min="8" max="8" width="10.5703125" style="2" customWidth="1"/>
    <col min="9" max="9" width="11.85546875" style="2" customWidth="1"/>
    <col min="10" max="10" width="9.28515625" style="2" customWidth="1"/>
    <col min="11" max="11" width="10.85546875" style="2" customWidth="1"/>
    <col min="12" max="12" width="13" style="2" customWidth="1"/>
    <col min="13" max="13" width="10.140625" style="2" customWidth="1"/>
    <col min="14" max="14" width="9.140625" style="2"/>
    <col min="15" max="15" width="10.28515625" style="2" customWidth="1"/>
    <col min="16" max="16384" width="9.140625" style="2"/>
  </cols>
  <sheetData>
    <row r="1" spans="1:13" ht="21.75" customHeight="1" x14ac:dyDescent="0.5500000000000000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5">
      <c r="B2" s="3" t="s">
        <v>1</v>
      </c>
      <c r="C2" s="4" t="str">
        <f>[1]ข้อมูล!C7</f>
        <v xml:space="preserve"> พย.ถ.10060</v>
      </c>
      <c r="G2" s="6" t="s">
        <v>2</v>
      </c>
      <c r="H2" s="7" t="str">
        <f>[1]ข้อมูล!F7</f>
        <v>ทางหลวงหมายเลข 1 ตอน ทางเดิมเข้าเมืองพะเยา ต.บ้านต๋อม อ.เมืองพะเยา จ.พะเยา</v>
      </c>
      <c r="I2" s="8"/>
    </row>
    <row r="3" spans="1:13" ht="21.75" customHeight="1" x14ac:dyDescent="0.5">
      <c r="B3" s="3" t="s">
        <v>3</v>
      </c>
      <c r="C3" s="9" t="str">
        <f>[1]ข้อมูล!$C$8</f>
        <v>ทางหลวงหมายเลข 1 ตอนเดิมเข้าเมืองพะเยา  ต.บ้านต๋อม อ.เมือง จ.พะเยา</v>
      </c>
      <c r="G3" s="3"/>
      <c r="H3" s="10" t="str">
        <f>'[1]ปร.5(ใหม่)'!A11</f>
        <v>ระยะทางดำเนินการซ่อมสร้าง ฯ รวม 2 ช่วง</v>
      </c>
      <c r="I3" s="11"/>
      <c r="J3" s="6"/>
      <c r="K3" s="12" t="s">
        <v>4</v>
      </c>
      <c r="L3" s="13">
        <v>2.4</v>
      </c>
      <c r="M3" s="4" t="s">
        <v>5</v>
      </c>
    </row>
    <row r="4" spans="1:13" ht="20.100000000000001" customHeight="1" x14ac:dyDescent="0.5">
      <c r="A4" s="14" t="s">
        <v>6</v>
      </c>
      <c r="B4" s="15"/>
      <c r="C4" s="16" t="s">
        <v>7</v>
      </c>
      <c r="D4" s="17" t="s">
        <v>8</v>
      </c>
      <c r="E4" s="14" t="s">
        <v>9</v>
      </c>
      <c r="F4" s="18" t="s">
        <v>10</v>
      </c>
      <c r="G4" s="19"/>
      <c r="H4" s="20"/>
      <c r="I4" s="14" t="s">
        <v>11</v>
      </c>
      <c r="J4" s="21" t="s">
        <v>12</v>
      </c>
      <c r="K4" s="18" t="s">
        <v>13</v>
      </c>
      <c r="L4" s="20"/>
      <c r="M4" s="14" t="s">
        <v>14</v>
      </c>
    </row>
    <row r="5" spans="1:13" ht="20.100000000000001" customHeight="1" x14ac:dyDescent="0.5">
      <c r="A5" s="22"/>
      <c r="B5" s="23"/>
      <c r="C5" s="24"/>
      <c r="D5" s="25"/>
      <c r="E5" s="22"/>
      <c r="F5" s="26" t="s">
        <v>15</v>
      </c>
      <c r="G5" s="26" t="s">
        <v>16</v>
      </c>
      <c r="H5" s="26" t="s">
        <v>17</v>
      </c>
      <c r="I5" s="22" t="s">
        <v>18</v>
      </c>
      <c r="J5" s="21"/>
      <c r="K5" s="27" t="s">
        <v>19</v>
      </c>
      <c r="L5" s="26" t="s">
        <v>17</v>
      </c>
      <c r="M5" s="22"/>
    </row>
    <row r="6" spans="1:13" ht="20.100000000000001" customHeight="1" x14ac:dyDescent="0.5">
      <c r="A6" s="28">
        <v>1</v>
      </c>
      <c r="B6" s="29" t="s">
        <v>20</v>
      </c>
      <c r="C6" s="30"/>
      <c r="D6" s="31"/>
      <c r="E6" s="30"/>
      <c r="F6" s="30"/>
      <c r="G6" s="30"/>
      <c r="H6" s="30"/>
      <c r="I6" s="30"/>
      <c r="J6" s="30"/>
      <c r="K6" s="30"/>
      <c r="L6" s="30"/>
      <c r="M6" s="30"/>
    </row>
    <row r="7" spans="1:13" ht="20.100000000000001" customHeight="1" x14ac:dyDescent="0.5">
      <c r="A7" s="28"/>
      <c r="B7" s="30" t="s">
        <v>21</v>
      </c>
      <c r="C7" s="30"/>
      <c r="D7" s="32">
        <v>30</v>
      </c>
      <c r="E7" s="26" t="s">
        <v>22</v>
      </c>
      <c r="F7" s="33">
        <f t="shared" ref="F7:F13" si="0">IF(D7&lt;=0,0,)</f>
        <v>0</v>
      </c>
      <c r="G7" s="33">
        <v>1000</v>
      </c>
      <c r="H7" s="33">
        <f>F7+G7</f>
        <v>1000</v>
      </c>
      <c r="I7" s="34">
        <f t="shared" ref="I7:I15" si="1">D7*H7</f>
        <v>30000</v>
      </c>
      <c r="J7" s="35">
        <f>IF(D7&gt;0,[1]S2!$BZ$31,0)</f>
        <v>1.2487999999999999</v>
      </c>
      <c r="K7" s="34">
        <f>ROUNDDOWN(H7*J7,2)</f>
        <v>1248.8</v>
      </c>
      <c r="L7" s="34">
        <f>K7*D7</f>
        <v>37464</v>
      </c>
      <c r="M7" s="30" t="s">
        <v>23</v>
      </c>
    </row>
    <row r="8" spans="1:13" ht="20.100000000000001" customHeight="1" x14ac:dyDescent="0.5">
      <c r="A8" s="28"/>
      <c r="B8" s="36" t="s">
        <v>24</v>
      </c>
      <c r="C8" s="37"/>
      <c r="D8" s="38"/>
      <c r="E8" s="26"/>
      <c r="F8" s="33"/>
      <c r="G8" s="33"/>
      <c r="H8" s="33"/>
      <c r="I8" s="34"/>
      <c r="J8" s="35"/>
      <c r="K8" s="34"/>
      <c r="L8" s="34"/>
      <c r="M8" s="30"/>
    </row>
    <row r="9" spans="1:13" s="46" customFormat="1" ht="20.100000000000001" customHeight="1" x14ac:dyDescent="0.5">
      <c r="A9" s="39"/>
      <c r="B9" s="30" t="s">
        <v>25</v>
      </c>
      <c r="C9" s="30"/>
      <c r="D9" s="40">
        <f>FLOOR(0.126*[1]รวมเนื้องานทั้งหมด!F4,10)</f>
        <v>60</v>
      </c>
      <c r="E9" s="41" t="s">
        <v>26</v>
      </c>
      <c r="F9" s="42">
        <f t="shared" si="0"/>
        <v>0</v>
      </c>
      <c r="G9" s="42">
        <f t="shared" ref="G9:G14" si="2">IF(D9&lt;=0,0,)</f>
        <v>0</v>
      </c>
      <c r="H9" s="42">
        <f>[1]รื้อคันหินเดิม!C19</f>
        <v>560</v>
      </c>
      <c r="I9" s="43">
        <f t="shared" si="1"/>
        <v>33600</v>
      </c>
      <c r="J9" s="44">
        <f>IF(D9&gt;0,[1]S2!$BZ$31,0)</f>
        <v>1.2487999999999999</v>
      </c>
      <c r="K9" s="43">
        <f t="shared" ref="K9:K43" si="3">ROUNDDOWN(H9*J9,2)</f>
        <v>699.32</v>
      </c>
      <c r="L9" s="43">
        <f>ROUNDDOWN(D9*K9,2)</f>
        <v>41959.199999999997</v>
      </c>
      <c r="M9" s="45"/>
    </row>
    <row r="10" spans="1:13" s="46" customFormat="1" ht="20.100000000000001" customHeight="1" x14ac:dyDescent="0.5">
      <c r="A10" s="39"/>
      <c r="B10" s="47" t="s">
        <v>27</v>
      </c>
      <c r="C10" s="30"/>
      <c r="D10" s="38">
        <f>FLOOR([1]รวมเนื้องานทั้งหมด!F5+[1]รวมเนื้องานทั้งหมด!F6,10)</f>
        <v>9240</v>
      </c>
      <c r="E10" s="41" t="s">
        <v>28</v>
      </c>
      <c r="F10" s="42">
        <f t="shared" si="0"/>
        <v>0</v>
      </c>
      <c r="G10" s="42">
        <f t="shared" si="2"/>
        <v>0</v>
      </c>
      <c r="H10" s="42">
        <f>'[1]รื้อทางเท้าเดิม 10 ซม.'!C19</f>
        <v>50</v>
      </c>
      <c r="I10" s="43">
        <f t="shared" si="1"/>
        <v>462000</v>
      </c>
      <c r="J10" s="44">
        <f>IF(D10&gt;0,[1]S2!$BZ$31,0)</f>
        <v>1.2487999999999999</v>
      </c>
      <c r="K10" s="43">
        <f t="shared" si="3"/>
        <v>62.44</v>
      </c>
      <c r="L10" s="43">
        <f t="shared" ref="L10:L15" si="4">ROUNDDOWN(D10*K10,2)</f>
        <v>576945.6</v>
      </c>
      <c r="M10" s="45"/>
    </row>
    <row r="11" spans="1:13" s="46" customFormat="1" ht="20.100000000000001" customHeight="1" x14ac:dyDescent="0.5">
      <c r="A11" s="39"/>
      <c r="B11" s="30" t="s">
        <v>29</v>
      </c>
      <c r="C11" s="30"/>
      <c r="D11" s="48">
        <f>FLOOR([1]รวมเนื้องานทั้งหมด!F5*0.4,10)</f>
        <v>1580</v>
      </c>
      <c r="E11" s="41" t="s">
        <v>26</v>
      </c>
      <c r="F11" s="42">
        <f t="shared" si="0"/>
        <v>0</v>
      </c>
      <c r="G11" s="42">
        <f t="shared" si="2"/>
        <v>0</v>
      </c>
      <c r="H11" s="42">
        <v>22.2</v>
      </c>
      <c r="I11" s="43">
        <f t="shared" si="1"/>
        <v>35076</v>
      </c>
      <c r="J11" s="44">
        <f>IF(D11&gt;0,[1]S2!$BZ$31,0)</f>
        <v>1.2487999999999999</v>
      </c>
      <c r="K11" s="43">
        <f t="shared" si="3"/>
        <v>27.72</v>
      </c>
      <c r="L11" s="43">
        <f t="shared" si="4"/>
        <v>43797.599999999999</v>
      </c>
      <c r="M11" s="45"/>
    </row>
    <row r="12" spans="1:13" ht="20.100000000000001" customHeight="1" x14ac:dyDescent="0.5">
      <c r="A12" s="28"/>
      <c r="B12" s="30" t="s">
        <v>30</v>
      </c>
      <c r="C12" s="30"/>
      <c r="D12" s="48">
        <f>FLOOR([1]รวมเนื้องานทั้งหมด!F5,10)</f>
        <v>3950</v>
      </c>
      <c r="E12" s="41" t="s">
        <v>28</v>
      </c>
      <c r="F12" s="42">
        <f t="shared" si="0"/>
        <v>0</v>
      </c>
      <c r="G12" s="42">
        <f t="shared" si="2"/>
        <v>0</v>
      </c>
      <c r="H12" s="42">
        <f>ROUND(IF(D12&lt;=0,0,+[1]S2!$BT$12),2)</f>
        <v>11.24</v>
      </c>
      <c r="I12" s="43">
        <f t="shared" si="1"/>
        <v>44398</v>
      </c>
      <c r="J12" s="44">
        <f>IF(D12&gt;0,[1]S2!$BZ$31,0)</f>
        <v>1.2487999999999999</v>
      </c>
      <c r="K12" s="43">
        <f>ROUNDDOWN(H12*J12,2)</f>
        <v>14.03</v>
      </c>
      <c r="L12" s="43">
        <f t="shared" si="4"/>
        <v>55418.5</v>
      </c>
      <c r="M12" s="30"/>
    </row>
    <row r="13" spans="1:13" ht="20.100000000000001" customHeight="1" x14ac:dyDescent="0.5">
      <c r="A13" s="28"/>
      <c r="B13" s="30" t="s">
        <v>31</v>
      </c>
      <c r="C13" s="30"/>
      <c r="D13" s="48">
        <f>FLOOR([1]รวมเนื้องานทั้งหมด!F3,10)</f>
        <v>17110</v>
      </c>
      <c r="E13" s="41" t="s">
        <v>28</v>
      </c>
      <c r="F13" s="42">
        <f t="shared" si="0"/>
        <v>0</v>
      </c>
      <c r="G13" s="42">
        <f t="shared" si="2"/>
        <v>0</v>
      </c>
      <c r="H13" s="42">
        <f>[1]ข้อมูล!L112</f>
        <v>82.8372995</v>
      </c>
      <c r="I13" s="43">
        <f t="shared" si="1"/>
        <v>1417346.194445</v>
      </c>
      <c r="J13" s="44">
        <f>IF(D13&gt;0,[1]S2!$BZ$31,0)</f>
        <v>1.2487999999999999</v>
      </c>
      <c r="K13" s="43">
        <f>ROUNDDOWN(H13*J13,2)</f>
        <v>103.44</v>
      </c>
      <c r="L13" s="43">
        <f t="shared" si="4"/>
        <v>1769858.4</v>
      </c>
      <c r="M13" s="30"/>
    </row>
    <row r="14" spans="1:13" ht="20.100000000000001" customHeight="1" x14ac:dyDescent="0.5">
      <c r="A14" s="28"/>
      <c r="B14" s="47" t="s">
        <v>32</v>
      </c>
      <c r="C14" s="30"/>
      <c r="D14" s="48">
        <f>ROUNDDOWN(D13*0.03,2)</f>
        <v>513.29999999999995</v>
      </c>
      <c r="E14" s="41" t="s">
        <v>28</v>
      </c>
      <c r="F14" s="42">
        <f>[1]ข้อมูล!L69</f>
        <v>408.3</v>
      </c>
      <c r="G14" s="42">
        <f t="shared" si="2"/>
        <v>0</v>
      </c>
      <c r="H14" s="42">
        <f>F14+G14</f>
        <v>408.3</v>
      </c>
      <c r="I14" s="43">
        <f t="shared" si="1"/>
        <v>209580.38999999998</v>
      </c>
      <c r="J14" s="44">
        <f>IF(D14&gt;0,[1]S2!$BZ$31,0)</f>
        <v>1.2487999999999999</v>
      </c>
      <c r="K14" s="43">
        <f>ROUNDDOWN(H14*J14,2)</f>
        <v>509.88</v>
      </c>
      <c r="L14" s="43">
        <f t="shared" si="4"/>
        <v>261721.4</v>
      </c>
      <c r="M14" s="30"/>
    </row>
    <row r="15" spans="1:13" ht="20.100000000000001" customHeight="1" x14ac:dyDescent="0.5">
      <c r="A15" s="30"/>
      <c r="B15" s="30" t="s">
        <v>33</v>
      </c>
      <c r="C15" s="30"/>
      <c r="D15" s="48">
        <f>FLOOR([1]รวมเนื้องานทั้งหมด!C5*0.2,10)</f>
        <v>860</v>
      </c>
      <c r="E15" s="41" t="s">
        <v>26</v>
      </c>
      <c r="F15" s="42">
        <f>IF(D15&lt;=0,0,+[1]ข้อมูล!$L$53)</f>
        <v>612.45000000000005</v>
      </c>
      <c r="G15" s="42">
        <f>IF(D15&lt;=0,0,+[1]ข้อมูล!$L$54+[1]ข้อมูล!$L$55)</f>
        <v>114.8</v>
      </c>
      <c r="H15" s="43">
        <f>ROUND(F15+G15,2)</f>
        <v>727.25</v>
      </c>
      <c r="I15" s="43">
        <f t="shared" si="1"/>
        <v>625435</v>
      </c>
      <c r="J15" s="44">
        <f>IF(D15&gt;0,[1]S2!$BZ$31,0)</f>
        <v>1.2487999999999999</v>
      </c>
      <c r="K15" s="43">
        <f>ROUNDDOWN(H15*J15,2)</f>
        <v>908.18</v>
      </c>
      <c r="L15" s="43">
        <f t="shared" si="4"/>
        <v>781034.8</v>
      </c>
      <c r="M15" s="30"/>
    </row>
    <row r="16" spans="1:13" ht="20.100000000000001" customHeight="1" x14ac:dyDescent="0.5">
      <c r="A16" s="30"/>
      <c r="B16" s="18"/>
      <c r="C16" s="20"/>
      <c r="D16" s="48"/>
      <c r="E16" s="41"/>
      <c r="F16" s="42"/>
      <c r="G16" s="42"/>
      <c r="H16" s="43"/>
      <c r="I16" s="43"/>
      <c r="J16" s="44"/>
      <c r="K16" s="43"/>
      <c r="L16" s="43"/>
      <c r="M16" s="30"/>
    </row>
    <row r="17" spans="1:13" ht="20.100000000000001" customHeight="1" x14ac:dyDescent="0.5">
      <c r="A17" s="28">
        <v>2</v>
      </c>
      <c r="B17" s="49" t="s">
        <v>34</v>
      </c>
      <c r="C17" s="49"/>
      <c r="D17" s="48"/>
      <c r="E17" s="30"/>
      <c r="F17" s="33"/>
      <c r="G17" s="33"/>
      <c r="H17" s="34"/>
      <c r="I17" s="34"/>
      <c r="J17" s="35"/>
      <c r="K17" s="34">
        <f t="shared" si="3"/>
        <v>0</v>
      </c>
      <c r="L17" s="34"/>
      <c r="M17" s="30"/>
    </row>
    <row r="18" spans="1:13" ht="20.100000000000001" customHeight="1" x14ac:dyDescent="0.5">
      <c r="A18" s="30"/>
      <c r="B18" s="30" t="s">
        <v>35</v>
      </c>
      <c r="C18" s="30"/>
      <c r="D18" s="48">
        <f>D13+[1]รวมเนื้องานทั้งหมด!F5</f>
        <v>21061</v>
      </c>
      <c r="E18" s="26" t="s">
        <v>28</v>
      </c>
      <c r="F18" s="33">
        <f>[1]ข้อมูล!L80</f>
        <v>30.3</v>
      </c>
      <c r="G18" s="33">
        <f>[1]S2!BT15</f>
        <v>7.67</v>
      </c>
      <c r="H18" s="34">
        <f t="shared" ref="H18:H20" si="5">ROUND(F18+G18,2)</f>
        <v>37.97</v>
      </c>
      <c r="I18" s="34">
        <f t="shared" ref="I18:I20" si="6">D18*H18</f>
        <v>799686.16999999993</v>
      </c>
      <c r="J18" s="35">
        <f>IF(D18&gt;0,[1]S2!$BZ$31,0)</f>
        <v>1.2487999999999999</v>
      </c>
      <c r="K18" s="34">
        <f t="shared" si="3"/>
        <v>47.41</v>
      </c>
      <c r="L18" s="34">
        <f>ROUNDDOWN(D18*K18,2)</f>
        <v>998502.01</v>
      </c>
      <c r="M18" s="30"/>
    </row>
    <row r="19" spans="1:13" ht="20.100000000000001" customHeight="1" x14ac:dyDescent="0.5">
      <c r="A19" s="30"/>
      <c r="B19" s="30" t="s">
        <v>36</v>
      </c>
      <c r="C19" s="30"/>
      <c r="D19" s="48">
        <v>0</v>
      </c>
      <c r="E19" s="26" t="s">
        <v>28</v>
      </c>
      <c r="F19" s="33">
        <f>[1]ข้อมูล!L85</f>
        <v>6.03</v>
      </c>
      <c r="G19" s="33">
        <f>[1]S2!BT16</f>
        <v>7.41</v>
      </c>
      <c r="H19" s="34">
        <f t="shared" si="5"/>
        <v>13.44</v>
      </c>
      <c r="I19" s="34">
        <f t="shared" si="6"/>
        <v>0</v>
      </c>
      <c r="J19" s="35">
        <f>IF(D19&gt;0,[1]S2!$BZ$31,0)</f>
        <v>0</v>
      </c>
      <c r="K19" s="34">
        <f t="shared" si="3"/>
        <v>0</v>
      </c>
      <c r="L19" s="34">
        <f>D19*K19</f>
        <v>0</v>
      </c>
      <c r="M19" s="30"/>
    </row>
    <row r="20" spans="1:13" ht="20.100000000000001" customHeight="1" x14ac:dyDescent="0.5">
      <c r="A20" s="30"/>
      <c r="B20" s="30" t="s">
        <v>37</v>
      </c>
      <c r="C20" s="30"/>
      <c r="D20" s="48"/>
      <c r="E20" s="30"/>
      <c r="F20" s="34"/>
      <c r="G20" s="34"/>
      <c r="H20" s="34">
        <f t="shared" si="5"/>
        <v>0</v>
      </c>
      <c r="I20" s="34">
        <f t="shared" si="6"/>
        <v>0</v>
      </c>
      <c r="J20" s="35"/>
      <c r="K20" s="34">
        <f t="shared" si="3"/>
        <v>0</v>
      </c>
      <c r="L20" s="34"/>
      <c r="M20" s="30"/>
    </row>
    <row r="21" spans="1:13" ht="20.100000000000001" customHeight="1" x14ac:dyDescent="0.5">
      <c r="A21" s="30"/>
      <c r="B21" s="30" t="s">
        <v>38</v>
      </c>
      <c r="C21" s="30"/>
      <c r="D21" s="48">
        <f>+D18</f>
        <v>21061</v>
      </c>
      <c r="E21" s="41" t="s">
        <v>28</v>
      </c>
      <c r="F21" s="42">
        <f>IF(D21&lt;=0,0,+[1]ข้อมูล!$L$136)</f>
        <v>313.89</v>
      </c>
      <c r="G21" s="42">
        <f>IF(D21&lt;=0,0,+IF([1]ข้อมูล!$F$124=5,[1]S2!$BT$19,IF([1]ข้อมูล!$F$124=4,[1]S2!$BT$19*0.9,IF([1]ข้อมูล!$F$124=3.5,[1]S2!$BT$19*0.85,IF([1]ข้อมูล!$F$124=3,[1]S2!$BT$19*0.8)))))</f>
        <v>15.52</v>
      </c>
      <c r="H21" s="43">
        <f>ROUND(F21+G21,2)</f>
        <v>329.41</v>
      </c>
      <c r="I21" s="43">
        <f>D21*H21</f>
        <v>6937704.0100000007</v>
      </c>
      <c r="J21" s="44">
        <f>IF(D21&gt;0,[1]S2!$BZ$31,0)</f>
        <v>1.2487999999999999</v>
      </c>
      <c r="K21" s="43">
        <f>ROUNDDOWN(H21*J21,2)</f>
        <v>411.36</v>
      </c>
      <c r="L21" s="43">
        <f>ROUNDDOWN(D21*K21,2)</f>
        <v>8663652.9600000009</v>
      </c>
      <c r="M21" s="41"/>
    </row>
    <row r="22" spans="1:13" ht="20.100000000000001" customHeight="1" x14ac:dyDescent="0.5">
      <c r="A22" s="30"/>
      <c r="B22" s="30" t="s">
        <v>39</v>
      </c>
      <c r="C22" s="30"/>
      <c r="D22" s="48">
        <f>+D19</f>
        <v>0</v>
      </c>
      <c r="E22" s="41" t="s">
        <v>28</v>
      </c>
      <c r="F22" s="42">
        <f>IF(D22&lt;=0,0,+[1]ข้อมูล!$L$136)</f>
        <v>0</v>
      </c>
      <c r="G22" s="42">
        <f>IF(D22&lt;=0,0,+IF([1]ข้อมูล!$F$124=5,[1]S2!$BT$20,IF([1]ข้อมูล!$F$124=4,[1]S2!$BT$20*0.9,IF([1]ข้อมูล!$F$124=3.5,[1]S2!$BT$20*0.85,IF([1]ข้อมูล!$F$124=3,[1]S2!$BT$20*0.8)))))</f>
        <v>0</v>
      </c>
      <c r="H22" s="43">
        <f>ROUND(F22+G22,2)</f>
        <v>0</v>
      </c>
      <c r="I22" s="43">
        <f>D22*H22</f>
        <v>0</v>
      </c>
      <c r="J22" s="44">
        <f>IF(D22&gt;0,[1]S2!$BZ$31,0)</f>
        <v>0</v>
      </c>
      <c r="K22" s="43">
        <f t="shared" si="3"/>
        <v>0</v>
      </c>
      <c r="L22" s="43" t="s">
        <v>40</v>
      </c>
      <c r="M22" s="41"/>
    </row>
    <row r="23" spans="1:13" ht="20.100000000000001" customHeight="1" x14ac:dyDescent="0.5">
      <c r="A23" s="28">
        <v>3</v>
      </c>
      <c r="B23" s="50" t="s">
        <v>41</v>
      </c>
      <c r="C23" s="30"/>
      <c r="D23" s="48"/>
      <c r="E23" s="41"/>
      <c r="F23" s="42">
        <f>IF(D23&lt;=0,0,+[1]ข้อมูล!$L$136)</f>
        <v>0</v>
      </c>
      <c r="G23" s="42">
        <f>IF(D23&lt;=0,0,+IF([1]ข้อมูล!$F$124=5,[1]S2!$BT$20,IF([1]ข้อมูล!$F$124=4,[1]S2!$BT$20*0.9,IF([1]ข้อมูล!$F$124=3.5,[1]S2!$BT$20*0.85,IF([1]ข้อมูล!$F$124=3,[1]S2!$BT$20*0.8)))))</f>
        <v>0</v>
      </c>
      <c r="H23" s="43"/>
      <c r="I23" s="43"/>
      <c r="J23" s="44"/>
      <c r="K23" s="43">
        <f t="shared" si="3"/>
        <v>0</v>
      </c>
      <c r="L23" s="43"/>
      <c r="M23" s="47"/>
    </row>
    <row r="24" spans="1:13" ht="20.100000000000001" customHeight="1" x14ac:dyDescent="0.5">
      <c r="A24" s="30"/>
      <c r="B24" s="51" t="s">
        <v>42</v>
      </c>
      <c r="C24" s="30"/>
      <c r="D24" s="48">
        <v>100</v>
      </c>
      <c r="E24" s="41" t="s">
        <v>26</v>
      </c>
      <c r="F24" s="42">
        <v>0</v>
      </c>
      <c r="G24" s="42">
        <v>0</v>
      </c>
      <c r="H24" s="43">
        <f>FLOOR([1]ข้อมูล!L32,1)</f>
        <v>125</v>
      </c>
      <c r="I24" s="43">
        <f>D24*H24</f>
        <v>12500</v>
      </c>
      <c r="J24" s="44">
        <f>IF(D24&gt;0,[1]S2!$BZ$31,0)</f>
        <v>1.2487999999999999</v>
      </c>
      <c r="K24" s="43">
        <f t="shared" si="3"/>
        <v>156.1</v>
      </c>
      <c r="L24" s="43">
        <f t="shared" ref="L24:L33" si="7">ROUNDDOWN(D24*K24,2)</f>
        <v>15610</v>
      </c>
      <c r="M24" s="30"/>
    </row>
    <row r="25" spans="1:13" ht="20.100000000000001" customHeight="1" x14ac:dyDescent="0.5">
      <c r="A25" s="30"/>
      <c r="B25" s="51" t="s">
        <v>43</v>
      </c>
      <c r="C25" s="30"/>
      <c r="D25" s="48">
        <f>ROUNDDOWN(D10*0.05,2)</f>
        <v>462</v>
      </c>
      <c r="E25" s="41" t="s">
        <v>26</v>
      </c>
      <c r="F25" s="42">
        <v>0</v>
      </c>
      <c r="G25" s="42">
        <v>0</v>
      </c>
      <c r="H25" s="43">
        <f>'[1]ดิน,ทราย,คสล.'!H14</f>
        <v>864.15</v>
      </c>
      <c r="I25" s="43">
        <f t="shared" ref="I25:I33" si="8">D25*H25</f>
        <v>399237.3</v>
      </c>
      <c r="J25" s="44">
        <f>IF(D25&gt;0,[1]S2!$BZ$31,0)</f>
        <v>1.2487999999999999</v>
      </c>
      <c r="K25" s="43">
        <f t="shared" si="3"/>
        <v>1079.1500000000001</v>
      </c>
      <c r="L25" s="43">
        <f t="shared" si="7"/>
        <v>498567.3</v>
      </c>
      <c r="M25" s="30"/>
    </row>
    <row r="26" spans="1:13" ht="20.100000000000001" customHeight="1" x14ac:dyDescent="0.5">
      <c r="A26" s="30"/>
      <c r="B26" s="51" t="s">
        <v>44</v>
      </c>
      <c r="C26" s="30"/>
      <c r="D26" s="48">
        <f>9390-390</f>
        <v>9000</v>
      </c>
      <c r="E26" s="41" t="s">
        <v>28</v>
      </c>
      <c r="F26" s="42">
        <v>0</v>
      </c>
      <c r="G26" s="42">
        <v>0</v>
      </c>
      <c r="H26" s="43">
        <v>300</v>
      </c>
      <c r="I26" s="43">
        <f t="shared" si="8"/>
        <v>2700000</v>
      </c>
      <c r="J26" s="44">
        <f>IF(D26&gt;0,[1]S2!$BZ$31,0)</f>
        <v>1.2487999999999999</v>
      </c>
      <c r="K26" s="43">
        <f t="shared" si="3"/>
        <v>374.64</v>
      </c>
      <c r="L26" s="43">
        <f t="shared" si="7"/>
        <v>3371760</v>
      </c>
      <c r="M26" s="30"/>
    </row>
    <row r="27" spans="1:13" ht="20.100000000000001" customHeight="1" x14ac:dyDescent="0.5">
      <c r="A27" s="30"/>
      <c r="B27" s="52" t="s">
        <v>45</v>
      </c>
      <c r="C27" s="30"/>
      <c r="D27" s="48">
        <f>D26</f>
        <v>9000</v>
      </c>
      <c r="E27" s="41" t="s">
        <v>28</v>
      </c>
      <c r="F27" s="42">
        <v>0</v>
      </c>
      <c r="G27" s="42">
        <v>0</v>
      </c>
      <c r="H27" s="43">
        <v>620</v>
      </c>
      <c r="I27" s="43">
        <f t="shared" si="8"/>
        <v>5580000</v>
      </c>
      <c r="J27" s="44">
        <f>IF(D27&gt;0,[1]S2!$BZ$31,0)</f>
        <v>1.2487999999999999</v>
      </c>
      <c r="K27" s="43">
        <f t="shared" si="3"/>
        <v>774.25</v>
      </c>
      <c r="L27" s="43">
        <f t="shared" si="7"/>
        <v>6968250</v>
      </c>
      <c r="M27" s="53" t="s">
        <v>46</v>
      </c>
    </row>
    <row r="28" spans="1:13" ht="20.100000000000001" customHeight="1" x14ac:dyDescent="0.5">
      <c r="A28" s="30"/>
      <c r="B28" s="30" t="s">
        <v>47</v>
      </c>
      <c r="C28" s="30"/>
      <c r="D28" s="48">
        <f>[1]รวมเนื้องานทั้งหมด!C8+1</f>
        <v>98</v>
      </c>
      <c r="E28" s="41" t="s">
        <v>26</v>
      </c>
      <c r="F28" s="42">
        <v>0</v>
      </c>
      <c r="G28" s="42">
        <v>0</v>
      </c>
      <c r="H28" s="43">
        <f>'[1]รื้อคอนกรีตบ่อพัก+ฝาเดิม'!C16</f>
        <v>100</v>
      </c>
      <c r="I28" s="43">
        <f t="shared" si="8"/>
        <v>9800</v>
      </c>
      <c r="J28" s="44">
        <f>IF(D28&gt;0,[1]S2!$BZ$31,0)</f>
        <v>1.2487999999999999</v>
      </c>
      <c r="K28" s="43">
        <f t="shared" si="3"/>
        <v>124.88</v>
      </c>
      <c r="L28" s="43">
        <f t="shared" si="7"/>
        <v>12238.24</v>
      </c>
      <c r="M28" s="26"/>
    </row>
    <row r="29" spans="1:13" ht="20.100000000000001" customHeight="1" x14ac:dyDescent="0.5">
      <c r="A29" s="30"/>
      <c r="B29" s="47" t="s">
        <v>48</v>
      </c>
      <c r="C29" s="30"/>
      <c r="D29" s="48">
        <f>D28</f>
        <v>98</v>
      </c>
      <c r="E29" s="41" t="s">
        <v>49</v>
      </c>
      <c r="F29" s="42"/>
      <c r="G29" s="42"/>
      <c r="H29" s="43">
        <f>[1]ฝาตะแกรงบ่อพัก!C19</f>
        <v>7378</v>
      </c>
      <c r="I29" s="43">
        <f t="shared" si="8"/>
        <v>723044</v>
      </c>
      <c r="J29" s="44">
        <f>IF(D29&gt;0,[1]S2!$BZ$31,0)</f>
        <v>1.2487999999999999</v>
      </c>
      <c r="K29" s="43">
        <f t="shared" si="3"/>
        <v>9213.64</v>
      </c>
      <c r="L29" s="43">
        <f t="shared" si="7"/>
        <v>902936.72</v>
      </c>
      <c r="M29" s="26"/>
    </row>
    <row r="30" spans="1:13" ht="20.100000000000001" customHeight="1" x14ac:dyDescent="0.5">
      <c r="A30" s="30"/>
      <c r="B30" s="30" t="s">
        <v>50</v>
      </c>
      <c r="C30" s="30"/>
      <c r="D30" s="48">
        <f>[1]รวมเนื้องานทั้งหมด!C4</f>
        <v>514</v>
      </c>
      <c r="E30" s="41" t="s">
        <v>51</v>
      </c>
      <c r="F30" s="42">
        <v>0</v>
      </c>
      <c r="G30" s="42">
        <v>0</v>
      </c>
      <c r="H30" s="43">
        <f>'[1]ก่อสร้างคันหิน คสล.'!C18</f>
        <v>858</v>
      </c>
      <c r="I30" s="43">
        <f t="shared" si="8"/>
        <v>441012</v>
      </c>
      <c r="J30" s="44">
        <f>IF(D30&gt;0,[1]S2!$BZ$31,0)</f>
        <v>1.2487999999999999</v>
      </c>
      <c r="K30" s="43">
        <f t="shared" si="3"/>
        <v>1071.47</v>
      </c>
      <c r="L30" s="43">
        <f t="shared" si="7"/>
        <v>550735.57999999996</v>
      </c>
      <c r="M30" s="26"/>
    </row>
    <row r="31" spans="1:13" ht="20.100000000000001" customHeight="1" x14ac:dyDescent="0.5">
      <c r="A31" s="30"/>
      <c r="B31" s="30" t="s">
        <v>52</v>
      </c>
      <c r="C31" s="30"/>
      <c r="D31" s="48">
        <v>78</v>
      </c>
      <c r="E31" s="41" t="s">
        <v>51</v>
      </c>
      <c r="F31" s="42">
        <v>0</v>
      </c>
      <c r="G31" s="42">
        <v>0</v>
      </c>
      <c r="H31" s="43">
        <f>[1]ก่อสร้างคันหินเตี้ย!C17</f>
        <v>716</v>
      </c>
      <c r="I31" s="43">
        <f t="shared" si="8"/>
        <v>55848</v>
      </c>
      <c r="J31" s="44">
        <f>IF(D31&gt;0,[1]S2!$BZ$31,0)</f>
        <v>1.2487999999999999</v>
      </c>
      <c r="K31" s="43">
        <f t="shared" si="3"/>
        <v>894.14</v>
      </c>
      <c r="L31" s="43">
        <f t="shared" si="7"/>
        <v>69742.92</v>
      </c>
      <c r="M31" s="26"/>
    </row>
    <row r="32" spans="1:13" ht="20.100000000000001" customHeight="1" x14ac:dyDescent="0.5">
      <c r="A32" s="30"/>
      <c r="B32" s="30" t="s">
        <v>53</v>
      </c>
      <c r="C32" s="30"/>
      <c r="D32" s="48">
        <v>1435</v>
      </c>
      <c r="E32" s="41" t="s">
        <v>51</v>
      </c>
      <c r="F32" s="42">
        <v>0</v>
      </c>
      <c r="G32" s="42">
        <v>0</v>
      </c>
      <c r="H32" s="43">
        <f>[1]คันหินปิดหลังทางเท้า!C16</f>
        <v>238</v>
      </c>
      <c r="I32" s="43">
        <f t="shared" si="8"/>
        <v>341530</v>
      </c>
      <c r="J32" s="44">
        <f>IF(D32&gt;0,[1]S2!$BZ$31,0)</f>
        <v>1.2487999999999999</v>
      </c>
      <c r="K32" s="43">
        <f t="shared" si="3"/>
        <v>297.20999999999998</v>
      </c>
      <c r="L32" s="43">
        <f t="shared" si="7"/>
        <v>426496.35</v>
      </c>
      <c r="M32" s="26"/>
    </row>
    <row r="33" spans="1:13" ht="20.100000000000001" customHeight="1" x14ac:dyDescent="0.5">
      <c r="A33" s="30"/>
      <c r="B33" s="30" t="s">
        <v>54</v>
      </c>
      <c r="C33" s="30"/>
      <c r="D33" s="48">
        <v>27</v>
      </c>
      <c r="E33" s="41" t="s">
        <v>49</v>
      </c>
      <c r="F33" s="42">
        <f>[1]บ่อพักใหม่!I21</f>
        <v>6680</v>
      </c>
      <c r="G33" s="42">
        <v>0</v>
      </c>
      <c r="H33" s="43">
        <f>F33+G33</f>
        <v>6680</v>
      </c>
      <c r="I33" s="43">
        <f t="shared" si="8"/>
        <v>180360</v>
      </c>
      <c r="J33" s="44">
        <f>IF(D33&gt;0,[1]S2!$BZ$31,0)</f>
        <v>1.2487999999999999</v>
      </c>
      <c r="K33" s="43">
        <f t="shared" si="3"/>
        <v>8341.98</v>
      </c>
      <c r="L33" s="43">
        <f t="shared" si="7"/>
        <v>225233.46</v>
      </c>
      <c r="M33" s="26"/>
    </row>
    <row r="34" spans="1:13" ht="20.100000000000001" customHeight="1" x14ac:dyDescent="0.5">
      <c r="A34" s="26">
        <v>4</v>
      </c>
      <c r="B34" s="29" t="s">
        <v>55</v>
      </c>
      <c r="C34" s="30"/>
      <c r="D34" s="48"/>
      <c r="E34" s="47"/>
      <c r="F34" s="43"/>
      <c r="G34" s="43"/>
      <c r="H34" s="43"/>
      <c r="I34" s="43"/>
      <c r="J34" s="44"/>
      <c r="K34" s="43"/>
      <c r="L34" s="43"/>
      <c r="M34" s="54"/>
    </row>
    <row r="35" spans="1:13" ht="20.100000000000001" customHeight="1" x14ac:dyDescent="0.5">
      <c r="A35" s="30"/>
      <c r="B35" s="30" t="s">
        <v>56</v>
      </c>
      <c r="C35" s="30"/>
      <c r="D35" s="48">
        <f>0.1*8*1200+80</f>
        <v>1040</v>
      </c>
      <c r="E35" s="41" t="s">
        <v>28</v>
      </c>
      <c r="F35" s="42">
        <f>IF(D35&lt;=0,0,)</f>
        <v>0</v>
      </c>
      <c r="G35" s="42">
        <f>IF(D35&lt;=0,0,)</f>
        <v>0</v>
      </c>
      <c r="H35" s="42">
        <v>290</v>
      </c>
      <c r="I35" s="43">
        <f>D35*H35</f>
        <v>301600</v>
      </c>
      <c r="J35" s="44">
        <f>IF(D35&gt;0,[1]S2!$BZ$31,0)</f>
        <v>1.2487999999999999</v>
      </c>
      <c r="K35" s="43">
        <f t="shared" si="3"/>
        <v>362.15</v>
      </c>
      <c r="L35" s="43">
        <f t="shared" ref="L35:L36" si="9">ROUNDDOWN(D35*K35,2)</f>
        <v>376636</v>
      </c>
      <c r="M35" s="55"/>
    </row>
    <row r="36" spans="1:13" ht="20.100000000000001" customHeight="1" x14ac:dyDescent="0.5">
      <c r="A36" s="30"/>
      <c r="B36" s="56" t="s">
        <v>57</v>
      </c>
      <c r="C36" s="30"/>
      <c r="D36" s="48">
        <v>136</v>
      </c>
      <c r="E36" s="41" t="s">
        <v>28</v>
      </c>
      <c r="F36" s="42">
        <v>290</v>
      </c>
      <c r="G36" s="42">
        <f>IF(D36&lt;=0,0,)</f>
        <v>0</v>
      </c>
      <c r="H36" s="42">
        <f>F36+G36</f>
        <v>290</v>
      </c>
      <c r="I36" s="43">
        <f>D36*H36</f>
        <v>39440</v>
      </c>
      <c r="J36" s="44">
        <f>IF(D36&gt;0,[1]S2!$BZ$31,0)</f>
        <v>1.2487999999999999</v>
      </c>
      <c r="K36" s="43">
        <f t="shared" si="3"/>
        <v>362.15</v>
      </c>
      <c r="L36" s="43">
        <f t="shared" si="9"/>
        <v>49252.4</v>
      </c>
      <c r="M36" s="30"/>
    </row>
    <row r="37" spans="1:13" ht="20.100000000000001" customHeight="1" x14ac:dyDescent="0.5">
      <c r="A37" s="28">
        <v>5</v>
      </c>
      <c r="B37" s="57" t="s">
        <v>58</v>
      </c>
      <c r="C37" s="58"/>
      <c r="D37" s="48"/>
      <c r="E37" s="41"/>
      <c r="F37" s="42">
        <f>IF(D37&lt;=0,0,+[1]ข้อมูล!$L$136)</f>
        <v>0</v>
      </c>
      <c r="G37" s="42">
        <f>IF(D37&lt;=0,0,+IF([1]ข้อมูล!$F$124=5,[1]S2!$BT$20,IF([1]ข้อมูล!$F$124=4,[1]S2!$BT$20*0.9,IF([1]ข้อมูล!$F$124=3.5,[1]S2!$BT$20*0.85,IF([1]ข้อมูล!$F$124=3,[1]S2!$BT$20*0.8)))))</f>
        <v>0</v>
      </c>
      <c r="H37" s="43"/>
      <c r="I37" s="43"/>
      <c r="J37" s="44"/>
      <c r="K37" s="43">
        <f t="shared" si="3"/>
        <v>0</v>
      </c>
      <c r="L37" s="43"/>
      <c r="M37" s="30"/>
    </row>
    <row r="38" spans="1:13" ht="20.100000000000001" customHeight="1" x14ac:dyDescent="0.5">
      <c r="A38" s="30"/>
      <c r="B38" s="51" t="s">
        <v>59</v>
      </c>
      <c r="C38" s="30"/>
      <c r="D38" s="48">
        <v>11</v>
      </c>
      <c r="E38" s="41" t="s">
        <v>22</v>
      </c>
      <c r="F38" s="42">
        <f>[1]ย้ายเสาไฟกิ่ง!C17</f>
        <v>1000</v>
      </c>
      <c r="G38" s="42">
        <v>0</v>
      </c>
      <c r="H38" s="43">
        <f t="shared" ref="H38:H43" si="10">F38+G38</f>
        <v>1000</v>
      </c>
      <c r="I38" s="43">
        <f t="shared" ref="I38:I43" si="11">D38*H38</f>
        <v>11000</v>
      </c>
      <c r="J38" s="44">
        <f>IF(D38&gt;0,[1]S2!$BZ$31,0)</f>
        <v>1.2487999999999999</v>
      </c>
      <c r="K38" s="43">
        <f t="shared" si="3"/>
        <v>1248.8</v>
      </c>
      <c r="L38" s="43">
        <f t="shared" ref="L38:L43" si="12">ROUNDDOWN(D38*K38,2)</f>
        <v>13736.8</v>
      </c>
      <c r="M38" s="30"/>
    </row>
    <row r="39" spans="1:13" ht="20.100000000000001" customHeight="1" x14ac:dyDescent="0.5">
      <c r="A39" s="30"/>
      <c r="B39" s="51" t="s">
        <v>60</v>
      </c>
      <c r="C39" s="30"/>
      <c r="D39" s="48">
        <f>0.45*1200*2+(0.45*1200*2-(24*3*2))</f>
        <v>2016</v>
      </c>
      <c r="E39" s="41" t="s">
        <v>28</v>
      </c>
      <c r="F39" s="42">
        <f>[1]ทาสีคันหิน!G1543</f>
        <v>46</v>
      </c>
      <c r="G39" s="42">
        <v>35</v>
      </c>
      <c r="H39" s="43">
        <f t="shared" si="10"/>
        <v>81</v>
      </c>
      <c r="I39" s="43">
        <f t="shared" si="11"/>
        <v>163296</v>
      </c>
      <c r="J39" s="44">
        <f>IF(D39&gt;0,[1]S2!$BZ$31,0)</f>
        <v>1.2487999999999999</v>
      </c>
      <c r="K39" s="43">
        <f t="shared" si="3"/>
        <v>101.15</v>
      </c>
      <c r="L39" s="43">
        <f t="shared" si="12"/>
        <v>203918.4</v>
      </c>
      <c r="M39" s="30"/>
    </row>
    <row r="40" spans="1:13" ht="20.100000000000001" customHeight="1" x14ac:dyDescent="0.5">
      <c r="A40" s="30"/>
      <c r="B40" s="59" t="s">
        <v>61</v>
      </c>
      <c r="C40" s="30"/>
      <c r="D40" s="48">
        <f>[1]รวมเนื้องานทั้งหมด!C7</f>
        <v>584</v>
      </c>
      <c r="E40" s="41" t="s">
        <v>28</v>
      </c>
      <c r="F40" s="42">
        <f>H21+G19</f>
        <v>336.82000000000005</v>
      </c>
      <c r="G40" s="42">
        <v>0</v>
      </c>
      <c r="H40" s="43">
        <f t="shared" si="10"/>
        <v>336.82000000000005</v>
      </c>
      <c r="I40" s="43">
        <f t="shared" si="11"/>
        <v>196702.88000000003</v>
      </c>
      <c r="J40" s="44">
        <f>IF(D40&gt;0,[1]S2!$BZ$31,0)</f>
        <v>1.2487999999999999</v>
      </c>
      <c r="K40" s="43">
        <f t="shared" si="3"/>
        <v>420.62</v>
      </c>
      <c r="L40" s="43">
        <f t="shared" si="12"/>
        <v>245642.08</v>
      </c>
      <c r="M40" s="60" t="s">
        <v>62</v>
      </c>
    </row>
    <row r="41" spans="1:13" ht="20.100000000000001" customHeight="1" x14ac:dyDescent="0.5">
      <c r="A41" s="30"/>
      <c r="B41" s="59" t="s">
        <v>63</v>
      </c>
      <c r="C41" s="30"/>
      <c r="D41" s="48">
        <v>6</v>
      </c>
      <c r="E41" s="41" t="s">
        <v>64</v>
      </c>
      <c r="F41" s="42">
        <v>10000</v>
      </c>
      <c r="G41" s="42">
        <v>0</v>
      </c>
      <c r="H41" s="43">
        <f t="shared" si="10"/>
        <v>10000</v>
      </c>
      <c r="I41" s="43">
        <f t="shared" si="11"/>
        <v>60000</v>
      </c>
      <c r="J41" s="44">
        <f>IF(D41&gt;0,[1]S2!$BZ$31,0)</f>
        <v>1.2487999999999999</v>
      </c>
      <c r="K41" s="43">
        <f t="shared" si="3"/>
        <v>12488</v>
      </c>
      <c r="L41" s="43">
        <f t="shared" si="12"/>
        <v>74928</v>
      </c>
      <c r="M41" s="60" t="s">
        <v>65</v>
      </c>
    </row>
    <row r="42" spans="1:13" ht="20.100000000000001" customHeight="1" x14ac:dyDescent="0.5">
      <c r="A42" s="30"/>
      <c r="B42" s="51" t="s">
        <v>66</v>
      </c>
      <c r="C42" s="30"/>
      <c r="D42" s="48">
        <v>16</v>
      </c>
      <c r="E42" s="41" t="s">
        <v>64</v>
      </c>
      <c r="F42" s="42">
        <v>3000</v>
      </c>
      <c r="G42" s="42">
        <v>2000</v>
      </c>
      <c r="H42" s="43">
        <f t="shared" si="10"/>
        <v>5000</v>
      </c>
      <c r="I42" s="43">
        <f t="shared" si="11"/>
        <v>80000</v>
      </c>
      <c r="J42" s="44">
        <f>IF(D42&gt;0,[1]S2!$BZ$31,0)</f>
        <v>1.2487999999999999</v>
      </c>
      <c r="K42" s="43">
        <f t="shared" si="3"/>
        <v>6244</v>
      </c>
      <c r="L42" s="43">
        <f t="shared" si="12"/>
        <v>99904</v>
      </c>
      <c r="M42" s="60" t="s">
        <v>65</v>
      </c>
    </row>
    <row r="43" spans="1:13" ht="20.100000000000001" customHeight="1" x14ac:dyDescent="0.5">
      <c r="A43" s="30"/>
      <c r="B43" s="51" t="s">
        <v>67</v>
      </c>
      <c r="C43" s="30"/>
      <c r="D43" s="48">
        <v>1</v>
      </c>
      <c r="E43" s="41" t="s">
        <v>68</v>
      </c>
      <c r="F43" s="42">
        <v>0</v>
      </c>
      <c r="G43" s="42">
        <v>30000</v>
      </c>
      <c r="H43" s="43">
        <f t="shared" si="10"/>
        <v>30000</v>
      </c>
      <c r="I43" s="43">
        <f t="shared" si="11"/>
        <v>30000</v>
      </c>
      <c r="J43" s="44">
        <f>IF(D43&gt;0,[1]S2!$BZ$31,0)</f>
        <v>1.2487999999999999</v>
      </c>
      <c r="K43" s="43">
        <f t="shared" si="3"/>
        <v>37464</v>
      </c>
      <c r="L43" s="43">
        <f t="shared" si="12"/>
        <v>37464</v>
      </c>
      <c r="M43" s="60" t="s">
        <v>69</v>
      </c>
    </row>
    <row r="44" spans="1:13" ht="20.100000000000001" customHeight="1" x14ac:dyDescent="0.5">
      <c r="A44" s="30"/>
      <c r="B44" s="18"/>
      <c r="C44" s="20"/>
      <c r="D44" s="38"/>
      <c r="E44" s="41"/>
      <c r="F44" s="42"/>
      <c r="G44" s="42"/>
      <c r="H44" s="42"/>
      <c r="I44" s="43"/>
      <c r="J44" s="43"/>
      <c r="K44" s="43"/>
      <c r="L44" s="43"/>
      <c r="M44" s="30"/>
    </row>
    <row r="45" spans="1:13" ht="21.75" customHeight="1" x14ac:dyDescent="0.5">
      <c r="A45" s="30"/>
      <c r="B45" s="61" t="s">
        <v>70</v>
      </c>
      <c r="C45" s="62"/>
      <c r="D45" s="31"/>
      <c r="E45" s="47"/>
      <c r="F45" s="47"/>
      <c r="G45" s="47"/>
      <c r="H45" s="47"/>
      <c r="I45" s="63">
        <f>SUM(I7:I43)</f>
        <v>21920195.944445003</v>
      </c>
      <c r="J45" s="63"/>
      <c r="K45" s="63"/>
      <c r="L45" s="63">
        <f>SUM(L7:L43)</f>
        <v>27373406.719999999</v>
      </c>
      <c r="M45" s="30"/>
    </row>
    <row r="46" spans="1:13" x14ac:dyDescent="0.5">
      <c r="A46" s="64"/>
      <c r="B46" s="64"/>
      <c r="C46" s="65"/>
      <c r="D46" s="66"/>
      <c r="E46" s="64"/>
      <c r="F46" s="64"/>
      <c r="G46" s="64"/>
      <c r="H46" s="64"/>
      <c r="I46" s="67"/>
      <c r="J46" s="67"/>
      <c r="K46" s="67"/>
      <c r="L46" s="67"/>
      <c r="M46" s="64"/>
    </row>
    <row r="47" spans="1:13" x14ac:dyDescent="0.5">
      <c r="C47" s="68"/>
      <c r="D47" s="69"/>
      <c r="I47" s="70"/>
      <c r="J47" s="70"/>
      <c r="K47" s="70"/>
      <c r="L47" s="70"/>
    </row>
    <row r="48" spans="1:13" x14ac:dyDescent="0.5">
      <c r="C48" s="68"/>
      <c r="D48" s="69"/>
      <c r="I48" s="70"/>
      <c r="J48" s="70"/>
      <c r="K48" s="70"/>
      <c r="L48" s="70"/>
    </row>
    <row r="49" spans="1:13" x14ac:dyDescent="0.5">
      <c r="C49" s="68"/>
      <c r="D49" s="69"/>
      <c r="I49" s="70"/>
      <c r="J49" s="70"/>
      <c r="K49" s="70"/>
      <c r="L49" s="70"/>
    </row>
    <row r="50" spans="1:13" x14ac:dyDescent="0.5">
      <c r="C50" s="68"/>
      <c r="D50" s="69"/>
      <c r="I50" s="70"/>
      <c r="J50" s="70"/>
      <c r="K50" s="70"/>
      <c r="L50" s="70"/>
    </row>
    <row r="51" spans="1:13" ht="21.75" customHeight="1" x14ac:dyDescent="0.55000000000000004">
      <c r="A51" s="71" t="s">
        <v>71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</row>
    <row r="52" spans="1:13" x14ac:dyDescent="0.5">
      <c r="B52" s="3" t="s">
        <v>1</v>
      </c>
      <c r="C52" s="4" t="str">
        <f>C2</f>
        <v xml:space="preserve"> พย.ถ.10060</v>
      </c>
      <c r="D52" s="72"/>
      <c r="G52" s="3" t="s">
        <v>2</v>
      </c>
      <c r="I52" s="7" t="str">
        <f>$H$2</f>
        <v>ทางหลวงหมายเลข 1 ตอน ทางเดิมเข้าเมืองพะเยา ต.บ้านต๋อม อ.เมืองพะเยา จ.พะเยา</v>
      </c>
    </row>
    <row r="53" spans="1:13" ht="21.75" customHeight="1" x14ac:dyDescent="0.5">
      <c r="B53" s="3" t="s">
        <v>3</v>
      </c>
      <c r="C53" s="4" t="str">
        <f>C3</f>
        <v>ทางหลวงหมายเลข 1 ตอนเดิมเข้าเมืองพะเยา  ต.บ้านต๋อม อ.เมือง จ.พะเยา</v>
      </c>
      <c r="E53" s="73"/>
      <c r="F53" s="73"/>
      <c r="G53" s="3"/>
      <c r="H53" s="2" t="str">
        <f>'[1]ปร.5(ใหม่)'!A11</f>
        <v>ระยะทางดำเนินการซ่อมสร้าง ฯ รวม 2 ช่วง</v>
      </c>
      <c r="I53" s="11"/>
      <c r="K53" s="13" t="s">
        <v>72</v>
      </c>
      <c r="L53" s="13">
        <f>'[1]ปร.5(ใหม่)'!E11</f>
        <v>2.4</v>
      </c>
      <c r="M53" s="4" t="s">
        <v>5</v>
      </c>
    </row>
    <row r="54" spans="1:13" ht="20.100000000000001" customHeight="1" x14ac:dyDescent="0.5">
      <c r="A54" s="14" t="s">
        <v>6</v>
      </c>
      <c r="B54" s="15"/>
      <c r="C54" s="16" t="s">
        <v>7</v>
      </c>
      <c r="D54" s="17" t="s">
        <v>8</v>
      </c>
      <c r="E54" s="14" t="s">
        <v>9</v>
      </c>
      <c r="F54" s="18" t="s">
        <v>10</v>
      </c>
      <c r="G54" s="19"/>
      <c r="H54" s="20"/>
      <c r="I54" s="14" t="s">
        <v>11</v>
      </c>
      <c r="J54" s="74" t="s">
        <v>12</v>
      </c>
      <c r="K54" s="18" t="s">
        <v>13</v>
      </c>
      <c r="L54" s="20"/>
      <c r="M54" s="14" t="s">
        <v>14</v>
      </c>
    </row>
    <row r="55" spans="1:13" ht="20.100000000000001" customHeight="1" x14ac:dyDescent="0.5">
      <c r="A55" s="22"/>
      <c r="B55" s="23"/>
      <c r="C55" s="24"/>
      <c r="D55" s="25"/>
      <c r="E55" s="22"/>
      <c r="F55" s="26" t="s">
        <v>15</v>
      </c>
      <c r="G55" s="26" t="s">
        <v>16</v>
      </c>
      <c r="H55" s="26" t="s">
        <v>17</v>
      </c>
      <c r="I55" s="22" t="s">
        <v>18</v>
      </c>
      <c r="J55" s="75"/>
      <c r="K55" s="27" t="s">
        <v>19</v>
      </c>
      <c r="L55" s="26" t="s">
        <v>17</v>
      </c>
      <c r="M55" s="22"/>
    </row>
    <row r="56" spans="1:13" ht="20.100000000000001" customHeight="1" x14ac:dyDescent="0.5">
      <c r="A56" s="76"/>
      <c r="B56" s="77"/>
      <c r="C56" s="78" t="s">
        <v>73</v>
      </c>
      <c r="D56" s="79"/>
      <c r="E56" s="76"/>
      <c r="F56" s="76"/>
      <c r="G56" s="76"/>
      <c r="H56" s="76"/>
      <c r="I56" s="80">
        <f>I45</f>
        <v>21920195.944445003</v>
      </c>
      <c r="J56" s="81"/>
      <c r="K56" s="81"/>
      <c r="L56" s="82">
        <f>L45</f>
        <v>27373406.719999999</v>
      </c>
      <c r="M56" s="14"/>
    </row>
    <row r="57" spans="1:13" ht="20.100000000000001" customHeight="1" x14ac:dyDescent="0.5">
      <c r="A57" s="76">
        <v>5</v>
      </c>
      <c r="B57" s="83" t="s">
        <v>74</v>
      </c>
      <c r="D57" s="84"/>
      <c r="E57" s="85"/>
      <c r="F57" s="86"/>
      <c r="G57" s="86"/>
      <c r="H57" s="86"/>
      <c r="I57" s="86"/>
      <c r="J57" s="87"/>
      <c r="K57" s="87"/>
      <c r="L57" s="87"/>
      <c r="M57" s="85"/>
    </row>
    <row r="58" spans="1:13" ht="20.100000000000001" customHeight="1" x14ac:dyDescent="0.5">
      <c r="A58" s="85"/>
      <c r="B58" s="88" t="s">
        <v>75</v>
      </c>
      <c r="D58" s="89"/>
      <c r="E58" s="76"/>
      <c r="F58" s="86"/>
      <c r="G58" s="86"/>
      <c r="H58" s="86"/>
      <c r="I58" s="86"/>
      <c r="J58" s="87"/>
      <c r="K58" s="87"/>
      <c r="L58" s="87"/>
      <c r="M58" s="85"/>
    </row>
    <row r="59" spans="1:13" ht="20.100000000000001" customHeight="1" x14ac:dyDescent="0.5">
      <c r="A59" s="85"/>
      <c r="B59" s="90" t="s">
        <v>76</v>
      </c>
      <c r="D59" s="91">
        <v>0</v>
      </c>
      <c r="E59" s="92" t="s">
        <v>77</v>
      </c>
      <c r="F59" s="93">
        <f>IF(D59&lt;=0,0,90)</f>
        <v>0</v>
      </c>
      <c r="G59" s="93">
        <f>IF(D59&lt;=0,0,20)</f>
        <v>0</v>
      </c>
      <c r="H59" s="86">
        <f>ROUND(F59+G59,2)</f>
        <v>0</v>
      </c>
      <c r="I59" s="86">
        <f>D59*H59</f>
        <v>0</v>
      </c>
      <c r="J59" s="94">
        <f>IF(D59&gt;0,[1]S2!$BZ$31,0)</f>
        <v>0</v>
      </c>
      <c r="K59" s="87">
        <f>ROUNDDOWN(H59*J59,2)</f>
        <v>0</v>
      </c>
      <c r="L59" s="87">
        <f>D59*K59</f>
        <v>0</v>
      </c>
      <c r="M59" s="85"/>
    </row>
    <row r="60" spans="1:13" ht="20.100000000000001" customHeight="1" x14ac:dyDescent="0.5">
      <c r="A60" s="85"/>
      <c r="B60" s="90" t="s">
        <v>78</v>
      </c>
      <c r="D60" s="91">
        <v>0</v>
      </c>
      <c r="E60" s="92" t="s">
        <v>77</v>
      </c>
      <c r="F60" s="93">
        <f>IF(D60&lt;=0,0,325)</f>
        <v>0</v>
      </c>
      <c r="G60" s="93">
        <f>IF(D60&lt;=0,0,75)</f>
        <v>0</v>
      </c>
      <c r="H60" s="86">
        <f>ROUND(F60+G60,2)</f>
        <v>0</v>
      </c>
      <c r="I60" s="86">
        <f>D60*H60</f>
        <v>0</v>
      </c>
      <c r="J60" s="94">
        <f>IF(D60&gt;0,[1]S2!$BZ$31,0)</f>
        <v>0</v>
      </c>
      <c r="K60" s="87">
        <f>ROUNDDOWN(H60*J60,2)</f>
        <v>0</v>
      </c>
      <c r="L60" s="87">
        <f>D60*K60</f>
        <v>0</v>
      </c>
      <c r="M60" s="85"/>
    </row>
    <row r="61" spans="1:13" ht="20.100000000000001" customHeight="1" x14ac:dyDescent="0.5">
      <c r="A61" s="85"/>
      <c r="B61" s="90" t="s">
        <v>79</v>
      </c>
      <c r="D61" s="91">
        <v>0</v>
      </c>
      <c r="E61" s="92" t="s">
        <v>64</v>
      </c>
      <c r="F61" s="93">
        <f>IF(D61&lt;=0,0,)</f>
        <v>0</v>
      </c>
      <c r="G61" s="93">
        <f>IF(D61&lt;=0,0,)</f>
        <v>0</v>
      </c>
      <c r="H61" s="93">
        <f>ROUND(IF(D61&lt;=0,0,200),2)</f>
        <v>0</v>
      </c>
      <c r="I61" s="86">
        <f>D61*H61</f>
        <v>0</v>
      </c>
      <c r="J61" s="94">
        <f>IF(D61&gt;0,[1]S2!$BZ$31,0)</f>
        <v>0</v>
      </c>
      <c r="K61" s="87">
        <f>ROUNDDOWN(H61*J61,2)</f>
        <v>0</v>
      </c>
      <c r="L61" s="87">
        <f>D61*K61</f>
        <v>0</v>
      </c>
      <c r="M61" s="85"/>
    </row>
    <row r="62" spans="1:13" ht="20.100000000000001" customHeight="1" x14ac:dyDescent="0.5">
      <c r="A62" s="85"/>
      <c r="B62" s="90" t="s">
        <v>80</v>
      </c>
      <c r="D62" s="91">
        <v>0</v>
      </c>
      <c r="E62" s="92" t="s">
        <v>51</v>
      </c>
      <c r="F62" s="93">
        <f>IF(D62&lt;=0,0,)</f>
        <v>0</v>
      </c>
      <c r="G62" s="93">
        <f>IF(D62&lt;=0,0,)</f>
        <v>0</v>
      </c>
      <c r="H62" s="93">
        <f>ROUND(IF(D62&lt;=0,0,100),2)</f>
        <v>0</v>
      </c>
      <c r="I62" s="86">
        <f>D62*H62</f>
        <v>0</v>
      </c>
      <c r="J62" s="94">
        <f>IF(D62&gt;0,[1]S2!$BZ$31,0)</f>
        <v>0</v>
      </c>
      <c r="K62" s="87">
        <f>ROUNDDOWN(H62*J62,2)</f>
        <v>0</v>
      </c>
      <c r="L62" s="87">
        <f>D62*K62</f>
        <v>0</v>
      </c>
      <c r="M62" s="85"/>
    </row>
    <row r="63" spans="1:13" ht="20.100000000000001" customHeight="1" x14ac:dyDescent="0.5">
      <c r="A63" s="85"/>
      <c r="B63" s="95" t="s">
        <v>81</v>
      </c>
      <c r="D63" s="96"/>
      <c r="E63" s="76"/>
      <c r="F63" s="86"/>
      <c r="G63" s="86"/>
      <c r="H63" s="86"/>
      <c r="I63" s="86"/>
      <c r="J63" s="87"/>
      <c r="K63" s="87"/>
      <c r="L63" s="87"/>
      <c r="M63" s="85"/>
    </row>
    <row r="64" spans="1:13" ht="20.100000000000001" customHeight="1" x14ac:dyDescent="0.5">
      <c r="A64" s="85"/>
      <c r="B64" s="90" t="s">
        <v>82</v>
      </c>
      <c r="D64" s="91">
        <v>0</v>
      </c>
      <c r="E64" s="92" t="s">
        <v>64</v>
      </c>
      <c r="F64" s="93">
        <f t="shared" ref="F64:F91" si="13">IF(D64&lt;=0,0,)</f>
        <v>0</v>
      </c>
      <c r="G64" s="93">
        <f t="shared" ref="G64:G91" si="14">IF(D64&lt;=0,0,)</f>
        <v>0</v>
      </c>
      <c r="H64" s="97">
        <f>ROUND(IF(D64&lt;=0,0,12710),2)</f>
        <v>0</v>
      </c>
      <c r="I64" s="86">
        <f t="shared" ref="I64:I90" si="15">D64*H64</f>
        <v>0</v>
      </c>
      <c r="J64" s="94">
        <f>IF(D64&gt;0,[1]S2!$BZ$31,0)</f>
        <v>0</v>
      </c>
      <c r="K64" s="87">
        <f t="shared" ref="K64:K90" si="16">ROUNDDOWN(H64*J64,2)</f>
        <v>0</v>
      </c>
      <c r="L64" s="87">
        <f t="shared" ref="L64:L90" si="17">D64*K64</f>
        <v>0</v>
      </c>
      <c r="M64" s="98"/>
    </row>
    <row r="65" spans="1:13" ht="20.100000000000001" customHeight="1" x14ac:dyDescent="0.5">
      <c r="A65" s="85"/>
      <c r="B65" s="90" t="s">
        <v>83</v>
      </c>
      <c r="D65" s="91">
        <v>0</v>
      </c>
      <c r="E65" s="92" t="s">
        <v>64</v>
      </c>
      <c r="F65" s="93">
        <f t="shared" si="13"/>
        <v>0</v>
      </c>
      <c r="G65" s="93">
        <f t="shared" si="14"/>
        <v>0</v>
      </c>
      <c r="H65" s="97">
        <f>ROUND(IF(D65&lt;=0,0,3320),2)</f>
        <v>0</v>
      </c>
      <c r="I65" s="86">
        <f t="shared" si="15"/>
        <v>0</v>
      </c>
      <c r="J65" s="94">
        <f>IF(D65&gt;0,[1]S2!$BZ$31,0)</f>
        <v>0</v>
      </c>
      <c r="K65" s="87">
        <f t="shared" si="16"/>
        <v>0</v>
      </c>
      <c r="L65" s="87">
        <f t="shared" si="17"/>
        <v>0</v>
      </c>
      <c r="M65" s="98" t="s">
        <v>84</v>
      </c>
    </row>
    <row r="66" spans="1:13" ht="20.100000000000001" customHeight="1" x14ac:dyDescent="0.5">
      <c r="A66" s="85"/>
      <c r="B66" s="99" t="s">
        <v>85</v>
      </c>
      <c r="D66" s="91">
        <v>0</v>
      </c>
      <c r="E66" s="92" t="s">
        <v>64</v>
      </c>
      <c r="F66" s="93">
        <f t="shared" si="13"/>
        <v>0</v>
      </c>
      <c r="G66" s="93">
        <f t="shared" si="14"/>
        <v>0</v>
      </c>
      <c r="H66" s="97">
        <f>ROUND(IF(D66&lt;=0,0,2390),2)</f>
        <v>0</v>
      </c>
      <c r="I66" s="86">
        <f t="shared" si="15"/>
        <v>0</v>
      </c>
      <c r="J66" s="94">
        <f>IF(D66&gt;0,[1]S2!$BZ$31,0)</f>
        <v>0</v>
      </c>
      <c r="K66" s="87">
        <f t="shared" si="16"/>
        <v>0</v>
      </c>
      <c r="L66" s="87">
        <f t="shared" si="17"/>
        <v>0</v>
      </c>
      <c r="M66" s="85"/>
    </row>
    <row r="67" spans="1:13" ht="20.100000000000001" customHeight="1" x14ac:dyDescent="0.5">
      <c r="A67" s="85"/>
      <c r="B67" s="90" t="s">
        <v>86</v>
      </c>
      <c r="D67" s="91">
        <v>0</v>
      </c>
      <c r="E67" s="92" t="s">
        <v>64</v>
      </c>
      <c r="F67" s="93">
        <f t="shared" si="13"/>
        <v>0</v>
      </c>
      <c r="G67" s="93">
        <f t="shared" si="14"/>
        <v>0</v>
      </c>
      <c r="H67" s="97">
        <f>ROUND(IF(D67&lt;=0,0,2720),2)</f>
        <v>0</v>
      </c>
      <c r="I67" s="86">
        <f t="shared" si="15"/>
        <v>0</v>
      </c>
      <c r="J67" s="94">
        <f>IF(D67&gt;0,[1]S2!$BZ$31,0)</f>
        <v>0</v>
      </c>
      <c r="K67" s="87">
        <f t="shared" si="16"/>
        <v>0</v>
      </c>
      <c r="L67" s="87">
        <f t="shared" si="17"/>
        <v>0</v>
      </c>
      <c r="M67" s="85"/>
    </row>
    <row r="68" spans="1:13" ht="20.100000000000001" customHeight="1" x14ac:dyDescent="0.5">
      <c r="A68" s="85"/>
      <c r="B68" s="90" t="s">
        <v>87</v>
      </c>
      <c r="D68" s="91">
        <v>0</v>
      </c>
      <c r="E68" s="92" t="s">
        <v>64</v>
      </c>
      <c r="F68" s="93">
        <f t="shared" si="13"/>
        <v>0</v>
      </c>
      <c r="G68" s="93">
        <f t="shared" si="14"/>
        <v>0</v>
      </c>
      <c r="H68" s="97">
        <f>ROUND(IF(D68&lt;=0,0,2950),2)</f>
        <v>0</v>
      </c>
      <c r="I68" s="86">
        <f t="shared" si="15"/>
        <v>0</v>
      </c>
      <c r="J68" s="94">
        <f>IF(D68&gt;0,[1]S2!$BZ$31,0)</f>
        <v>0</v>
      </c>
      <c r="K68" s="87">
        <f t="shared" si="16"/>
        <v>0</v>
      </c>
      <c r="L68" s="87">
        <f t="shared" si="17"/>
        <v>0</v>
      </c>
      <c r="M68" s="85"/>
    </row>
    <row r="69" spans="1:13" ht="20.100000000000001" customHeight="1" x14ac:dyDescent="0.5">
      <c r="A69" s="85"/>
      <c r="B69" s="90" t="s">
        <v>88</v>
      </c>
      <c r="D69" s="91">
        <v>0</v>
      </c>
      <c r="E69" s="92" t="s">
        <v>64</v>
      </c>
      <c r="F69" s="93">
        <f>IF(D69&lt;=0,0,)</f>
        <v>0</v>
      </c>
      <c r="G69" s="93">
        <f>IF(D69&lt;=0,0,)</f>
        <v>0</v>
      </c>
      <c r="H69" s="97">
        <f>ROUND(IF(D69&lt;=0,0,4550),2)</f>
        <v>0</v>
      </c>
      <c r="I69" s="86">
        <f>D69*H69</f>
        <v>0</v>
      </c>
      <c r="J69" s="94">
        <f>IF(D69&gt;0,[1]S2!$BZ$31,0)</f>
        <v>0</v>
      </c>
      <c r="K69" s="87">
        <f t="shared" si="16"/>
        <v>0</v>
      </c>
      <c r="L69" s="87">
        <f t="shared" si="17"/>
        <v>0</v>
      </c>
      <c r="M69" s="98" t="s">
        <v>84</v>
      </c>
    </row>
    <row r="70" spans="1:13" ht="20.100000000000001" customHeight="1" x14ac:dyDescent="0.5">
      <c r="A70" s="85"/>
      <c r="B70" s="90" t="s">
        <v>89</v>
      </c>
      <c r="D70" s="91">
        <v>0</v>
      </c>
      <c r="E70" s="92" t="s">
        <v>64</v>
      </c>
      <c r="F70" s="93">
        <f t="shared" si="13"/>
        <v>0</v>
      </c>
      <c r="G70" s="93">
        <f t="shared" si="14"/>
        <v>0</v>
      </c>
      <c r="H70" s="97">
        <f>ROUND(IF(D70&lt;=0,0,5570),2)</f>
        <v>0</v>
      </c>
      <c r="I70" s="86">
        <f t="shared" si="15"/>
        <v>0</v>
      </c>
      <c r="J70" s="94">
        <f>IF(D70&gt;0,[1]S2!$BZ$31,0)</f>
        <v>0</v>
      </c>
      <c r="K70" s="87">
        <f t="shared" si="16"/>
        <v>0</v>
      </c>
      <c r="L70" s="87">
        <f t="shared" si="17"/>
        <v>0</v>
      </c>
      <c r="M70" s="98" t="s">
        <v>84</v>
      </c>
    </row>
    <row r="71" spans="1:13" ht="20.100000000000001" customHeight="1" x14ac:dyDescent="0.5">
      <c r="A71" s="85"/>
      <c r="B71" s="90" t="s">
        <v>90</v>
      </c>
      <c r="D71" s="91">
        <v>0</v>
      </c>
      <c r="E71" s="92" t="s">
        <v>64</v>
      </c>
      <c r="F71" s="93">
        <f t="shared" si="13"/>
        <v>0</v>
      </c>
      <c r="G71" s="93">
        <f t="shared" si="14"/>
        <v>0</v>
      </c>
      <c r="H71" s="97">
        <f>ROUND(IF(D71&lt;=0,0,8450),2)</f>
        <v>0</v>
      </c>
      <c r="I71" s="86">
        <f t="shared" si="15"/>
        <v>0</v>
      </c>
      <c r="J71" s="94">
        <f>IF(D71&gt;0,[1]S2!$BZ$31,0)</f>
        <v>0</v>
      </c>
      <c r="K71" s="87">
        <f t="shared" si="16"/>
        <v>0</v>
      </c>
      <c r="L71" s="87">
        <f t="shared" si="17"/>
        <v>0</v>
      </c>
      <c r="M71" s="98" t="s">
        <v>84</v>
      </c>
    </row>
    <row r="72" spans="1:13" ht="20.100000000000001" customHeight="1" x14ac:dyDescent="0.5">
      <c r="A72" s="85"/>
      <c r="B72" s="90" t="s">
        <v>91</v>
      </c>
      <c r="D72" s="91">
        <v>0</v>
      </c>
      <c r="E72" s="92" t="s">
        <v>64</v>
      </c>
      <c r="F72" s="93">
        <f t="shared" si="13"/>
        <v>0</v>
      </c>
      <c r="G72" s="93">
        <f t="shared" si="14"/>
        <v>0</v>
      </c>
      <c r="H72" s="97">
        <f>ROUND(IF(D72&lt;=0,0,4410),2)</f>
        <v>0</v>
      </c>
      <c r="I72" s="86">
        <f t="shared" si="15"/>
        <v>0</v>
      </c>
      <c r="J72" s="94">
        <f>IF(D72&gt;0,[1]S2!$BZ$31,0)</f>
        <v>0</v>
      </c>
      <c r="K72" s="87">
        <f t="shared" si="16"/>
        <v>0</v>
      </c>
      <c r="L72" s="87">
        <f t="shared" si="17"/>
        <v>0</v>
      </c>
      <c r="M72" s="98" t="s">
        <v>84</v>
      </c>
    </row>
    <row r="73" spans="1:13" ht="20.100000000000001" customHeight="1" x14ac:dyDescent="0.5">
      <c r="A73" s="85"/>
      <c r="B73" s="90" t="s">
        <v>92</v>
      </c>
      <c r="D73" s="91">
        <v>0</v>
      </c>
      <c r="E73" s="92" t="s">
        <v>64</v>
      </c>
      <c r="F73" s="93">
        <f t="shared" si="13"/>
        <v>0</v>
      </c>
      <c r="G73" s="93">
        <f t="shared" si="14"/>
        <v>0</v>
      </c>
      <c r="H73" s="97">
        <f>ROUND(IF(D73&lt;=0,0,7160),2)</f>
        <v>0</v>
      </c>
      <c r="I73" s="86">
        <f t="shared" si="15"/>
        <v>0</v>
      </c>
      <c r="J73" s="94">
        <f>IF(D73&gt;0,[1]S2!$BZ$31,0)</f>
        <v>0</v>
      </c>
      <c r="K73" s="87">
        <f t="shared" si="16"/>
        <v>0</v>
      </c>
      <c r="L73" s="87">
        <f t="shared" si="17"/>
        <v>0</v>
      </c>
      <c r="M73" s="98" t="s">
        <v>84</v>
      </c>
    </row>
    <row r="74" spans="1:13" ht="20.100000000000001" customHeight="1" x14ac:dyDescent="0.5">
      <c r="A74" s="85"/>
      <c r="B74" s="90" t="s">
        <v>93</v>
      </c>
      <c r="D74" s="91">
        <v>0</v>
      </c>
      <c r="E74" s="92" t="s">
        <v>64</v>
      </c>
      <c r="F74" s="93">
        <f t="shared" si="13"/>
        <v>0</v>
      </c>
      <c r="G74" s="93">
        <f t="shared" si="14"/>
        <v>0</v>
      </c>
      <c r="H74" s="97">
        <f>ROUND(IF(D74&lt;=0,0,5710),2)</f>
        <v>0</v>
      </c>
      <c r="I74" s="86">
        <f t="shared" si="15"/>
        <v>0</v>
      </c>
      <c r="J74" s="94">
        <f>IF(D74&gt;0,[1]S2!$BZ$31,0)</f>
        <v>0</v>
      </c>
      <c r="K74" s="87">
        <f t="shared" si="16"/>
        <v>0</v>
      </c>
      <c r="L74" s="87">
        <f t="shared" si="17"/>
        <v>0</v>
      </c>
      <c r="M74" s="98" t="s">
        <v>84</v>
      </c>
    </row>
    <row r="75" spans="1:13" ht="20.100000000000001" customHeight="1" x14ac:dyDescent="0.5">
      <c r="A75" s="85"/>
      <c r="B75" s="90" t="s">
        <v>94</v>
      </c>
      <c r="D75" s="91">
        <v>0</v>
      </c>
      <c r="E75" s="92" t="s">
        <v>64</v>
      </c>
      <c r="F75" s="93">
        <f>IF(D75&lt;=0,0,)</f>
        <v>0</v>
      </c>
      <c r="G75" s="93">
        <f>IF(D75&lt;=0,0,)</f>
        <v>0</v>
      </c>
      <c r="H75" s="97">
        <f>ROUND(IF(D75&lt;=0,0,7160),2)</f>
        <v>0</v>
      </c>
      <c r="I75" s="86">
        <f>D75*H75</f>
        <v>0</v>
      </c>
      <c r="J75" s="94">
        <f>IF(D75&gt;0,[1]S2!$BZ$31,0)</f>
        <v>0</v>
      </c>
      <c r="K75" s="87">
        <f t="shared" si="16"/>
        <v>0</v>
      </c>
      <c r="L75" s="87">
        <f t="shared" si="17"/>
        <v>0</v>
      </c>
      <c r="M75" s="98" t="s">
        <v>84</v>
      </c>
    </row>
    <row r="76" spans="1:13" ht="20.100000000000001" customHeight="1" x14ac:dyDescent="0.5">
      <c r="A76" s="85"/>
      <c r="B76" s="90" t="s">
        <v>95</v>
      </c>
      <c r="D76" s="91">
        <v>0</v>
      </c>
      <c r="E76" s="92" t="s">
        <v>64</v>
      </c>
      <c r="F76" s="93">
        <f t="shared" si="13"/>
        <v>0</v>
      </c>
      <c r="G76" s="93">
        <f t="shared" si="14"/>
        <v>0</v>
      </c>
      <c r="H76" s="97">
        <f>ROUND(IF(D76&lt;=0,0,4410),2)</f>
        <v>0</v>
      </c>
      <c r="I76" s="86">
        <f t="shared" si="15"/>
        <v>0</v>
      </c>
      <c r="J76" s="94">
        <f>IF(D76&gt;0,[1]S2!$BZ$31,0)</f>
        <v>0</v>
      </c>
      <c r="K76" s="87">
        <f t="shared" si="16"/>
        <v>0</v>
      </c>
      <c r="L76" s="87">
        <f t="shared" si="17"/>
        <v>0</v>
      </c>
      <c r="M76" s="98" t="s">
        <v>84</v>
      </c>
    </row>
    <row r="77" spans="1:13" ht="20.100000000000001" customHeight="1" x14ac:dyDescent="0.5">
      <c r="A77" s="85"/>
      <c r="B77" s="90" t="s">
        <v>96</v>
      </c>
      <c r="D77" s="91">
        <v>0</v>
      </c>
      <c r="E77" s="92" t="s">
        <v>64</v>
      </c>
      <c r="F77" s="93">
        <f t="shared" si="13"/>
        <v>0</v>
      </c>
      <c r="G77" s="93">
        <f t="shared" si="14"/>
        <v>0</v>
      </c>
      <c r="H77" s="97">
        <f>ROUND(IF(D77&lt;=0,0,4700),2)</f>
        <v>0</v>
      </c>
      <c r="I77" s="86">
        <f t="shared" si="15"/>
        <v>0</v>
      </c>
      <c r="J77" s="94">
        <f>IF(D77&gt;0,[1]S2!$BZ$31,0)</f>
        <v>0</v>
      </c>
      <c r="K77" s="87">
        <f t="shared" si="16"/>
        <v>0</v>
      </c>
      <c r="L77" s="87">
        <f t="shared" si="17"/>
        <v>0</v>
      </c>
      <c r="M77" s="85"/>
    </row>
    <row r="78" spans="1:13" ht="20.100000000000001" customHeight="1" x14ac:dyDescent="0.5">
      <c r="A78" s="85"/>
      <c r="B78" s="90" t="s">
        <v>97</v>
      </c>
      <c r="D78" s="91">
        <v>0</v>
      </c>
      <c r="E78" s="92" t="s">
        <v>64</v>
      </c>
      <c r="F78" s="93">
        <f t="shared" si="13"/>
        <v>0</v>
      </c>
      <c r="G78" s="93">
        <f t="shared" si="14"/>
        <v>0</v>
      </c>
      <c r="H78" s="97">
        <f>ROUND(IF(D78&lt;=0,0,2500),2)</f>
        <v>0</v>
      </c>
      <c r="I78" s="86">
        <f t="shared" si="15"/>
        <v>0</v>
      </c>
      <c r="J78" s="94">
        <f>IF(D78&gt;0,[1]S2!$BZ$31,0)</f>
        <v>0</v>
      </c>
      <c r="K78" s="87">
        <f t="shared" si="16"/>
        <v>0</v>
      </c>
      <c r="L78" s="87">
        <f t="shared" si="17"/>
        <v>0</v>
      </c>
      <c r="M78" s="85"/>
    </row>
    <row r="79" spans="1:13" ht="20.100000000000001" customHeight="1" x14ac:dyDescent="0.5">
      <c r="A79" s="85"/>
      <c r="B79" s="90" t="s">
        <v>98</v>
      </c>
      <c r="D79" s="91">
        <v>0</v>
      </c>
      <c r="E79" s="92" t="s">
        <v>64</v>
      </c>
      <c r="F79" s="93">
        <f>IF(D79&lt;=0,0,)</f>
        <v>0</v>
      </c>
      <c r="G79" s="93">
        <f>IF(D79&lt;=0,0,)</f>
        <v>0</v>
      </c>
      <c r="H79" s="97">
        <f>ROUND(IF(D79&lt;=0,0,4610),2)</f>
        <v>0</v>
      </c>
      <c r="I79" s="86">
        <f>D79*H79</f>
        <v>0</v>
      </c>
      <c r="J79" s="94">
        <f>IF(D79&gt;0,[1]S2!$BZ$31,0)</f>
        <v>0</v>
      </c>
      <c r="K79" s="87">
        <f t="shared" si="16"/>
        <v>0</v>
      </c>
      <c r="L79" s="87">
        <f t="shared" si="17"/>
        <v>0</v>
      </c>
      <c r="M79" s="98"/>
    </row>
    <row r="80" spans="1:13" ht="20.100000000000001" customHeight="1" x14ac:dyDescent="0.5">
      <c r="A80" s="85"/>
      <c r="B80" s="90" t="s">
        <v>99</v>
      </c>
      <c r="D80" s="91">
        <v>0</v>
      </c>
      <c r="E80" s="92" t="s">
        <v>64</v>
      </c>
      <c r="F80" s="93">
        <f t="shared" si="13"/>
        <v>0</v>
      </c>
      <c r="G80" s="93">
        <f t="shared" si="14"/>
        <v>0</v>
      </c>
      <c r="H80" s="97">
        <f>ROUND(IF(D80&lt;=0,0,3950),2)</f>
        <v>0</v>
      </c>
      <c r="I80" s="86">
        <f t="shared" si="15"/>
        <v>0</v>
      </c>
      <c r="J80" s="94">
        <f>IF(D80&gt;0,[1]S2!$BZ$31,0)</f>
        <v>0</v>
      </c>
      <c r="K80" s="87">
        <f t="shared" si="16"/>
        <v>0</v>
      </c>
      <c r="L80" s="87">
        <f t="shared" si="17"/>
        <v>0</v>
      </c>
      <c r="M80" s="85"/>
    </row>
    <row r="81" spans="1:13" ht="20.100000000000001" customHeight="1" x14ac:dyDescent="0.5">
      <c r="A81" s="85"/>
      <c r="B81" s="90" t="s">
        <v>100</v>
      </c>
      <c r="D81" s="91">
        <v>0</v>
      </c>
      <c r="E81" s="92" t="s">
        <v>64</v>
      </c>
      <c r="F81" s="93">
        <f t="shared" si="13"/>
        <v>0</v>
      </c>
      <c r="G81" s="93">
        <f t="shared" si="14"/>
        <v>0</v>
      </c>
      <c r="H81" s="97">
        <f>ROUND(IF(D81&lt;=0,0,5830),2)</f>
        <v>0</v>
      </c>
      <c r="I81" s="86">
        <f t="shared" si="15"/>
        <v>0</v>
      </c>
      <c r="J81" s="94">
        <f>IF(D81&gt;0,[1]S2!$BZ$31,0)</f>
        <v>0</v>
      </c>
      <c r="K81" s="87">
        <f t="shared" si="16"/>
        <v>0</v>
      </c>
      <c r="L81" s="87">
        <f t="shared" si="17"/>
        <v>0</v>
      </c>
      <c r="M81" s="85"/>
    </row>
    <row r="82" spans="1:13" ht="20.100000000000001" customHeight="1" x14ac:dyDescent="0.5">
      <c r="A82" s="85"/>
      <c r="B82" s="90" t="s">
        <v>101</v>
      </c>
      <c r="D82" s="91">
        <v>0</v>
      </c>
      <c r="E82" s="92" t="s">
        <v>64</v>
      </c>
      <c r="F82" s="93">
        <f t="shared" si="13"/>
        <v>0</v>
      </c>
      <c r="G82" s="93">
        <f t="shared" si="14"/>
        <v>0</v>
      </c>
      <c r="H82" s="97">
        <f>ROUND(IF(D82&lt;=0,0,9190),2)</f>
        <v>0</v>
      </c>
      <c r="I82" s="86">
        <f t="shared" si="15"/>
        <v>0</v>
      </c>
      <c r="J82" s="94">
        <f>IF(D82&gt;0,[1]S2!$BZ$31,0)</f>
        <v>0</v>
      </c>
      <c r="K82" s="87">
        <f t="shared" si="16"/>
        <v>0</v>
      </c>
      <c r="L82" s="87">
        <f t="shared" si="17"/>
        <v>0</v>
      </c>
      <c r="M82" s="85"/>
    </row>
    <row r="83" spans="1:13" ht="20.100000000000001" customHeight="1" x14ac:dyDescent="0.5">
      <c r="A83" s="85"/>
      <c r="B83" s="90" t="s">
        <v>102</v>
      </c>
      <c r="D83" s="91">
        <v>0</v>
      </c>
      <c r="E83" s="92" t="s">
        <v>64</v>
      </c>
      <c r="F83" s="93">
        <f t="shared" si="13"/>
        <v>0</v>
      </c>
      <c r="G83" s="93">
        <f t="shared" si="14"/>
        <v>0</v>
      </c>
      <c r="H83" s="97">
        <f>ROUND(IF(D83&lt;=0,0,14480),2)</f>
        <v>0</v>
      </c>
      <c r="I83" s="86">
        <f t="shared" si="15"/>
        <v>0</v>
      </c>
      <c r="J83" s="94">
        <f>IF(D83&gt;0,[1]S2!$BZ$31,0)</f>
        <v>0</v>
      </c>
      <c r="K83" s="87">
        <f t="shared" si="16"/>
        <v>0</v>
      </c>
      <c r="L83" s="87">
        <f t="shared" si="17"/>
        <v>0</v>
      </c>
      <c r="M83" s="85"/>
    </row>
    <row r="84" spans="1:13" ht="20.100000000000001" customHeight="1" x14ac:dyDescent="0.5">
      <c r="A84" s="85"/>
      <c r="B84" s="90" t="s">
        <v>103</v>
      </c>
      <c r="D84" s="91">
        <v>0</v>
      </c>
      <c r="E84" s="92" t="s">
        <v>64</v>
      </c>
      <c r="F84" s="93">
        <f t="shared" si="13"/>
        <v>0</v>
      </c>
      <c r="G84" s="93">
        <f t="shared" si="14"/>
        <v>0</v>
      </c>
      <c r="H84" s="97">
        <f>ROUND(IF(D84&lt;=0,0,21390),2)</f>
        <v>0</v>
      </c>
      <c r="I84" s="86">
        <f t="shared" si="15"/>
        <v>0</v>
      </c>
      <c r="J84" s="94">
        <f>IF(D84&gt;0,[1]S2!$BZ$31,0)</f>
        <v>0</v>
      </c>
      <c r="K84" s="87">
        <f t="shared" si="16"/>
        <v>0</v>
      </c>
      <c r="L84" s="87">
        <f t="shared" si="17"/>
        <v>0</v>
      </c>
      <c r="M84" s="85"/>
    </row>
    <row r="85" spans="1:13" ht="20.100000000000001" customHeight="1" x14ac:dyDescent="0.5">
      <c r="A85" s="85"/>
      <c r="B85" s="90" t="s">
        <v>104</v>
      </c>
      <c r="D85" s="91">
        <v>0</v>
      </c>
      <c r="E85" s="92" t="s">
        <v>64</v>
      </c>
      <c r="F85" s="93">
        <f t="shared" si="13"/>
        <v>0</v>
      </c>
      <c r="G85" s="93">
        <f t="shared" si="14"/>
        <v>0</v>
      </c>
      <c r="H85" s="97">
        <f>ROUND(IF(D85&lt;=0,0,8420),2)</f>
        <v>0</v>
      </c>
      <c r="I85" s="86">
        <f t="shared" si="15"/>
        <v>0</v>
      </c>
      <c r="J85" s="94">
        <f>IF(D85&gt;0,[1]S2!$BZ$31,0)</f>
        <v>0</v>
      </c>
      <c r="K85" s="87">
        <f t="shared" si="16"/>
        <v>0</v>
      </c>
      <c r="L85" s="87">
        <f t="shared" si="17"/>
        <v>0</v>
      </c>
      <c r="M85" s="85"/>
    </row>
    <row r="86" spans="1:13" ht="20.100000000000001" customHeight="1" x14ac:dyDescent="0.5">
      <c r="A86" s="85"/>
      <c r="B86" s="90" t="s">
        <v>105</v>
      </c>
      <c r="D86" s="91">
        <v>0</v>
      </c>
      <c r="E86" s="92" t="s">
        <v>64</v>
      </c>
      <c r="F86" s="93">
        <f t="shared" si="13"/>
        <v>0</v>
      </c>
      <c r="G86" s="93">
        <f t="shared" si="14"/>
        <v>0</v>
      </c>
      <c r="H86" s="97">
        <f>ROUND(IF(D86&lt;=0,0,3550),2)</f>
        <v>0</v>
      </c>
      <c r="I86" s="86">
        <f t="shared" si="15"/>
        <v>0</v>
      </c>
      <c r="J86" s="94">
        <f>IF(D86&gt;0,[1]S2!$BZ$31,0)</f>
        <v>0</v>
      </c>
      <c r="K86" s="87">
        <f t="shared" si="16"/>
        <v>0</v>
      </c>
      <c r="L86" s="87">
        <f t="shared" si="17"/>
        <v>0</v>
      </c>
      <c r="M86" s="85"/>
    </row>
    <row r="87" spans="1:13" ht="20.100000000000001" customHeight="1" x14ac:dyDescent="0.5">
      <c r="A87" s="85"/>
      <c r="B87" s="90" t="s">
        <v>106</v>
      </c>
      <c r="D87" s="91">
        <v>0</v>
      </c>
      <c r="E87" s="92" t="s">
        <v>64</v>
      </c>
      <c r="F87" s="93">
        <f t="shared" si="13"/>
        <v>0</v>
      </c>
      <c r="G87" s="93">
        <f t="shared" si="14"/>
        <v>0</v>
      </c>
      <c r="H87" s="97">
        <f>ROUND(IF(D87&lt;=0,0,6310),2)</f>
        <v>0</v>
      </c>
      <c r="I87" s="86">
        <f t="shared" si="15"/>
        <v>0</v>
      </c>
      <c r="J87" s="94">
        <f>IF(D87&gt;0,[1]S2!$BZ$31,0)</f>
        <v>0</v>
      </c>
      <c r="K87" s="87">
        <f t="shared" si="16"/>
        <v>0</v>
      </c>
      <c r="L87" s="87">
        <f t="shared" si="17"/>
        <v>0</v>
      </c>
      <c r="M87" s="85"/>
    </row>
    <row r="88" spans="1:13" ht="20.100000000000001" customHeight="1" x14ac:dyDescent="0.5">
      <c r="A88" s="85"/>
      <c r="B88" s="99" t="s">
        <v>107</v>
      </c>
      <c r="D88" s="91">
        <v>0</v>
      </c>
      <c r="E88" s="92" t="s">
        <v>64</v>
      </c>
      <c r="F88" s="93">
        <f t="shared" si="13"/>
        <v>0</v>
      </c>
      <c r="G88" s="93">
        <f t="shared" si="14"/>
        <v>0</v>
      </c>
      <c r="H88" s="97">
        <f>ROUND(IF(D88&lt;=0,0,2550),2)</f>
        <v>0</v>
      </c>
      <c r="I88" s="86">
        <f t="shared" si="15"/>
        <v>0</v>
      </c>
      <c r="J88" s="94">
        <f>IF(D88&gt;0,[1]S2!$BZ$31,0)</f>
        <v>0</v>
      </c>
      <c r="K88" s="87">
        <f t="shared" si="16"/>
        <v>0</v>
      </c>
      <c r="L88" s="87">
        <f t="shared" si="17"/>
        <v>0</v>
      </c>
      <c r="M88" s="85"/>
    </row>
    <row r="89" spans="1:13" ht="20.100000000000001" customHeight="1" x14ac:dyDescent="0.5">
      <c r="A89" s="85"/>
      <c r="B89" s="99" t="s">
        <v>108</v>
      </c>
      <c r="D89" s="91">
        <v>0</v>
      </c>
      <c r="E89" s="92" t="s">
        <v>64</v>
      </c>
      <c r="F89" s="93">
        <f>IF(D89&lt;=0,0,)</f>
        <v>0</v>
      </c>
      <c r="G89" s="93">
        <f>IF(D89&lt;=0,0,)</f>
        <v>0</v>
      </c>
      <c r="H89" s="97">
        <f>ROUND(IF(D89&lt;=0,0,2620),2)</f>
        <v>0</v>
      </c>
      <c r="I89" s="86">
        <f>D89*H89</f>
        <v>0</v>
      </c>
      <c r="J89" s="94">
        <f>IF(D89&gt;0,[1]S2!$BZ$31,0)</f>
        <v>0</v>
      </c>
      <c r="K89" s="87">
        <f>ROUNDDOWN(H89*J89,2)</f>
        <v>0</v>
      </c>
      <c r="L89" s="87">
        <f>D89*K89</f>
        <v>0</v>
      </c>
      <c r="M89" s="85"/>
    </row>
    <row r="90" spans="1:13" x14ac:dyDescent="0.5">
      <c r="A90" s="76"/>
      <c r="B90" s="90" t="s">
        <v>109</v>
      </c>
      <c r="D90" s="91">
        <v>0</v>
      </c>
      <c r="E90" s="92" t="s">
        <v>64</v>
      </c>
      <c r="F90" s="93">
        <f t="shared" si="13"/>
        <v>0</v>
      </c>
      <c r="G90" s="93">
        <f t="shared" si="14"/>
        <v>0</v>
      </c>
      <c r="H90" s="97">
        <f>ROUND(IF(D90&lt;=0,0,3620),2)</f>
        <v>0</v>
      </c>
      <c r="I90" s="86">
        <f t="shared" si="15"/>
        <v>0</v>
      </c>
      <c r="J90" s="94">
        <f>IF(D90&gt;0,[1]S2!$BZ$31,0)</f>
        <v>0</v>
      </c>
      <c r="K90" s="87">
        <f t="shared" si="16"/>
        <v>0</v>
      </c>
      <c r="L90" s="87">
        <f t="shared" si="17"/>
        <v>0</v>
      </c>
      <c r="M90" s="85"/>
    </row>
    <row r="91" spans="1:13" x14ac:dyDescent="0.5">
      <c r="A91" s="76"/>
      <c r="B91" s="100" t="s">
        <v>110</v>
      </c>
      <c r="D91" s="91"/>
      <c r="E91" s="92"/>
      <c r="F91" s="93">
        <f t="shared" si="13"/>
        <v>0</v>
      </c>
      <c r="G91" s="93">
        <f t="shared" si="14"/>
        <v>0</v>
      </c>
      <c r="H91" s="97"/>
      <c r="I91" s="86"/>
      <c r="J91" s="94"/>
      <c r="K91" s="87"/>
      <c r="L91" s="87"/>
      <c r="M91" s="85"/>
    </row>
    <row r="92" spans="1:13" x14ac:dyDescent="0.5">
      <c r="A92" s="76"/>
      <c r="B92" s="90"/>
      <c r="D92" s="91"/>
      <c r="E92" s="92"/>
      <c r="F92" s="93"/>
      <c r="G92" s="93"/>
      <c r="H92" s="97"/>
      <c r="I92" s="86"/>
      <c r="J92" s="94"/>
      <c r="K92" s="87"/>
      <c r="L92" s="87"/>
      <c r="M92" s="85"/>
    </row>
    <row r="93" spans="1:13" x14ac:dyDescent="0.5">
      <c r="A93" s="76"/>
      <c r="B93" s="90"/>
      <c r="D93" s="91"/>
      <c r="E93" s="92"/>
      <c r="F93" s="93"/>
      <c r="G93" s="93"/>
      <c r="H93" s="97"/>
      <c r="I93" s="86"/>
      <c r="J93" s="94"/>
      <c r="K93" s="87"/>
      <c r="L93" s="87"/>
      <c r="M93" s="85"/>
    </row>
    <row r="94" spans="1:13" x14ac:dyDescent="0.5">
      <c r="A94" s="76"/>
      <c r="B94" s="90"/>
      <c r="D94" s="91"/>
      <c r="E94" s="92"/>
      <c r="F94" s="93"/>
      <c r="G94" s="93"/>
      <c r="H94" s="97"/>
      <c r="I94" s="86"/>
      <c r="J94" s="94"/>
      <c r="K94" s="87"/>
      <c r="L94" s="87"/>
      <c r="M94" s="85"/>
    </row>
    <row r="95" spans="1:13" x14ac:dyDescent="0.5">
      <c r="A95" s="76"/>
      <c r="B95" s="90"/>
      <c r="D95" s="91"/>
      <c r="E95" s="92"/>
      <c r="F95" s="93"/>
      <c r="G95" s="93"/>
      <c r="H95" s="97"/>
      <c r="I95" s="86"/>
      <c r="J95" s="94"/>
      <c r="K95" s="87"/>
      <c r="L95" s="87"/>
      <c r="M95" s="85"/>
    </row>
    <row r="96" spans="1:13" x14ac:dyDescent="0.5">
      <c r="A96" s="76"/>
      <c r="B96" s="90"/>
      <c r="D96" s="91"/>
      <c r="E96" s="92"/>
      <c r="F96" s="93"/>
      <c r="G96" s="93"/>
      <c r="H96" s="97"/>
      <c r="I96" s="86"/>
      <c r="J96" s="94"/>
      <c r="K96" s="87"/>
      <c r="L96" s="87"/>
      <c r="M96" s="85"/>
    </row>
    <row r="97" spans="1:13" ht="20.100000000000001" customHeight="1" x14ac:dyDescent="0.5">
      <c r="A97" s="85"/>
      <c r="B97" s="90"/>
      <c r="D97" s="96"/>
      <c r="E97" s="92"/>
      <c r="F97" s="93"/>
      <c r="G97" s="93"/>
      <c r="H97" s="97"/>
      <c r="I97" s="86"/>
      <c r="J97" s="87"/>
      <c r="K97" s="87"/>
      <c r="L97" s="87"/>
      <c r="M97" s="85"/>
    </row>
    <row r="98" spans="1:13" x14ac:dyDescent="0.5">
      <c r="A98" s="101"/>
      <c r="B98" s="102"/>
      <c r="C98" s="103" t="s">
        <v>70</v>
      </c>
      <c r="D98" s="31"/>
      <c r="E98" s="30"/>
      <c r="F98" s="30"/>
      <c r="G98" s="30"/>
      <c r="H98" s="30"/>
      <c r="I98" s="104">
        <f>SUM(I56:I97)</f>
        <v>21920195.944445003</v>
      </c>
      <c r="J98" s="105"/>
      <c r="K98" s="105"/>
      <c r="L98" s="106">
        <f>SUM(L56:L97)</f>
        <v>27373406.719999999</v>
      </c>
      <c r="M98" s="30"/>
    </row>
    <row r="99" spans="1:13" ht="21.75" customHeight="1" x14ac:dyDescent="0.55000000000000004">
      <c r="A99" s="71" t="s">
        <v>71</v>
      </c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</row>
    <row r="100" spans="1:13" x14ac:dyDescent="0.5">
      <c r="B100" s="3" t="s">
        <v>1</v>
      </c>
      <c r="C100" s="4" t="str">
        <f>[1]ข้อมูล!C7</f>
        <v xml:space="preserve"> พย.ถ.10060</v>
      </c>
      <c r="D100" s="72"/>
      <c r="H100" s="3" t="s">
        <v>2</v>
      </c>
      <c r="I100" s="7" t="str">
        <f>$H$2</f>
        <v>ทางหลวงหมายเลข 1 ตอน ทางเดิมเข้าเมืองพะเยา ต.บ้านต๋อม อ.เมืองพะเยา จ.พะเยา</v>
      </c>
    </row>
    <row r="101" spans="1:13" ht="21.75" customHeight="1" x14ac:dyDescent="0.5">
      <c r="B101" s="3" t="s">
        <v>3</v>
      </c>
      <c r="C101" s="4" t="str">
        <f>[1]ข้อมูล!C8</f>
        <v>ทางหลวงหมายเลข 1 ตอนเดิมเข้าเมืองพะเยา  ต.บ้านต๋อม อ.เมือง จ.พะเยา</v>
      </c>
      <c r="E101" s="73"/>
      <c r="F101" s="73"/>
      <c r="G101" s="3"/>
      <c r="H101" s="2" t="str">
        <f>'[1]ปร.5(ใหม่)'!A11</f>
        <v>ระยะทางดำเนินการซ่อมสร้าง ฯ รวม 2 ช่วง</v>
      </c>
      <c r="I101" s="11"/>
      <c r="K101" s="13" t="s">
        <v>72</v>
      </c>
      <c r="L101" s="13">
        <f>'[1]ปร.5(ใหม่)'!E11</f>
        <v>2.4</v>
      </c>
      <c r="M101" s="4" t="s">
        <v>5</v>
      </c>
    </row>
    <row r="102" spans="1:13" x14ac:dyDescent="0.5">
      <c r="A102" s="14" t="s">
        <v>6</v>
      </c>
      <c r="B102" s="15"/>
      <c r="C102" s="16" t="s">
        <v>7</v>
      </c>
      <c r="D102" s="17" t="s">
        <v>8</v>
      </c>
      <c r="E102" s="14" t="s">
        <v>9</v>
      </c>
      <c r="F102" s="18" t="s">
        <v>10</v>
      </c>
      <c r="G102" s="19"/>
      <c r="H102" s="20"/>
      <c r="I102" s="14" t="s">
        <v>11</v>
      </c>
      <c r="J102" s="74" t="s">
        <v>12</v>
      </c>
      <c r="K102" s="18" t="s">
        <v>13</v>
      </c>
      <c r="L102" s="20"/>
      <c r="M102" s="14" t="s">
        <v>14</v>
      </c>
    </row>
    <row r="103" spans="1:13" x14ac:dyDescent="0.5">
      <c r="A103" s="22"/>
      <c r="B103" s="23"/>
      <c r="C103" s="24"/>
      <c r="D103" s="25"/>
      <c r="E103" s="22"/>
      <c r="F103" s="26" t="s">
        <v>15</v>
      </c>
      <c r="G103" s="26" t="s">
        <v>16</v>
      </c>
      <c r="H103" s="26" t="s">
        <v>17</v>
      </c>
      <c r="I103" s="22" t="s">
        <v>18</v>
      </c>
      <c r="J103" s="75"/>
      <c r="K103" s="27" t="s">
        <v>19</v>
      </c>
      <c r="L103" s="26" t="s">
        <v>17</v>
      </c>
      <c r="M103" s="22"/>
    </row>
    <row r="104" spans="1:13" x14ac:dyDescent="0.5">
      <c r="A104" s="76"/>
      <c r="B104" s="77"/>
      <c r="C104" s="78" t="s">
        <v>73</v>
      </c>
      <c r="D104" s="79"/>
      <c r="E104" s="76"/>
      <c r="F104" s="76"/>
      <c r="G104" s="76"/>
      <c r="H104" s="76"/>
      <c r="I104" s="107">
        <f>I98</f>
        <v>21920195.944445003</v>
      </c>
      <c r="J104" s="81"/>
      <c r="K104" s="81"/>
      <c r="L104" s="82">
        <f>L98</f>
        <v>27373406.719999999</v>
      </c>
      <c r="M104" s="14"/>
    </row>
    <row r="105" spans="1:13" x14ac:dyDescent="0.5">
      <c r="A105" s="85"/>
      <c r="B105" s="90" t="s">
        <v>111</v>
      </c>
      <c r="D105" s="91">
        <v>0</v>
      </c>
      <c r="E105" s="92" t="s">
        <v>64</v>
      </c>
      <c r="F105" s="93">
        <f>IF(D105&lt;=0,0,)</f>
        <v>0</v>
      </c>
      <c r="G105" s="93">
        <f>IF(D105&lt;=0,0,)</f>
        <v>0</v>
      </c>
      <c r="H105" s="97">
        <f>ROUND(IF(D105&lt;=0,0,5180),2)</f>
        <v>0</v>
      </c>
      <c r="I105" s="86">
        <f t="shared" ref="I105:I120" si="18">D105*H105</f>
        <v>0</v>
      </c>
      <c r="J105" s="94">
        <f>IF(D105&gt;0,[1]S2!$BZ$31,0)</f>
        <v>0</v>
      </c>
      <c r="K105" s="87">
        <f t="shared" ref="K105:K120" si="19">ROUNDDOWN(H105*J105,2)</f>
        <v>0</v>
      </c>
      <c r="L105" s="87">
        <f t="shared" ref="L105:L120" si="20">D105*K105</f>
        <v>0</v>
      </c>
      <c r="M105" s="85"/>
    </row>
    <row r="106" spans="1:13" ht="20.100000000000001" customHeight="1" x14ac:dyDescent="0.5">
      <c r="A106" s="85"/>
      <c r="B106" s="90" t="s">
        <v>112</v>
      </c>
      <c r="D106" s="91">
        <v>0</v>
      </c>
      <c r="E106" s="92" t="s">
        <v>64</v>
      </c>
      <c r="F106" s="93">
        <f>IF(D106&lt;=0,0,)</f>
        <v>0</v>
      </c>
      <c r="G106" s="93">
        <f>IF(D106&lt;=0,0,)</f>
        <v>0</v>
      </c>
      <c r="H106" s="97">
        <f>ROUND(IF(D106&lt;=0,0,),2)</f>
        <v>0</v>
      </c>
      <c r="I106" s="86">
        <f t="shared" si="18"/>
        <v>0</v>
      </c>
      <c r="J106" s="94">
        <f>IF(D106&gt;0,[1]S2!$BZ$31,0)</f>
        <v>0</v>
      </c>
      <c r="K106" s="87">
        <f t="shared" si="19"/>
        <v>0</v>
      </c>
      <c r="L106" s="87">
        <f t="shared" si="20"/>
        <v>0</v>
      </c>
      <c r="M106" s="85"/>
    </row>
    <row r="107" spans="1:13" ht="20.100000000000001" customHeight="1" x14ac:dyDescent="0.5">
      <c r="A107" s="85"/>
      <c r="B107" s="90" t="s">
        <v>113</v>
      </c>
      <c r="D107" s="91">
        <v>0</v>
      </c>
      <c r="E107" s="92" t="s">
        <v>64</v>
      </c>
      <c r="F107" s="93">
        <f>IF(D107&lt;=0,0,)</f>
        <v>0</v>
      </c>
      <c r="G107" s="93">
        <f>IF(D107&lt;=0,0,)</f>
        <v>0</v>
      </c>
      <c r="H107" s="97">
        <f>ROUND(IF(D107&lt;=0,0,),2)</f>
        <v>0</v>
      </c>
      <c r="I107" s="86">
        <f t="shared" si="18"/>
        <v>0</v>
      </c>
      <c r="J107" s="94">
        <f>IF(D107&gt;0,[1]S2!$BZ$31,0)</f>
        <v>0</v>
      </c>
      <c r="K107" s="87">
        <f t="shared" si="19"/>
        <v>0</v>
      </c>
      <c r="L107" s="87">
        <f t="shared" si="20"/>
        <v>0</v>
      </c>
      <c r="M107" s="85"/>
    </row>
    <row r="108" spans="1:13" ht="20.100000000000001" customHeight="1" x14ac:dyDescent="0.5">
      <c r="A108" s="85"/>
      <c r="B108" s="90" t="s">
        <v>114</v>
      </c>
      <c r="D108" s="91">
        <v>0</v>
      </c>
      <c r="E108" s="92" t="s">
        <v>64</v>
      </c>
      <c r="F108" s="93">
        <f>IF(D108&lt;=0,0,)</f>
        <v>0</v>
      </c>
      <c r="G108" s="93">
        <f>IF(D108&lt;=0,0,)</f>
        <v>0</v>
      </c>
      <c r="H108" s="97">
        <f>ROUND(IF(D108&lt;=0,0,),2)</f>
        <v>0</v>
      </c>
      <c r="I108" s="86">
        <f t="shared" si="18"/>
        <v>0</v>
      </c>
      <c r="J108" s="94">
        <f>IF(D108&gt;0,[1]S2!$BZ$31,0)</f>
        <v>0</v>
      </c>
      <c r="K108" s="87">
        <f t="shared" si="19"/>
        <v>0</v>
      </c>
      <c r="L108" s="87">
        <f t="shared" si="20"/>
        <v>0</v>
      </c>
      <c r="M108" s="85"/>
    </row>
    <row r="109" spans="1:13" ht="20.100000000000001" customHeight="1" x14ac:dyDescent="0.5">
      <c r="A109" s="85"/>
      <c r="B109" s="90" t="s">
        <v>115</v>
      </c>
      <c r="D109" s="91">
        <v>0</v>
      </c>
      <c r="E109" s="92" t="s">
        <v>64</v>
      </c>
      <c r="F109" s="93">
        <f>IF(D109&lt;=0,0,)</f>
        <v>0</v>
      </c>
      <c r="G109" s="93">
        <f>IF(D109&lt;=0,0,)</f>
        <v>0</v>
      </c>
      <c r="H109" s="97">
        <f>ROUND(IF(D109&lt;=0,0,),2)</f>
        <v>0</v>
      </c>
      <c r="I109" s="86">
        <f t="shared" si="18"/>
        <v>0</v>
      </c>
      <c r="J109" s="94">
        <f>IF(D109&gt;0,[1]S2!$BZ$31,0)</f>
        <v>0</v>
      </c>
      <c r="K109" s="87">
        <f t="shared" si="19"/>
        <v>0</v>
      </c>
      <c r="L109" s="87">
        <f t="shared" si="20"/>
        <v>0</v>
      </c>
      <c r="M109" s="85"/>
    </row>
    <row r="110" spans="1:13" x14ac:dyDescent="0.5">
      <c r="A110" s="85"/>
      <c r="B110" s="90" t="s">
        <v>116</v>
      </c>
      <c r="D110" s="91">
        <v>0</v>
      </c>
      <c r="E110" s="108" t="s">
        <v>77</v>
      </c>
      <c r="F110" s="93">
        <f t="shared" ref="F110:F120" si="21">IF(D110&lt;=0,0,)</f>
        <v>0</v>
      </c>
      <c r="G110" s="93">
        <f t="shared" ref="G110:G120" si="22">IF(D110&lt;=0,0,)</f>
        <v>0</v>
      </c>
      <c r="H110" s="97">
        <f>ROUND(IF(D110&lt;=0,0,560),2)</f>
        <v>0</v>
      </c>
      <c r="I110" s="86">
        <f t="shared" si="18"/>
        <v>0</v>
      </c>
      <c r="J110" s="94">
        <f>IF(D110&gt;0,[1]S2!$BZ$31,0)</f>
        <v>0</v>
      </c>
      <c r="K110" s="87">
        <f t="shared" si="19"/>
        <v>0</v>
      </c>
      <c r="L110" s="87">
        <f t="shared" si="20"/>
        <v>0</v>
      </c>
      <c r="M110" s="85"/>
    </row>
    <row r="111" spans="1:13" x14ac:dyDescent="0.5">
      <c r="A111" s="85"/>
      <c r="B111" s="90" t="s">
        <v>117</v>
      </c>
      <c r="D111" s="91">
        <v>0</v>
      </c>
      <c r="E111" s="108" t="s">
        <v>77</v>
      </c>
      <c r="F111" s="93">
        <f t="shared" si="21"/>
        <v>0</v>
      </c>
      <c r="G111" s="93">
        <f t="shared" si="22"/>
        <v>0</v>
      </c>
      <c r="H111" s="97">
        <f>ROUND(IF(D111&lt;=0,0,1690),2)</f>
        <v>0</v>
      </c>
      <c r="I111" s="86">
        <f t="shared" si="18"/>
        <v>0</v>
      </c>
      <c r="J111" s="94">
        <f>IF(D111&gt;0,[1]S2!$BZ$31,0)</f>
        <v>0</v>
      </c>
      <c r="K111" s="87">
        <f t="shared" si="19"/>
        <v>0</v>
      </c>
      <c r="L111" s="87">
        <f t="shared" si="20"/>
        <v>0</v>
      </c>
      <c r="M111" s="85"/>
    </row>
    <row r="112" spans="1:13" x14ac:dyDescent="0.5">
      <c r="A112" s="85"/>
      <c r="B112" s="90" t="s">
        <v>118</v>
      </c>
      <c r="D112" s="91">
        <v>0</v>
      </c>
      <c r="E112" s="108" t="s">
        <v>77</v>
      </c>
      <c r="F112" s="93">
        <f t="shared" si="21"/>
        <v>0</v>
      </c>
      <c r="G112" s="93">
        <f t="shared" si="22"/>
        <v>0</v>
      </c>
      <c r="H112" s="97">
        <f>ROUND(IF(D112&lt;=0,0,280),2)</f>
        <v>0</v>
      </c>
      <c r="I112" s="86">
        <f t="shared" si="18"/>
        <v>0</v>
      </c>
      <c r="J112" s="94">
        <f>IF(D112&gt;0,[1]S2!$BZ$31,0)</f>
        <v>0</v>
      </c>
      <c r="K112" s="87">
        <f t="shared" si="19"/>
        <v>0</v>
      </c>
      <c r="L112" s="87">
        <f t="shared" si="20"/>
        <v>0</v>
      </c>
      <c r="M112" s="85"/>
    </row>
    <row r="113" spans="1:13" x14ac:dyDescent="0.5">
      <c r="A113" s="85"/>
      <c r="B113" s="90" t="s">
        <v>119</v>
      </c>
      <c r="D113" s="91">
        <v>0</v>
      </c>
      <c r="E113" s="108" t="s">
        <v>77</v>
      </c>
      <c r="F113" s="93">
        <f t="shared" si="21"/>
        <v>0</v>
      </c>
      <c r="G113" s="93">
        <f t="shared" si="22"/>
        <v>0</v>
      </c>
      <c r="H113" s="97">
        <f>ROUND(IF(D113&lt;=0,0,90),2)</f>
        <v>0</v>
      </c>
      <c r="I113" s="86">
        <f t="shared" si="18"/>
        <v>0</v>
      </c>
      <c r="J113" s="94">
        <f>IF(D113&gt;0,[1]S2!$BZ$31,0)</f>
        <v>0</v>
      </c>
      <c r="K113" s="87">
        <f t="shared" si="19"/>
        <v>0</v>
      </c>
      <c r="L113" s="87">
        <f t="shared" si="20"/>
        <v>0</v>
      </c>
      <c r="M113" s="85"/>
    </row>
    <row r="114" spans="1:13" x14ac:dyDescent="0.5">
      <c r="A114" s="85"/>
      <c r="B114" s="90" t="s">
        <v>120</v>
      </c>
      <c r="D114" s="91">
        <v>0</v>
      </c>
      <c r="E114" s="108" t="s">
        <v>51</v>
      </c>
      <c r="F114" s="93">
        <f t="shared" si="21"/>
        <v>0</v>
      </c>
      <c r="G114" s="93">
        <f t="shared" si="22"/>
        <v>0</v>
      </c>
      <c r="H114" s="97">
        <f>ROUND(IF(D114&lt;=0,0,1780),2)</f>
        <v>0</v>
      </c>
      <c r="I114" s="86">
        <f t="shared" si="18"/>
        <v>0</v>
      </c>
      <c r="J114" s="94">
        <f>IF(D114&gt;0,[1]S2!$BZ$31,0)</f>
        <v>0</v>
      </c>
      <c r="K114" s="87">
        <f t="shared" si="19"/>
        <v>0</v>
      </c>
      <c r="L114" s="87">
        <f t="shared" si="20"/>
        <v>0</v>
      </c>
      <c r="M114" s="85"/>
    </row>
    <row r="115" spans="1:13" x14ac:dyDescent="0.5">
      <c r="A115" s="85"/>
      <c r="B115" s="90" t="s">
        <v>121</v>
      </c>
      <c r="D115" s="91">
        <v>0</v>
      </c>
      <c r="E115" s="108" t="s">
        <v>51</v>
      </c>
      <c r="F115" s="93">
        <f t="shared" si="21"/>
        <v>0</v>
      </c>
      <c r="G115" s="93">
        <f t="shared" si="22"/>
        <v>0</v>
      </c>
      <c r="H115" s="97">
        <f>ROUND(IF(D115&lt;=0,0,1400),2)</f>
        <v>0</v>
      </c>
      <c r="I115" s="86">
        <f t="shared" si="18"/>
        <v>0</v>
      </c>
      <c r="J115" s="94">
        <f>IF(D115&gt;0,[1]S2!$BZ$31,0)</f>
        <v>0</v>
      </c>
      <c r="K115" s="87">
        <f t="shared" si="19"/>
        <v>0</v>
      </c>
      <c r="L115" s="87">
        <f t="shared" si="20"/>
        <v>0</v>
      </c>
      <c r="M115" s="85"/>
    </row>
    <row r="116" spans="1:13" x14ac:dyDescent="0.5">
      <c r="A116" s="85"/>
      <c r="B116" s="90" t="s">
        <v>122</v>
      </c>
      <c r="D116" s="91">
        <v>0</v>
      </c>
      <c r="E116" s="108" t="s">
        <v>123</v>
      </c>
      <c r="F116" s="93">
        <f t="shared" si="21"/>
        <v>0</v>
      </c>
      <c r="G116" s="93">
        <f t="shared" si="22"/>
        <v>0</v>
      </c>
      <c r="H116" s="97">
        <f>ROUND(IF(D116&lt;=0,0,8000),2)</f>
        <v>0</v>
      </c>
      <c r="I116" s="86">
        <f t="shared" si="18"/>
        <v>0</v>
      </c>
      <c r="J116" s="94">
        <f>IF(D116&gt;0,[1]S2!$BZ$31,0)</f>
        <v>0</v>
      </c>
      <c r="K116" s="87">
        <f t="shared" si="19"/>
        <v>0</v>
      </c>
      <c r="L116" s="87">
        <f t="shared" si="20"/>
        <v>0</v>
      </c>
      <c r="M116" s="85"/>
    </row>
    <row r="117" spans="1:13" x14ac:dyDescent="0.5">
      <c r="A117" s="85"/>
      <c r="B117" s="90" t="s">
        <v>124</v>
      </c>
      <c r="D117" s="91">
        <v>0</v>
      </c>
      <c r="E117" s="108" t="s">
        <v>125</v>
      </c>
      <c r="F117" s="93">
        <f t="shared" si="21"/>
        <v>0</v>
      </c>
      <c r="G117" s="93">
        <f t="shared" si="22"/>
        <v>0</v>
      </c>
      <c r="H117" s="97">
        <f>ROUND(IF(D117&lt;=0,0,215),2)</f>
        <v>0</v>
      </c>
      <c r="I117" s="86">
        <f t="shared" si="18"/>
        <v>0</v>
      </c>
      <c r="J117" s="94">
        <f>IF(D117&gt;0,[1]S2!$BZ$31,0)</f>
        <v>0</v>
      </c>
      <c r="K117" s="87">
        <f t="shared" si="19"/>
        <v>0</v>
      </c>
      <c r="L117" s="87">
        <f t="shared" si="20"/>
        <v>0</v>
      </c>
      <c r="M117" s="85"/>
    </row>
    <row r="118" spans="1:13" x14ac:dyDescent="0.5">
      <c r="A118" s="85"/>
      <c r="B118" s="90" t="s">
        <v>126</v>
      </c>
      <c r="D118" s="91">
        <v>0</v>
      </c>
      <c r="E118" s="108" t="s">
        <v>123</v>
      </c>
      <c r="F118" s="93">
        <f t="shared" si="21"/>
        <v>0</v>
      </c>
      <c r="G118" s="93">
        <f t="shared" si="22"/>
        <v>0</v>
      </c>
      <c r="H118" s="97">
        <f>ROUND(IF(D118&lt;=0,0,13270),2)</f>
        <v>0</v>
      </c>
      <c r="I118" s="86">
        <f>D118*H118</f>
        <v>0</v>
      </c>
      <c r="J118" s="94">
        <f>IF(D118&gt;0,[1]S2!$BZ$31,0)</f>
        <v>0</v>
      </c>
      <c r="K118" s="87">
        <f>ROUNDDOWN(H118*J118,2)</f>
        <v>0</v>
      </c>
      <c r="L118" s="87">
        <f>D118*K118</f>
        <v>0</v>
      </c>
      <c r="M118" s="85"/>
    </row>
    <row r="119" spans="1:13" x14ac:dyDescent="0.5">
      <c r="A119" s="85"/>
      <c r="B119" s="90" t="s">
        <v>127</v>
      </c>
      <c r="D119" s="91">
        <v>0</v>
      </c>
      <c r="E119" s="108" t="s">
        <v>123</v>
      </c>
      <c r="F119" s="93">
        <f t="shared" si="21"/>
        <v>0</v>
      </c>
      <c r="G119" s="93">
        <f t="shared" si="22"/>
        <v>0</v>
      </c>
      <c r="H119" s="97">
        <f>ROUND(IF(D119&lt;=0,0,5000),2)</f>
        <v>0</v>
      </c>
      <c r="I119" s="86">
        <f t="shared" si="18"/>
        <v>0</v>
      </c>
      <c r="J119" s="94">
        <f>IF(D119&gt;0,[1]S2!$BZ$31,0)</f>
        <v>0</v>
      </c>
      <c r="K119" s="87">
        <f t="shared" si="19"/>
        <v>0</v>
      </c>
      <c r="L119" s="87">
        <f t="shared" si="20"/>
        <v>0</v>
      </c>
      <c r="M119" s="85"/>
    </row>
    <row r="120" spans="1:13" x14ac:dyDescent="0.5">
      <c r="A120" s="85"/>
      <c r="B120" s="109" t="s">
        <v>128</v>
      </c>
      <c r="C120" s="110"/>
      <c r="D120" s="91">
        <v>0</v>
      </c>
      <c r="E120" s="108" t="s">
        <v>51</v>
      </c>
      <c r="F120" s="93">
        <f t="shared" si="21"/>
        <v>0</v>
      </c>
      <c r="G120" s="93">
        <f t="shared" si="22"/>
        <v>0</v>
      </c>
      <c r="H120" s="97">
        <f>ROUND(IF(D120&lt;=0,0,810),2)</f>
        <v>0</v>
      </c>
      <c r="I120" s="86">
        <f t="shared" si="18"/>
        <v>0</v>
      </c>
      <c r="J120" s="94">
        <f>IF(D120&gt;0,[1]S2!$BZ$31,0)</f>
        <v>0</v>
      </c>
      <c r="K120" s="87">
        <f t="shared" si="19"/>
        <v>0</v>
      </c>
      <c r="L120" s="87">
        <f t="shared" si="20"/>
        <v>0</v>
      </c>
      <c r="M120" s="85"/>
    </row>
    <row r="121" spans="1:13" x14ac:dyDescent="0.5">
      <c r="A121" s="85"/>
      <c r="B121" s="90" t="s">
        <v>129</v>
      </c>
      <c r="D121" s="91">
        <v>0</v>
      </c>
      <c r="E121" s="108" t="s">
        <v>64</v>
      </c>
      <c r="F121" s="93">
        <f>IF(D121&lt;=0,0,)</f>
        <v>0</v>
      </c>
      <c r="G121" s="93">
        <f>IF(D121&lt;=0,0,)</f>
        <v>0</v>
      </c>
      <c r="H121" s="97">
        <f>ROUND(IF(D121&lt;=0,0,10737),2)</f>
        <v>0</v>
      </c>
      <c r="I121" s="86">
        <f>D121*H121</f>
        <v>0</v>
      </c>
      <c r="J121" s="94">
        <v>1.07</v>
      </c>
      <c r="K121" s="87">
        <f>ROUNDDOWN(H121*J121,2)</f>
        <v>0</v>
      </c>
      <c r="L121" s="87">
        <f>D121*K121</f>
        <v>0</v>
      </c>
      <c r="M121" s="85" t="s">
        <v>130</v>
      </c>
    </row>
    <row r="122" spans="1:13" x14ac:dyDescent="0.5">
      <c r="A122" s="85"/>
      <c r="B122" s="90"/>
      <c r="C122" s="90"/>
      <c r="D122" s="96"/>
      <c r="E122" s="108"/>
      <c r="F122" s="93"/>
      <c r="G122" s="93"/>
      <c r="H122" s="97"/>
      <c r="I122" s="86"/>
      <c r="J122" s="94"/>
      <c r="K122" s="87"/>
      <c r="L122" s="87"/>
      <c r="M122" s="85"/>
    </row>
    <row r="123" spans="1:13" x14ac:dyDescent="0.5">
      <c r="A123" s="76">
        <v>6</v>
      </c>
      <c r="B123" s="90" t="s">
        <v>131</v>
      </c>
      <c r="C123" s="90"/>
      <c r="D123" s="96">
        <v>0</v>
      </c>
      <c r="E123" s="108" t="s">
        <v>64</v>
      </c>
      <c r="F123" s="93">
        <f t="shared" ref="F123" si="23">IF(D123&lt;=0,0,)</f>
        <v>0</v>
      </c>
      <c r="G123" s="93">
        <f t="shared" ref="G123" si="24">IF(D123&lt;=0,0,)</f>
        <v>0</v>
      </c>
      <c r="H123" s="97">
        <f>ROUND(IF(D123&lt;=0,0,40000),2)</f>
        <v>0</v>
      </c>
      <c r="I123" s="86">
        <f>D123*H123</f>
        <v>0</v>
      </c>
      <c r="J123" s="94">
        <f>IF(D123&gt;0,[1]S2!$BZ$31,0)</f>
        <v>0</v>
      </c>
      <c r="K123" s="87">
        <f>ROUNDDOWN(H123*J123,2)</f>
        <v>0</v>
      </c>
      <c r="L123" s="87">
        <f>D123*K123</f>
        <v>0</v>
      </c>
      <c r="M123" s="85"/>
    </row>
    <row r="124" spans="1:13" x14ac:dyDescent="0.5">
      <c r="A124" s="85"/>
      <c r="B124" s="90" t="s">
        <v>132</v>
      </c>
      <c r="C124" s="90"/>
      <c r="D124" s="96"/>
      <c r="E124" s="108"/>
      <c r="F124" s="93"/>
      <c r="G124" s="93"/>
      <c r="H124" s="97"/>
      <c r="I124" s="86"/>
      <c r="J124" s="87"/>
      <c r="K124" s="87"/>
      <c r="L124" s="87"/>
      <c r="M124" s="85"/>
    </row>
    <row r="125" spans="1:13" x14ac:dyDescent="0.5">
      <c r="A125" s="85"/>
      <c r="B125" s="90" t="s">
        <v>133</v>
      </c>
      <c r="C125" s="90"/>
      <c r="D125" s="96"/>
      <c r="E125" s="108"/>
      <c r="F125" s="93"/>
      <c r="G125" s="93"/>
      <c r="H125" s="97"/>
      <c r="I125" s="86"/>
      <c r="J125" s="87"/>
      <c r="K125" s="87"/>
      <c r="L125" s="87"/>
      <c r="M125" s="85"/>
    </row>
    <row r="126" spans="1:13" x14ac:dyDescent="0.5">
      <c r="A126" s="85"/>
      <c r="B126" s="90" t="s">
        <v>134</v>
      </c>
      <c r="C126" s="90"/>
      <c r="D126" s="96"/>
      <c r="E126" s="108"/>
      <c r="F126" s="93"/>
      <c r="G126" s="93"/>
      <c r="H126" s="97"/>
      <c r="I126" s="86"/>
      <c r="J126" s="87"/>
      <c r="K126" s="87"/>
      <c r="L126" s="87"/>
      <c r="M126" s="85"/>
    </row>
    <row r="127" spans="1:13" x14ac:dyDescent="0.5">
      <c r="A127" s="85"/>
      <c r="B127" s="90" t="s">
        <v>135</v>
      </c>
      <c r="C127" s="90"/>
      <c r="D127" s="96"/>
      <c r="E127" s="108"/>
      <c r="F127" s="93"/>
      <c r="G127" s="93"/>
      <c r="H127" s="97"/>
      <c r="I127" s="86"/>
      <c r="J127" s="87"/>
      <c r="K127" s="87"/>
      <c r="L127" s="87"/>
      <c r="M127" s="85"/>
    </row>
    <row r="128" spans="1:13" x14ac:dyDescent="0.5">
      <c r="A128" s="85"/>
      <c r="B128" s="90" t="s">
        <v>136</v>
      </c>
      <c r="C128" s="90"/>
      <c r="D128" s="96"/>
      <c r="E128" s="108"/>
      <c r="F128" s="93"/>
      <c r="G128" s="93"/>
      <c r="H128" s="97"/>
      <c r="I128" s="86"/>
      <c r="J128" s="87"/>
      <c r="K128" s="87"/>
      <c r="L128" s="87"/>
      <c r="M128" s="85"/>
    </row>
    <row r="129" spans="1:13" x14ac:dyDescent="0.5">
      <c r="A129" s="85"/>
      <c r="B129" s="90" t="s">
        <v>137</v>
      </c>
      <c r="C129" s="90"/>
      <c r="D129" s="96"/>
      <c r="E129" s="108"/>
      <c r="F129" s="93"/>
      <c r="G129" s="93"/>
      <c r="H129" s="97"/>
      <c r="I129" s="86"/>
      <c r="J129" s="87"/>
      <c r="K129" s="87"/>
      <c r="L129" s="87"/>
      <c r="M129" s="85"/>
    </row>
    <row r="130" spans="1:13" x14ac:dyDescent="0.5">
      <c r="A130" s="85"/>
      <c r="B130" s="90" t="s">
        <v>138</v>
      </c>
      <c r="D130" s="89"/>
      <c r="E130" s="92"/>
      <c r="F130" s="93"/>
      <c r="G130" s="93"/>
      <c r="H130" s="86"/>
      <c r="I130" s="86"/>
      <c r="J130" s="87"/>
      <c r="K130" s="87"/>
      <c r="L130" s="87"/>
      <c r="M130" s="85"/>
    </row>
    <row r="131" spans="1:13" x14ac:dyDescent="0.5">
      <c r="A131" s="85"/>
      <c r="B131" s="99" t="s">
        <v>139</v>
      </c>
      <c r="D131" s="89"/>
      <c r="E131" s="92"/>
      <c r="F131" s="93"/>
      <c r="G131" s="93"/>
      <c r="H131" s="86"/>
      <c r="I131" s="86"/>
      <c r="J131" s="87"/>
      <c r="K131" s="87"/>
      <c r="L131" s="87"/>
      <c r="M131" s="85"/>
    </row>
    <row r="132" spans="1:13" x14ac:dyDescent="0.5">
      <c r="A132" s="85"/>
      <c r="B132" s="111"/>
      <c r="C132" s="112"/>
      <c r="D132" s="25"/>
      <c r="E132" s="101"/>
      <c r="F132" s="113"/>
      <c r="G132" s="113"/>
      <c r="H132" s="86"/>
      <c r="I132" s="86"/>
      <c r="J132" s="87"/>
      <c r="K132" s="87"/>
      <c r="L132" s="87"/>
      <c r="M132" s="101"/>
    </row>
    <row r="133" spans="1:13" x14ac:dyDescent="0.5">
      <c r="A133" s="101"/>
      <c r="B133" s="111"/>
      <c r="C133" s="114" t="s">
        <v>17</v>
      </c>
      <c r="D133" s="115"/>
      <c r="E133" s="101"/>
      <c r="F133" s="101"/>
      <c r="G133" s="101"/>
      <c r="H133" s="30"/>
      <c r="I133" s="104">
        <f>SUM(I104:I132)</f>
        <v>21920195.944445003</v>
      </c>
      <c r="J133" s="105"/>
      <c r="K133" s="105"/>
      <c r="L133" s="106">
        <f>SUM(L104:L132)</f>
        <v>27373406.719999999</v>
      </c>
      <c r="M133" s="30"/>
    </row>
    <row r="134" spans="1:13" hidden="1" x14ac:dyDescent="0.5">
      <c r="C134" s="116"/>
      <c r="D134" s="69"/>
      <c r="I134" s="117">
        <f>SUM(I104:I120)</f>
        <v>21920195.944445003</v>
      </c>
      <c r="J134" s="70"/>
      <c r="K134" s="70"/>
      <c r="L134" s="70"/>
    </row>
    <row r="135" spans="1:13" x14ac:dyDescent="0.5">
      <c r="C135" s="116"/>
      <c r="D135" s="69"/>
      <c r="I135" s="70"/>
      <c r="J135" s="70"/>
      <c r="K135" s="70"/>
      <c r="L135" s="70"/>
    </row>
    <row r="137" spans="1:13" x14ac:dyDescent="0.5">
      <c r="C137" s="118"/>
      <c r="E137" s="119"/>
      <c r="I137" s="118"/>
      <c r="J137" s="118"/>
      <c r="K137" s="118"/>
      <c r="L137" s="118"/>
    </row>
    <row r="138" spans="1:13" x14ac:dyDescent="0.5">
      <c r="C138" s="120"/>
      <c r="E138" s="118"/>
      <c r="I138" s="118"/>
      <c r="J138" s="121"/>
      <c r="K138" s="122"/>
      <c r="L138" s="118"/>
    </row>
    <row r="139" spans="1:13" x14ac:dyDescent="0.5">
      <c r="F139" s="121"/>
      <c r="G139" s="123"/>
      <c r="H139" s="118"/>
      <c r="I139" s="118"/>
      <c r="J139" s="118"/>
      <c r="K139" s="118"/>
      <c r="L139" s="118"/>
    </row>
  </sheetData>
  <mergeCells count="19">
    <mergeCell ref="A99:M99"/>
    <mergeCell ref="F102:H102"/>
    <mergeCell ref="J102:J103"/>
    <mergeCell ref="K102:L102"/>
    <mergeCell ref="B120:C120"/>
    <mergeCell ref="B17:C17"/>
    <mergeCell ref="B37:C37"/>
    <mergeCell ref="B44:C44"/>
    <mergeCell ref="B45:C45"/>
    <mergeCell ref="A51:M51"/>
    <mergeCell ref="F54:H54"/>
    <mergeCell ref="J54:J55"/>
    <mergeCell ref="K54:L54"/>
    <mergeCell ref="A1:M1"/>
    <mergeCell ref="F4:H4"/>
    <mergeCell ref="J4:J5"/>
    <mergeCell ref="K4:L4"/>
    <mergeCell ref="B8:C8"/>
    <mergeCell ref="B16:C16"/>
  </mergeCells>
  <printOptions horizontalCentered="1"/>
  <pageMargins left="0.15748031496062992" right="0.15748031496062992" top="0.43307086614173229" bottom="0.39370078740157483" header="0" footer="0"/>
  <pageSetup paperSize="9" scale="80" orientation="portrait" blackAndWhite="1" horizontalDpi="300" verticalDpi="300" r:id="rId1"/>
  <headerFooter alignWithMargins="0"/>
  <rowBreaks count="2" manualBreakCount="2">
    <brk id="50" max="16383" man="1"/>
    <brk id="98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A2427-222E-4BE7-BF66-2D21CA5FDA62}">
  <sheetPr>
    <tabColor rgb="FF00B050"/>
  </sheetPr>
  <dimension ref="A1:P43"/>
  <sheetViews>
    <sheetView zoomScale="130" zoomScaleNormal="130" workbookViewId="0">
      <selection activeCell="G37" sqref="G37:L37"/>
    </sheetView>
  </sheetViews>
  <sheetFormatPr defaultColWidth="9.140625" defaultRowHeight="21" x14ac:dyDescent="0.45"/>
  <cols>
    <col min="1" max="1" width="4" style="126" customWidth="1"/>
    <col min="2" max="2" width="11.7109375" style="126" customWidth="1"/>
    <col min="3" max="3" width="7.85546875" style="126" customWidth="1"/>
    <col min="4" max="4" width="7.7109375" style="126" customWidth="1"/>
    <col min="5" max="6" width="9" style="126" customWidth="1"/>
    <col min="7" max="7" width="7.7109375" style="126" customWidth="1"/>
    <col min="8" max="8" width="9.85546875" style="126" customWidth="1"/>
    <col min="9" max="9" width="12.85546875" style="131" customWidth="1"/>
    <col min="10" max="10" width="6.28515625" style="129" customWidth="1"/>
    <col min="11" max="11" width="7.85546875" style="126" customWidth="1"/>
    <col min="12" max="12" width="5.140625" style="126" customWidth="1"/>
    <col min="13" max="13" width="23" style="126" customWidth="1"/>
    <col min="14" max="15" width="9.140625" style="126"/>
    <col min="16" max="16" width="12.85546875" style="126" customWidth="1"/>
    <col min="17" max="17" width="9.140625" style="126"/>
    <col min="18" max="18" width="10" style="126" bestFit="1" customWidth="1"/>
    <col min="19" max="16384" width="9.140625" style="126"/>
  </cols>
  <sheetData>
    <row r="1" spans="1:12" s="125" customFormat="1" ht="23.25" customHeight="1" x14ac:dyDescent="0.45">
      <c r="A1" s="124" t="str">
        <f>[1]ข้อมูล!B1</f>
        <v>ราคากลาง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12" s="125" customFormat="1" ht="23.25" customHeight="1" x14ac:dyDescent="0.45">
      <c r="A2" s="124" t="str">
        <f>[1]ข้อมูล!$B$2</f>
        <v>องค์การบริหารส่วนจังหวัดพะเยา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 x14ac:dyDescent="0.45">
      <c r="D3" s="127"/>
      <c r="E3" s="127"/>
      <c r="F3" s="127"/>
      <c r="G3" s="127"/>
      <c r="I3" s="128" t="str">
        <f>[1]ข้อมูล!$I$3</f>
        <v>วันที่   5  เดือน พฤศจิกายน      พ.ศ. 2567</v>
      </c>
    </row>
    <row r="4" spans="1:12" x14ac:dyDescent="0.45">
      <c r="A4" s="127" t="s">
        <v>140</v>
      </c>
      <c r="C4" s="126" t="str">
        <f>[1]ข้อมูล!D4</f>
        <v>โครงการปรับปรุงโครงสร้างพื้นฐานเพื่อการท่องเที่ยวเชิงสร้างสรรค์</v>
      </c>
      <c r="D4" s="127"/>
      <c r="E4" s="127"/>
      <c r="F4" s="127"/>
      <c r="G4" s="127"/>
      <c r="I4" s="128"/>
    </row>
    <row r="5" spans="1:12" x14ac:dyDescent="0.45">
      <c r="C5" s="130" t="str">
        <f>[1]ข้อมูล!$D$5</f>
        <v>ซ่อมสร้างและขยายผิวจราจรถนน ทางหลวงหมายเลข 1 ตอนเดิมเข้าเมืองพะเยา  ต.บ้านต๋อม อ.เมืองพะเยา จ.พะเยา</v>
      </c>
    </row>
    <row r="6" spans="1:12" x14ac:dyDescent="0.45">
      <c r="A6" s="127" t="s">
        <v>141</v>
      </c>
      <c r="C6" s="126" t="str">
        <f>[1]ข้อมูล!$D$6</f>
        <v>องค์การบริหารส่วนจังหวัดพะเยา</v>
      </c>
    </row>
    <row r="7" spans="1:12" x14ac:dyDescent="0.45">
      <c r="A7" s="127" t="s">
        <v>142</v>
      </c>
      <c r="C7" s="132"/>
      <c r="E7" s="133" t="s">
        <v>143</v>
      </c>
      <c r="F7" s="134" t="str">
        <f>[1]ข้อมูล!F7</f>
        <v>ทางหลวงหมายเลข 1 ตอน ทางเดิมเข้าเมืองพะเยา ต.บ้านต๋อม อ.เมืองพะเยา จ.พะเยา</v>
      </c>
      <c r="G7" s="134"/>
    </row>
    <row r="8" spans="1:12" ht="21.75" customHeight="1" x14ac:dyDescent="0.45">
      <c r="A8" s="127" t="s">
        <v>144</v>
      </c>
      <c r="C8" s="135" t="str">
        <f>[1]ข้อมูล!$C$8</f>
        <v>ทางหลวงหมายเลข 1 ตอนเดิมเข้าเมืองพะเยา  ต.บ้านต๋อม อ.เมือง จ.พะเยา</v>
      </c>
      <c r="G8" s="136"/>
      <c r="H8" s="129"/>
      <c r="I8" s="126"/>
      <c r="J8" s="126"/>
    </row>
    <row r="9" spans="1:12" x14ac:dyDescent="0.45">
      <c r="A9" s="127" t="s">
        <v>145</v>
      </c>
      <c r="C9" s="126" t="s">
        <v>146</v>
      </c>
      <c r="E9" s="137" t="s">
        <v>147</v>
      </c>
      <c r="G9" s="138" t="s">
        <v>148</v>
      </c>
      <c r="I9" s="139" t="s">
        <v>149</v>
      </c>
      <c r="J9" s="129" t="s">
        <v>51</v>
      </c>
    </row>
    <row r="10" spans="1:12" x14ac:dyDescent="0.45">
      <c r="E10" s="140"/>
      <c r="H10" s="127"/>
      <c r="I10" s="140"/>
    </row>
    <row r="11" spans="1:12" x14ac:dyDescent="0.45">
      <c r="A11" s="141" t="s">
        <v>150</v>
      </c>
      <c r="B11" s="142"/>
      <c r="C11" s="143"/>
      <c r="D11" s="144"/>
      <c r="E11" s="145">
        <v>2.4</v>
      </c>
      <c r="F11" s="146" t="s">
        <v>5</v>
      </c>
      <c r="G11" s="147" t="s">
        <v>148</v>
      </c>
      <c r="H11" s="147"/>
      <c r="I11" s="148" t="str">
        <f>+I9</f>
        <v>7.5-10.50</v>
      </c>
      <c r="J11" s="149" t="s">
        <v>51</v>
      </c>
    </row>
    <row r="12" spans="1:12" x14ac:dyDescent="0.45">
      <c r="A12" s="150" t="s">
        <v>151</v>
      </c>
      <c r="B12" s="150"/>
      <c r="C12" s="151" t="s">
        <v>152</v>
      </c>
      <c r="D12" s="152" t="s">
        <v>153</v>
      </c>
      <c r="E12" s="151" t="s">
        <v>154</v>
      </c>
      <c r="F12" s="143"/>
      <c r="G12" s="150"/>
      <c r="H12" s="150"/>
      <c r="I12" s="153"/>
      <c r="J12" s="154"/>
    </row>
    <row r="13" spans="1:12" x14ac:dyDescent="0.45">
      <c r="A13" s="143"/>
      <c r="B13" s="143"/>
      <c r="C13" s="151" t="s">
        <v>155</v>
      </c>
      <c r="D13" s="152"/>
      <c r="E13" s="151" t="s">
        <v>156</v>
      </c>
      <c r="F13" s="143"/>
      <c r="G13" s="150" t="s">
        <v>157</v>
      </c>
      <c r="H13" s="150"/>
      <c r="I13" s="153">
        <v>1.2</v>
      </c>
      <c r="J13" s="154" t="s">
        <v>5</v>
      </c>
    </row>
    <row r="14" spans="1:12" x14ac:dyDescent="0.45">
      <c r="A14" s="150" t="s">
        <v>158</v>
      </c>
      <c r="B14" s="150"/>
      <c r="C14" s="151" t="s">
        <v>152</v>
      </c>
      <c r="D14" s="152" t="s">
        <v>153</v>
      </c>
      <c r="E14" s="151" t="s">
        <v>159</v>
      </c>
      <c r="F14" s="143"/>
      <c r="I14" s="126"/>
      <c r="J14" s="126"/>
    </row>
    <row r="15" spans="1:12" x14ac:dyDescent="0.45">
      <c r="A15" s="143"/>
      <c r="B15" s="143"/>
      <c r="C15" s="151" t="s">
        <v>160</v>
      </c>
      <c r="D15" s="152"/>
      <c r="E15" s="151" t="s">
        <v>161</v>
      </c>
      <c r="F15" s="143"/>
      <c r="G15" s="150" t="s">
        <v>157</v>
      </c>
      <c r="H15" s="150"/>
      <c r="I15" s="153">
        <v>1.2</v>
      </c>
      <c r="J15" s="154" t="s">
        <v>5</v>
      </c>
    </row>
    <row r="16" spans="1:12" ht="21.75" x14ac:dyDescent="0.5">
      <c r="A16" s="143"/>
      <c r="B16" s="155" t="s">
        <v>162</v>
      </c>
      <c r="C16" s="155"/>
      <c r="D16" s="156"/>
      <c r="E16" s="156"/>
      <c r="F16" s="156"/>
      <c r="G16" s="156"/>
      <c r="H16" s="157">
        <f>[1]ปร.4ใหม่!D18</f>
        <v>21061</v>
      </c>
      <c r="I16" s="152" t="s">
        <v>163</v>
      </c>
      <c r="J16" s="154"/>
      <c r="K16" s="158"/>
    </row>
    <row r="17" spans="1:16" x14ac:dyDescent="0.45">
      <c r="A17" s="143"/>
      <c r="B17" s="143"/>
      <c r="C17" s="159" t="s">
        <v>164</v>
      </c>
      <c r="D17" s="143"/>
      <c r="E17" s="152"/>
      <c r="F17" s="143"/>
      <c r="G17" s="143"/>
      <c r="H17" s="160"/>
      <c r="I17" s="161"/>
      <c r="J17" s="154"/>
      <c r="K17" s="158"/>
    </row>
    <row r="18" spans="1:16" ht="21.75" customHeight="1" x14ac:dyDescent="0.45">
      <c r="A18" s="162" t="s">
        <v>6</v>
      </c>
      <c r="B18" s="163" t="s">
        <v>165</v>
      </c>
      <c r="C18" s="164"/>
      <c r="D18" s="164"/>
      <c r="E18" s="164"/>
      <c r="F18" s="164"/>
      <c r="G18" s="165"/>
      <c r="H18" s="166" t="s">
        <v>166</v>
      </c>
      <c r="I18" s="167"/>
      <c r="J18" s="168" t="s">
        <v>167</v>
      </c>
      <c r="K18" s="169"/>
      <c r="L18" s="170"/>
    </row>
    <row r="19" spans="1:16" x14ac:dyDescent="0.45">
      <c r="A19" s="171">
        <v>1</v>
      </c>
      <c r="B19" s="172" t="s">
        <v>168</v>
      </c>
      <c r="C19" s="173"/>
      <c r="D19" s="173"/>
      <c r="E19" s="173"/>
      <c r="F19" s="173"/>
      <c r="G19" s="174"/>
      <c r="H19" s="175">
        <f>[1]ปร.4ใหม่!L45</f>
        <v>27373406.719999999</v>
      </c>
      <c r="I19" s="176"/>
      <c r="J19" s="177" t="s">
        <v>12</v>
      </c>
      <c r="K19" s="178"/>
      <c r="L19" s="179"/>
    </row>
    <row r="20" spans="1:16" x14ac:dyDescent="0.45">
      <c r="A20" s="171">
        <v>2</v>
      </c>
      <c r="B20" s="180" t="s">
        <v>169</v>
      </c>
      <c r="C20" s="181"/>
      <c r="D20" s="181"/>
      <c r="E20" s="181"/>
      <c r="F20" s="181"/>
      <c r="G20" s="182"/>
      <c r="H20" s="183">
        <v>5900</v>
      </c>
      <c r="I20" s="184"/>
      <c r="J20" s="185" t="s">
        <v>170</v>
      </c>
      <c r="K20" s="186"/>
      <c r="L20" s="187">
        <f>[1]ข้อมูล!$Q$9/100</f>
        <v>0</v>
      </c>
    </row>
    <row r="21" spans="1:16" x14ac:dyDescent="0.45">
      <c r="A21" s="171">
        <v>3</v>
      </c>
      <c r="B21" s="180" t="s">
        <v>171</v>
      </c>
      <c r="C21" s="181"/>
      <c r="D21" s="181"/>
      <c r="E21" s="181"/>
      <c r="F21" s="181"/>
      <c r="G21" s="182"/>
      <c r="H21" s="188">
        <v>12000</v>
      </c>
      <c r="I21" s="184"/>
      <c r="J21" s="185" t="s">
        <v>172</v>
      </c>
      <c r="K21" s="186"/>
      <c r="L21" s="187">
        <f>[1]ข้อมูล!$Q$8/100</f>
        <v>7.0000000000000007E-2</v>
      </c>
    </row>
    <row r="22" spans="1:16" x14ac:dyDescent="0.45">
      <c r="A22" s="189"/>
      <c r="B22" s="180"/>
      <c r="C22" s="181"/>
      <c r="D22" s="181"/>
      <c r="E22" s="181"/>
      <c r="F22" s="181"/>
      <c r="G22" s="182"/>
      <c r="H22" s="183"/>
      <c r="I22" s="184"/>
      <c r="J22" s="185" t="s">
        <v>173</v>
      </c>
      <c r="K22" s="186"/>
      <c r="L22" s="187">
        <f>[1]ข้อมูล!$Q$11/100</f>
        <v>0</v>
      </c>
    </row>
    <row r="23" spans="1:16" x14ac:dyDescent="0.45">
      <c r="A23" s="189"/>
      <c r="B23" s="180"/>
      <c r="C23" s="181"/>
      <c r="D23" s="181"/>
      <c r="E23" s="181"/>
      <c r="F23" s="181"/>
      <c r="G23" s="182"/>
      <c r="H23" s="183"/>
      <c r="I23" s="184"/>
      <c r="J23" s="185" t="s">
        <v>174</v>
      </c>
      <c r="K23" s="190" t="str">
        <f>[1]ข้อมูล!$E$167</f>
        <v>ฝนตกปกติ</v>
      </c>
      <c r="L23" s="179"/>
    </row>
    <row r="24" spans="1:16" x14ac:dyDescent="0.45">
      <c r="A24" s="189" t="s">
        <v>175</v>
      </c>
      <c r="B24" s="191" t="s">
        <v>176</v>
      </c>
      <c r="H24" s="192">
        <f>SUM(H19:I23)</f>
        <v>27391306.719999999</v>
      </c>
      <c r="I24" s="193"/>
      <c r="J24" s="194"/>
      <c r="K24" s="178"/>
      <c r="L24" s="195"/>
    </row>
    <row r="25" spans="1:16" ht="21.75" thickBot="1" x14ac:dyDescent="0.5">
      <c r="A25" s="189"/>
      <c r="B25" s="191" t="s">
        <v>177</v>
      </c>
      <c r="H25" s="196">
        <f>IF(H24&lt;10000000,ROUNDDOWN(H24,-3),ROUNDDOWN(H24,-4))</f>
        <v>27390000</v>
      </c>
      <c r="I25" s="197"/>
      <c r="J25" s="177"/>
      <c r="L25" s="179"/>
      <c r="M25" s="198"/>
      <c r="P25" s="199"/>
    </row>
    <row r="26" spans="1:16" ht="21.75" thickTop="1" x14ac:dyDescent="0.45">
      <c r="A26" s="200"/>
      <c r="B26" s="201" t="str">
        <f xml:space="preserve"> "("&amp;BAHTTEXT($H$25)&amp;")"</f>
        <v>(ยี่สิบเจ็ดล้านสามแสนเก้าหมื่นบาทถ้วน)</v>
      </c>
      <c r="C26" s="202"/>
      <c r="D26" s="203"/>
      <c r="E26" s="203"/>
      <c r="F26" s="203"/>
      <c r="G26" s="203"/>
      <c r="H26" s="203"/>
      <c r="I26" s="204"/>
      <c r="J26" s="205"/>
      <c r="K26" s="203"/>
      <c r="L26" s="206"/>
      <c r="M26" s="199"/>
    </row>
    <row r="27" spans="1:16" x14ac:dyDescent="0.45">
      <c r="B27" s="126" t="s">
        <v>178</v>
      </c>
      <c r="D27" s="207">
        <f>I15</f>
        <v>1.2</v>
      </c>
      <c r="E27" s="207"/>
      <c r="F27" s="126" t="s">
        <v>5</v>
      </c>
    </row>
    <row r="28" spans="1:16" x14ac:dyDescent="0.45">
      <c r="B28" s="126" t="s">
        <v>179</v>
      </c>
      <c r="D28" s="208">
        <f>H25/I15</f>
        <v>22825000</v>
      </c>
      <c r="E28" s="208"/>
      <c r="F28" s="126" t="s">
        <v>180</v>
      </c>
    </row>
    <row r="29" spans="1:16" s="125" customFormat="1" ht="19.5" customHeight="1" x14ac:dyDescent="0.45">
      <c r="B29" s="126"/>
      <c r="C29" s="126"/>
      <c r="D29" s="126"/>
      <c r="E29" s="126"/>
      <c r="F29" s="126"/>
      <c r="G29" s="124"/>
      <c r="H29" s="124"/>
      <c r="I29" s="124"/>
      <c r="J29" s="124"/>
      <c r="K29" s="124"/>
      <c r="L29" s="124"/>
    </row>
    <row r="30" spans="1:16" s="125" customFormat="1" ht="24.95" customHeight="1" x14ac:dyDescent="0.45">
      <c r="B30" s="126"/>
      <c r="C30" s="126"/>
      <c r="D30" s="126"/>
      <c r="E30" s="126"/>
      <c r="F30" s="126"/>
      <c r="G30" s="209" t="s">
        <v>181</v>
      </c>
      <c r="H30" s="209"/>
      <c r="I30" s="209"/>
      <c r="J30" s="209"/>
      <c r="K30" s="209"/>
      <c r="L30" s="209"/>
    </row>
    <row r="31" spans="1:16" x14ac:dyDescent="0.45">
      <c r="A31" s="125"/>
      <c r="G31" s="209" t="s">
        <v>182</v>
      </c>
      <c r="H31" s="209"/>
      <c r="I31" s="209"/>
      <c r="J31" s="209"/>
      <c r="K31" s="209"/>
      <c r="L31" s="209"/>
    </row>
    <row r="32" spans="1:16" x14ac:dyDescent="0.45">
      <c r="A32" s="125"/>
      <c r="G32" s="209" t="s">
        <v>183</v>
      </c>
      <c r="H32" s="209"/>
      <c r="I32" s="209"/>
      <c r="J32" s="209"/>
      <c r="K32" s="209"/>
      <c r="L32" s="209"/>
    </row>
    <row r="33" spans="2:12" ht="24.95" customHeight="1" x14ac:dyDescent="0.45">
      <c r="G33" s="209" t="s">
        <v>184</v>
      </c>
      <c r="H33" s="209"/>
      <c r="I33" s="209"/>
      <c r="J33" s="209"/>
      <c r="K33" s="209"/>
      <c r="L33" s="209"/>
    </row>
    <row r="34" spans="2:12" x14ac:dyDescent="0.45">
      <c r="G34" s="209" t="s">
        <v>185</v>
      </c>
      <c r="H34" s="209"/>
      <c r="I34" s="209"/>
      <c r="J34" s="209"/>
      <c r="K34" s="209"/>
      <c r="L34" s="209"/>
    </row>
    <row r="35" spans="2:12" x14ac:dyDescent="0.45">
      <c r="G35" s="209" t="s">
        <v>186</v>
      </c>
      <c r="H35" s="209"/>
      <c r="I35" s="209"/>
      <c r="J35" s="209"/>
      <c r="K35" s="209"/>
      <c r="L35" s="209"/>
    </row>
    <row r="36" spans="2:12" ht="24.95" customHeight="1" x14ac:dyDescent="0.45">
      <c r="C36" s="125"/>
      <c r="D36" s="125"/>
      <c r="E36" s="125"/>
      <c r="F36" s="125"/>
      <c r="G36" s="209" t="s">
        <v>184</v>
      </c>
      <c r="H36" s="209"/>
      <c r="I36" s="209"/>
      <c r="J36" s="209"/>
      <c r="K36" s="209"/>
      <c r="L36" s="209"/>
    </row>
    <row r="37" spans="2:12" x14ac:dyDescent="0.45">
      <c r="B37" s="125"/>
      <c r="C37" s="125"/>
      <c r="G37" s="209" t="s">
        <v>187</v>
      </c>
      <c r="H37" s="209"/>
      <c r="I37" s="209"/>
      <c r="J37" s="209"/>
      <c r="K37" s="209"/>
      <c r="L37" s="209"/>
    </row>
    <row r="38" spans="2:12" x14ac:dyDescent="0.45">
      <c r="B38" s="125"/>
      <c r="C38" s="125"/>
      <c r="G38" s="209" t="s">
        <v>188</v>
      </c>
      <c r="H38" s="209"/>
      <c r="I38" s="209"/>
      <c r="J38" s="209"/>
      <c r="K38" s="209"/>
      <c r="L38" s="209"/>
    </row>
    <row r="39" spans="2:12" x14ac:dyDescent="0.45">
      <c r="I39" s="126"/>
      <c r="J39" s="126"/>
    </row>
    <row r="40" spans="2:12" x14ac:dyDescent="0.45">
      <c r="G40" s="132"/>
      <c r="H40" s="132"/>
      <c r="I40" s="132"/>
      <c r="J40" s="132"/>
      <c r="K40" s="132"/>
      <c r="L40" s="132"/>
    </row>
    <row r="41" spans="2:12" x14ac:dyDescent="0.45">
      <c r="G41" s="132"/>
      <c r="H41" s="132"/>
      <c r="I41" s="132"/>
      <c r="J41" s="132"/>
      <c r="K41" s="132"/>
      <c r="L41" s="132"/>
    </row>
    <row r="42" spans="2:12" x14ac:dyDescent="0.45">
      <c r="G42" s="132"/>
      <c r="H42" s="132"/>
      <c r="I42" s="132"/>
      <c r="J42" s="132"/>
      <c r="K42" s="132"/>
      <c r="L42" s="132"/>
    </row>
    <row r="43" spans="2:12" x14ac:dyDescent="0.45">
      <c r="G43" s="132"/>
      <c r="H43" s="132"/>
      <c r="I43" s="132"/>
      <c r="J43" s="132"/>
      <c r="K43" s="132"/>
      <c r="L43" s="132"/>
    </row>
  </sheetData>
  <mergeCells count="36">
    <mergeCell ref="G33:L33"/>
    <mergeCell ref="G34:L34"/>
    <mergeCell ref="G35:L35"/>
    <mergeCell ref="G36:L36"/>
    <mergeCell ref="G37:L37"/>
    <mergeCell ref="G38:L38"/>
    <mergeCell ref="D27:E27"/>
    <mergeCell ref="D28:E28"/>
    <mergeCell ref="G29:L29"/>
    <mergeCell ref="G30:L30"/>
    <mergeCell ref="G31:L31"/>
    <mergeCell ref="G32:L32"/>
    <mergeCell ref="B22:G22"/>
    <mergeCell ref="H22:I22"/>
    <mergeCell ref="B23:G23"/>
    <mergeCell ref="H23:I23"/>
    <mergeCell ref="H24:I24"/>
    <mergeCell ref="H25:I25"/>
    <mergeCell ref="B19:G19"/>
    <mergeCell ref="H19:I19"/>
    <mergeCell ref="B20:G20"/>
    <mergeCell ref="H20:I20"/>
    <mergeCell ref="B21:G21"/>
    <mergeCell ref="H21:I21"/>
    <mergeCell ref="A14:B14"/>
    <mergeCell ref="G15:H15"/>
    <mergeCell ref="B16:G16"/>
    <mergeCell ref="B18:G18"/>
    <mergeCell ref="H18:I18"/>
    <mergeCell ref="J18:L18"/>
    <mergeCell ref="A1:L1"/>
    <mergeCell ref="A2:L2"/>
    <mergeCell ref="G11:H11"/>
    <mergeCell ref="A12:B12"/>
    <mergeCell ref="G12:H12"/>
    <mergeCell ref="G13:H13"/>
  </mergeCells>
  <pageMargins left="0.74803149606299213" right="0.55118110236220474" top="0" bottom="0" header="0.51181102362204722" footer="0.51181102362204722"/>
  <pageSetup paperSize="9" scale="9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ปร.4ใหม่</vt:lpstr>
      <vt:lpstr>ปร.5(ใหม่)</vt:lpstr>
      <vt:lpstr>ปร.4ใหม่!Print_Area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WINDOWS</cp:lastModifiedBy>
  <dcterms:created xsi:type="dcterms:W3CDTF">2024-11-05T10:17:44Z</dcterms:created>
  <dcterms:modified xsi:type="dcterms:W3CDTF">2024-11-05T10:19:03Z</dcterms:modified>
</cp:coreProperties>
</file>